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B06993C0-4C1F-444A-87B0-EBA523130E6F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30947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<sst xmlns="http://schemas.openxmlformats.org/spreadsheetml/2006/main" count="19434" uniqueCount="10215">
  <si>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</si>
  <si>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</si>
  <si>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</si>
  <si>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</si>
  <si>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资产合计 当期 2022-03-31 (元)</t>
  </si>
  <si>
    <t>资产合计 当期 2021-03-31 (元)</t>
  </si>
  <si>
    <t>资产合计 当期 2020-03-31 (元)</t>
  </si>
  <si>
    <t>资产合计 当期 2019-03-31 (元)</t>
  </si>
  <si>
    <t>资产合计 当期 2018-03-31 (元)</t>
  </si>
  <si>
    <t>资产合计 当期 2017-03-31 (元)</t>
  </si>
  <si>
    <t>资产合计 当期 2016-03-31 (元)</t>
  </si>
  <si>
    <t>资产合计 当期 2015-03-31 (元)</t>
  </si>
  <si>
    <t>资产合计 当期 2014-03-31 (元)</t>
  </si>
  <si>
    <t>资产合计 当期 2013-03-31 (元)</t>
  </si>
  <si>
    <t>资产合计 当期 2012-03-31 (元)</t>
  </si>
  <si>
    <t>关注度</t>
  </si>
  <si>
    <t>理杏仁Url</t>
  </si>
  <si>
    <t>sh</t>
  </si>
  <si>
    <t>工商银行</t>
  </si>
  <si>
    <t>国有大型银行</t>
  </si>
  <si>
    <t>www.lixinger.com/analytics/company/sh/601398/601398/detail</t>
  </si>
  <si>
    <t>建设银行</t>
  </si>
  <si>
    <t>www.lixinger.com/analytics/company/sh/601939/601939/detail</t>
  </si>
  <si>
    <t>农业银行</t>
  </si>
  <si>
    <t>www.lixinger.com/analytics/company/sh/601288/601288/detail</t>
  </si>
  <si>
    <t>中国银行</t>
  </si>
  <si>
    <t>www.lixinger.com/analytics/company/sh/601988/601988/detail</t>
  </si>
  <si>
    <t>邮储银行</t>
  </si>
  <si>
    <t>www.lixinger.com/analytics/company/sh/601658/601658/detail</t>
  </si>
  <si>
    <t>交通银行</t>
  </si>
  <si>
    <t>www.lixinger.com/analytics/company/sh/601328/601328/detail</t>
  </si>
  <si>
    <t>中国平安</t>
  </si>
  <si>
    <t>保险</t>
  </si>
  <si>
    <t>www.lixinger.com/analytics/company/sh/601318/601318/detail</t>
  </si>
  <si>
    <t>招商银行</t>
  </si>
  <si>
    <t>股份制银行</t>
  </si>
  <si>
    <t>www.lixinger.com/analytics/company/sh/600036/600036/detail</t>
  </si>
  <si>
    <t>兴业银行</t>
  </si>
  <si>
    <t>www.lixinger.com/analytics/company/sh/601166/601166/detail</t>
  </si>
  <si>
    <t>浦发银行</t>
  </si>
  <si>
    <t>www.lixinger.com/analytics/company/sh/600000/600000/detail</t>
  </si>
  <si>
    <t>中信银行</t>
  </si>
  <si>
    <t>www.lixinger.com/analytics/company/sh/601998/601998/detail</t>
  </si>
  <si>
    <t>民生银行</t>
  </si>
  <si>
    <t>www.lixinger.com/analytics/company/sh/600016/600016/detail</t>
  </si>
  <si>
    <t>光大银行</t>
  </si>
  <si>
    <t>www.lixinger.com/analytics/company/sh/601818/601818/detail</t>
  </si>
  <si>
    <t>sz</t>
  </si>
  <si>
    <t>平安银行</t>
  </si>
  <si>
    <t>www.lixinger.com/analytics/company/sz/000001/1/detail</t>
  </si>
  <si>
    <t>中国人寿</t>
  </si>
  <si>
    <t>www.lixinger.com/analytics/company/sh/601628/601628/detail</t>
  </si>
  <si>
    <t>华夏银行</t>
  </si>
  <si>
    <t>www.lixinger.com/analytics/company/sh/600015/600015/detail</t>
  </si>
  <si>
    <t>北京银行</t>
  </si>
  <si>
    <t>城商行</t>
  </si>
  <si>
    <t>www.lixinger.com/analytics/company/sh/601169/601169/detail</t>
  </si>
  <si>
    <t>江苏银行</t>
  </si>
  <si>
    <t>www.lixinger.com/analytics/company/sh/600919/600919/detail</t>
  </si>
  <si>
    <t>上海银行</t>
  </si>
  <si>
    <t>www.lixinger.com/analytics/company/sh/601229/601229/detail</t>
  </si>
  <si>
    <t>中国石油</t>
  </si>
  <si>
    <t>炼油化工</t>
  </si>
  <si>
    <t>www.lixinger.com/analytics/company/sh/601857/601857/detail</t>
  </si>
  <si>
    <t>中国建筑</t>
  </si>
  <si>
    <t>房屋建设</t>
  </si>
  <si>
    <t>www.lixinger.com/analytics/company/sh/601668/601668/detail</t>
  </si>
  <si>
    <t>浙商银行</t>
  </si>
  <si>
    <t>www.lixinger.com/analytics/company/sh/601916/601916/detail</t>
  </si>
  <si>
    <t>宁波银行</t>
  </si>
  <si>
    <t>www.lixinger.com/analytics/company/sz/002142/2142/detail</t>
  </si>
  <si>
    <t>中国太保</t>
  </si>
  <si>
    <t>www.lixinger.com/analytics/company/sh/601601/601601/detail</t>
  </si>
  <si>
    <t>中国石化</t>
  </si>
  <si>
    <t>www.lixinger.com/analytics/company/sh/600028/600028/detail</t>
  </si>
  <si>
    <t>万科Ａ</t>
  </si>
  <si>
    <t>住宅开发</t>
  </si>
  <si>
    <t>www.lixinger.com/analytics/company/sz/000002/2/detail</t>
  </si>
  <si>
    <t>南京银行</t>
  </si>
  <si>
    <t>www.lixinger.com/analytics/company/sh/601009/601009/detail</t>
  </si>
  <si>
    <t>中国移动</t>
  </si>
  <si>
    <t>电信运营商</t>
  </si>
  <si>
    <t>www.lixinger.com/analytics/company/sh/600941/600941/detail</t>
  </si>
  <si>
    <t>中国交建</t>
  </si>
  <si>
    <t>基建市政工程</t>
  </si>
  <si>
    <t>www.lixinger.com/analytics/company/sh/601800/601800/detail</t>
  </si>
  <si>
    <t>杭州银行</t>
  </si>
  <si>
    <t>www.lixinger.com/analytics/company/sh/600926/600926/detail</t>
  </si>
  <si>
    <t>中国铁建</t>
  </si>
  <si>
    <t>www.lixinger.com/analytics/company/sh/601186/601186/detail</t>
  </si>
  <si>
    <t>中国人保</t>
  </si>
  <si>
    <t>www.lixinger.com/analytics/company/sh/601319/601319/detail</t>
  </si>
  <si>
    <t>保利发展</t>
  </si>
  <si>
    <t>www.lixinger.com/analytics/company/sh/600048/600048/detail</t>
  </si>
  <si>
    <t>中国中铁</t>
  </si>
  <si>
    <t>www.lixinger.com/analytics/company/sh/601390/601390/detail</t>
  </si>
  <si>
    <t>绿地控股</t>
  </si>
  <si>
    <t>www.lixinger.com/analytics/company/sh/600606/600606/detail</t>
  </si>
  <si>
    <t>中信证券</t>
  </si>
  <si>
    <t>证券</t>
  </si>
  <si>
    <t>www.lixinger.com/analytics/company/sh/600030/600030/detail</t>
  </si>
  <si>
    <t>渝农商行</t>
  </si>
  <si>
    <t>农商行</t>
  </si>
  <si>
    <t>www.lixinger.com/analytics/company/sh/601077/601077/detail</t>
  </si>
  <si>
    <t>沪农商行</t>
  </si>
  <si>
    <t>www.lixinger.com/analytics/company/sh/601825/601825/detail</t>
  </si>
  <si>
    <t>新华保险</t>
  </si>
  <si>
    <t>www.lixinger.com/analytics/company/sh/601336/601336/detail</t>
  </si>
  <si>
    <t>中油资本</t>
  </si>
  <si>
    <t>金融控股</t>
  </si>
  <si>
    <t>www.lixinger.com/analytics/company/sz/000617/617/detail</t>
  </si>
  <si>
    <t>中国电建</t>
  </si>
  <si>
    <t>www.lixinger.com/analytics/company/sh/601669/601669/detail</t>
  </si>
  <si>
    <t>上汽集团</t>
  </si>
  <si>
    <t>综合乘用车</t>
  </si>
  <si>
    <t>www.lixinger.com/analytics/company/sh/600104/600104/detail</t>
  </si>
  <si>
    <t>招商蛇口</t>
  </si>
  <si>
    <t>商业地产</t>
  </si>
  <si>
    <t>www.lixinger.com/analytics/company/sz/001979/1979/detail</t>
  </si>
  <si>
    <t>成都银行</t>
  </si>
  <si>
    <t>www.lixinger.com/analytics/company/sh/601838/601838/detail</t>
  </si>
  <si>
    <t>华泰证券</t>
  </si>
  <si>
    <t>www.lixinger.com/analytics/company/sh/601688/601688/detail</t>
  </si>
  <si>
    <t>长沙银行</t>
  </si>
  <si>
    <t>www.lixinger.com/analytics/company/sh/601577/601577/detail</t>
  </si>
  <si>
    <t>中国海油</t>
  </si>
  <si>
    <t>www.lixinger.com/analytics/company/sh/600938/600938/detail</t>
  </si>
  <si>
    <t>国泰君安</t>
  </si>
  <si>
    <t>www.lixinger.com/analytics/company/sh/601211/601211/detail</t>
  </si>
  <si>
    <t>中国电信</t>
  </si>
  <si>
    <t>www.lixinger.com/analytics/company/sh/601728/601728/detail</t>
  </si>
  <si>
    <t>海通证券</t>
  </si>
  <si>
    <t>www.lixinger.com/analytics/company/sh/600837/600837/detail</t>
  </si>
  <si>
    <t>建发股份</t>
  </si>
  <si>
    <t>原材料供应链服务</t>
  </si>
  <si>
    <t>www.lixinger.com/analytics/company/sh/600153/600153/detail</t>
  </si>
  <si>
    <t>中金公司</t>
  </si>
  <si>
    <t>www.lixinger.com/analytics/company/sh/601995/601995/detail</t>
  </si>
  <si>
    <t>重庆银行</t>
  </si>
  <si>
    <t>www.lixinger.com/analytics/company/sh/601963/601963/detail</t>
  </si>
  <si>
    <t>中国神华</t>
  </si>
  <si>
    <t>动力煤</t>
  </si>
  <si>
    <t>www.lixinger.com/analytics/company/sh/601088/601088/detail</t>
  </si>
  <si>
    <t>贵阳银行</t>
  </si>
  <si>
    <t>www.lixinger.com/analytics/company/sh/601997/601997/detail</t>
  </si>
  <si>
    <t>申万宏源</t>
  </si>
  <si>
    <t>www.lixinger.com/analytics/company/sz/000166/166/detail</t>
  </si>
  <si>
    <t>招商证券</t>
  </si>
  <si>
    <t>www.lixinger.com/analytics/company/sh/600999/600999/detail</t>
  </si>
  <si>
    <t>中国联通</t>
  </si>
  <si>
    <t>www.lixinger.com/analytics/company/sh/600050/600050/detail</t>
  </si>
  <si>
    <t>中国中冶</t>
  </si>
  <si>
    <t>其他专业工程</t>
  </si>
  <si>
    <t>www.lixinger.com/analytics/company/sh/601618/601618/detail</t>
  </si>
  <si>
    <t>中国银河</t>
  </si>
  <si>
    <t>www.lixinger.com/analytics/company/sh/601881/601881/detail</t>
  </si>
  <si>
    <t>郑州银行</t>
  </si>
  <si>
    <t>www.lixinger.com/analytics/company/sz/002936/2936/detail</t>
  </si>
  <si>
    <t>京东方Ｂ</t>
  </si>
  <si>
    <t>www.lixinger.com/analytics/company/sz/200725/200725/detail</t>
  </si>
  <si>
    <t>广发证券</t>
  </si>
  <si>
    <t>www.lixinger.com/analytics/company/sz/000776/776/detail</t>
  </si>
  <si>
    <t>中国能建</t>
  </si>
  <si>
    <t>www.lixinger.com/analytics/company/sh/601868/601868/detail</t>
  </si>
  <si>
    <t>青岛银行</t>
  </si>
  <si>
    <t>www.lixinger.com/analytics/company/sz/002948/2948/detail</t>
  </si>
  <si>
    <t>新城控股</t>
  </si>
  <si>
    <t>www.lixinger.com/analytics/company/sh/601155/601155/detail</t>
  </si>
  <si>
    <t>苏州银行</t>
  </si>
  <si>
    <t>www.lixinger.com/analytics/company/sz/002966/2966/detail</t>
  </si>
  <si>
    <t>华能国际</t>
  </si>
  <si>
    <t>火力发电</t>
  </si>
  <si>
    <t>www.lixinger.com/analytics/company/sh/600011/600011/detail</t>
  </si>
  <si>
    <t>华侨城Ａ</t>
  </si>
  <si>
    <t>www.lixinger.com/analytics/company/sz/000069/69/detail</t>
  </si>
  <si>
    <t>中远海控</t>
  </si>
  <si>
    <t>航运</t>
  </si>
  <si>
    <t>www.lixinger.com/analytics/company/sh/601919/601919/detail</t>
  </si>
  <si>
    <t>金地集团</t>
  </si>
  <si>
    <t>www.lixinger.com/analytics/company/sh/600383/600383/detail</t>
  </si>
  <si>
    <t>京东方Ａ</t>
  </si>
  <si>
    <t>面板</t>
  </si>
  <si>
    <t>www.lixinger.com/analytics/company/sz/000725/725/detail</t>
  </si>
  <si>
    <t>中信建投</t>
  </si>
  <si>
    <t>www.lixinger.com/analytics/company/sh/601066/601066/detail</t>
  </si>
  <si>
    <t>齐鲁银行</t>
  </si>
  <si>
    <t>www.lixinger.com/analytics/company/sh/601665/601665/detail</t>
  </si>
  <si>
    <t>青农商行</t>
  </si>
  <si>
    <t>www.lixinger.com/analytics/company/sz/002958/2958/detail</t>
  </si>
  <si>
    <t>华夏幸福</t>
  </si>
  <si>
    <t>产业地产</t>
  </si>
  <si>
    <t>www.lixinger.com/analytics/company/sh/600340/600340/detail</t>
  </si>
  <si>
    <t>中国中车</t>
  </si>
  <si>
    <t>轨交设备</t>
  </si>
  <si>
    <t>www.lixinger.com/analytics/company/sh/601766/601766/detail</t>
  </si>
  <si>
    <t>中国核电</t>
  </si>
  <si>
    <t>核力发电</t>
  </si>
  <si>
    <t>www.lixinger.com/analytics/company/sh/601985/601985/detail</t>
  </si>
  <si>
    <t>中航产融</t>
  </si>
  <si>
    <t>www.lixinger.com/analytics/company/sh/600705/600705/detail</t>
  </si>
  <si>
    <t>兰州银行</t>
  </si>
  <si>
    <t>www.lixinger.com/analytics/company/sz/001227/1227/detail</t>
  </si>
  <si>
    <t>美的集团</t>
  </si>
  <si>
    <t>空调</t>
  </si>
  <si>
    <t>www.lixinger.com/analytics/company/sz/000333/333/detail</t>
  </si>
  <si>
    <t>中国广核</t>
  </si>
  <si>
    <t>www.lixinger.com/analytics/company/sz/003816/3816/detail</t>
  </si>
  <si>
    <t>国电电力</t>
  </si>
  <si>
    <t>www.lixinger.com/analytics/company/sh/600795/600795/detail</t>
  </si>
  <si>
    <t>宝钢股份</t>
  </si>
  <si>
    <t>板材</t>
  </si>
  <si>
    <t>www.lixinger.com/analytics/company/sh/600019/600019/detail</t>
  </si>
  <si>
    <t>国信证券</t>
  </si>
  <si>
    <t>www.lixinger.com/analytics/company/sz/002736/2736/detail</t>
  </si>
  <si>
    <t>宁德时代</t>
  </si>
  <si>
    <t>锂电池</t>
  </si>
  <si>
    <t>www.lixinger.com/analytics/company/sz/300750/300750/detail</t>
  </si>
  <si>
    <t>中南建设</t>
  </si>
  <si>
    <t>www.lixinger.com/analytics/company/sz/000961/961/detail</t>
  </si>
  <si>
    <t>华发股份</t>
  </si>
  <si>
    <t>www.lixinger.com/analytics/company/sh/600325/600325/detail</t>
  </si>
  <si>
    <t>阳光城</t>
  </si>
  <si>
    <t>www.lixinger.com/analytics/company/sz/000671/671/detail</t>
  </si>
  <si>
    <t>金科股份</t>
  </si>
  <si>
    <t>www.lixinger.com/analytics/company/sz/000656/656/detail</t>
  </si>
  <si>
    <t>荣盛石化</t>
  </si>
  <si>
    <t>www.lixinger.com/analytics/company/sz/002493/2493/detail</t>
  </si>
  <si>
    <t>厦门银行</t>
  </si>
  <si>
    <t>www.lixinger.com/analytics/company/sh/601187/601187/detail</t>
  </si>
  <si>
    <t>西安银行</t>
  </si>
  <si>
    <t>www.lixinger.com/analytics/company/sh/600928/600928/detail</t>
  </si>
  <si>
    <t>中煤能源</t>
  </si>
  <si>
    <t>www.lixinger.com/analytics/company/sh/601898/601898/detail</t>
  </si>
  <si>
    <t>格力电器</t>
  </si>
  <si>
    <t>www.lixinger.com/analytics/company/sz/000651/651/detail</t>
  </si>
  <si>
    <t>上海建工</t>
  </si>
  <si>
    <t>www.lixinger.com/analytics/company/sh/600170/600170/detail</t>
  </si>
  <si>
    <t>长江电力</t>
  </si>
  <si>
    <t>水力发电</t>
  </si>
  <si>
    <t>www.lixinger.com/analytics/company/sh/600900/600900/detail</t>
  </si>
  <si>
    <t>首开股份</t>
  </si>
  <si>
    <t>www.lixinger.com/analytics/company/sh/600376/600376/detail</t>
  </si>
  <si>
    <t>南方航空</t>
  </si>
  <si>
    <t>航空运输</t>
  </si>
  <si>
    <t>www.lixinger.com/analytics/company/sh/600029/600029/detail</t>
  </si>
  <si>
    <t>比亚迪</t>
  </si>
  <si>
    <t>电动乘用车</t>
  </si>
  <si>
    <t>www.lixinger.com/analytics/company/sz/002594/2594/detail</t>
  </si>
  <si>
    <t>TCL科技</t>
  </si>
  <si>
    <t>www.lixinger.com/analytics/company/sz/000100/100/detail</t>
  </si>
  <si>
    <t>东方证券</t>
  </si>
  <si>
    <t>www.lixinger.com/analytics/company/sh/600958/600958/detail</t>
  </si>
  <si>
    <t>天山股份</t>
  </si>
  <si>
    <t>水泥制造</t>
  </si>
  <si>
    <t>www.lixinger.com/analytics/company/sz/000877/877/detail</t>
  </si>
  <si>
    <t>上海电气</t>
  </si>
  <si>
    <t>综合电力设备商</t>
  </si>
  <si>
    <t>www.lixinger.com/analytics/company/sh/601727/601727/detail</t>
  </si>
  <si>
    <t>京沪高铁</t>
  </si>
  <si>
    <t>铁路运输</t>
  </si>
  <si>
    <t>www.lixinger.com/analytics/company/sh/601816/601816/detail</t>
  </si>
  <si>
    <t>中国国航</t>
  </si>
  <si>
    <t>www.lixinger.com/analytics/company/sh/601111/601111/detail</t>
  </si>
  <si>
    <t>大唐发电</t>
  </si>
  <si>
    <t>www.lixinger.com/analytics/company/sh/601991/601991/detail</t>
  </si>
  <si>
    <t>荣盛发展</t>
  </si>
  <si>
    <t>www.lixinger.com/analytics/company/sz/002146/2146/detail</t>
  </si>
  <si>
    <t>兖矿能源</t>
  </si>
  <si>
    <t>www.lixinger.com/analytics/company/sh/600188/600188/detail</t>
  </si>
  <si>
    <t>中国东航</t>
  </si>
  <si>
    <t>www.lixinger.com/analytics/company/sh/600115/600115/detail</t>
  </si>
  <si>
    <t>金隅集团</t>
  </si>
  <si>
    <t>www.lixinger.com/analytics/company/sh/601992/601992/detail</t>
  </si>
  <si>
    <t>潍柴动力</t>
  </si>
  <si>
    <t>底盘与发动机系统</t>
  </si>
  <si>
    <t>www.lixinger.com/analytics/company/sz/000338/338/detail</t>
  </si>
  <si>
    <t>国投资本</t>
  </si>
  <si>
    <t>www.lixinger.com/analytics/company/sh/600061/600061/detail</t>
  </si>
  <si>
    <t>常熟银行</t>
  </si>
  <si>
    <t>www.lixinger.com/analytics/company/sh/601128/601128/detail</t>
  </si>
  <si>
    <t>天茂集团</t>
  </si>
  <si>
    <t>www.lixinger.com/analytics/company/sz/000627/627/detail</t>
  </si>
  <si>
    <t>工业富联</t>
  </si>
  <si>
    <t>消费电子零部件及组装</t>
  </si>
  <si>
    <t>www.lixinger.com/analytics/company/sh/601138/601138/detail</t>
  </si>
  <si>
    <t>贵州茅台</t>
  </si>
  <si>
    <t>白酒</t>
  </si>
  <si>
    <t>www.lixinger.com/analytics/company/sh/600519/600519/detail</t>
  </si>
  <si>
    <t>光大证券</t>
  </si>
  <si>
    <t>www.lixinger.com/analytics/company/sh/601788/601788/detail</t>
  </si>
  <si>
    <t>河钢股份</t>
  </si>
  <si>
    <t>www.lixinger.com/analytics/company/sz/000709/709/detail</t>
  </si>
  <si>
    <t>渤海租赁</t>
  </si>
  <si>
    <t>租赁</t>
  </si>
  <si>
    <t>www.lixinger.com/analytics/company/sz/000415/415/detail</t>
  </si>
  <si>
    <t>国投电力</t>
  </si>
  <si>
    <t>www.lixinger.com/analytics/company/sh/600886/600886/detail</t>
  </si>
  <si>
    <t>三峡能源</t>
  </si>
  <si>
    <t>风力发电</t>
  </si>
  <si>
    <t>www.lixinger.com/analytics/company/sh/600905/600905/detail</t>
  </si>
  <si>
    <t>紫金矿业</t>
  </si>
  <si>
    <t>铜</t>
  </si>
  <si>
    <t>www.lixinger.com/analytics/company/sh/601899/601899/detail</t>
  </si>
  <si>
    <t>海螺水泥</t>
  </si>
  <si>
    <t>www.lixinger.com/analytics/company/sh/600585/600585/detail</t>
  </si>
  <si>
    <t>陕西建工</t>
  </si>
  <si>
    <t>www.lixinger.com/analytics/company/sh/600248/600248/detail</t>
  </si>
  <si>
    <t>兴业证券</t>
  </si>
  <si>
    <t>www.lixinger.com/analytics/company/sh/601377/601377/detail</t>
  </si>
  <si>
    <t>紫金银行</t>
  </si>
  <si>
    <t>www.lixinger.com/analytics/company/sh/601860/601860/detail</t>
  </si>
  <si>
    <t>恒力石化</t>
  </si>
  <si>
    <t>www.lixinger.com/analytics/company/sh/600346/600346/detail</t>
  </si>
  <si>
    <t>招港B</t>
  </si>
  <si>
    <t>www.lixinger.com/analytics/company/sz/201872/201872/detail</t>
  </si>
  <si>
    <t>滨江集团</t>
  </si>
  <si>
    <t>www.lixinger.com/analytics/company/sz/002244/2244/detail</t>
  </si>
  <si>
    <t>泰禾集团</t>
  </si>
  <si>
    <t>www.lixinger.com/analytics/company/sz/000732/732/detail</t>
  </si>
  <si>
    <t>金龙鱼</t>
  </si>
  <si>
    <t>粮油加工</t>
  </si>
  <si>
    <t>www.lixinger.com/analytics/company/sz/300999/300999/detail</t>
  </si>
  <si>
    <t>海尔智家</t>
  </si>
  <si>
    <t>冰洗</t>
  </si>
  <si>
    <t>www.lixinger.com/analytics/company/sh/600690/600690/detail</t>
  </si>
  <si>
    <t>华电国际</t>
  </si>
  <si>
    <t>www.lixinger.com/analytics/company/sh/600027/600027/detail</t>
  </si>
  <si>
    <t>大悦城</t>
  </si>
  <si>
    <t>www.lixinger.com/analytics/company/sz/000031/31/detail</t>
  </si>
  <si>
    <t>龙源电力</t>
  </si>
  <si>
    <t>www.lixinger.com/analytics/company/sz/001289/1289/detail</t>
  </si>
  <si>
    <t>无锡银行</t>
  </si>
  <si>
    <t>www.lixinger.com/analytics/company/sh/600908/600908/detail</t>
  </si>
  <si>
    <t>万华化学</t>
  </si>
  <si>
    <t>聚氨酯</t>
  </si>
  <si>
    <t>www.lixinger.com/analytics/company/sh/600309/600309/detail</t>
  </si>
  <si>
    <t>中泰证券</t>
  </si>
  <si>
    <t>www.lixinger.com/analytics/company/sh/600918/600918/detail</t>
  </si>
  <si>
    <t>顺丰控股</t>
  </si>
  <si>
    <t>快递</t>
  </si>
  <si>
    <t>www.lixinger.com/analytics/company/sz/002352/2352/detail</t>
  </si>
  <si>
    <t>东方财富</t>
  </si>
  <si>
    <t>www.lixinger.com/analytics/company/sz/300059/300059/detail</t>
  </si>
  <si>
    <t>大秦铁路</t>
  </si>
  <si>
    <t>www.lixinger.com/analytics/company/sh/601006/601006/detail</t>
  </si>
  <si>
    <t>中国铝业</t>
  </si>
  <si>
    <t>铝</t>
  </si>
  <si>
    <t>www.lixinger.com/analytics/company/sh/601600/601600/detail</t>
  </si>
  <si>
    <t>江西铜业</t>
  </si>
  <si>
    <t>www.lixinger.com/analytics/company/sh/600362/600362/detail</t>
  </si>
  <si>
    <t>中国重工</t>
  </si>
  <si>
    <t>航海装备</t>
  </si>
  <si>
    <t>www.lixinger.com/analytics/company/sh/601989/601989/detail</t>
  </si>
  <si>
    <t>牧原股份</t>
  </si>
  <si>
    <t>生猪养殖</t>
  </si>
  <si>
    <t>www.lixinger.com/analytics/company/sz/002714/2714/detail</t>
  </si>
  <si>
    <t>招商港口</t>
  </si>
  <si>
    <t>港口</t>
  </si>
  <si>
    <t>www.lixinger.com/analytics/company/sz/001872/1872/detail</t>
  </si>
  <si>
    <t>陕西煤业</t>
  </si>
  <si>
    <t>www.lixinger.com/analytics/company/sh/601225/601225/detail</t>
  </si>
  <si>
    <t>上海医药</t>
  </si>
  <si>
    <t>医药流通</t>
  </si>
  <si>
    <t>www.lixinger.com/analytics/company/sh/601607/601607/detail</t>
  </si>
  <si>
    <t>中国核建</t>
  </si>
  <si>
    <t>www.lixinger.com/analytics/company/sh/601611/601611/detail</t>
  </si>
  <si>
    <t>中兴通讯</t>
  </si>
  <si>
    <t>通信网络设备及器件</t>
  </si>
  <si>
    <t>www.lixinger.com/analytics/company/sz/000063/63/detail</t>
  </si>
  <si>
    <t>中国化学</t>
  </si>
  <si>
    <t>化学工程</t>
  </si>
  <si>
    <t>www.lixinger.com/analytics/company/sh/601117/601117/detail</t>
  </si>
  <si>
    <t>张家港行</t>
  </si>
  <si>
    <t>www.lixinger.com/analytics/company/sz/002839/2839/detail</t>
  </si>
  <si>
    <t>长城汽车</t>
  </si>
  <si>
    <t>www.lixinger.com/analytics/company/sh/601633/601633/detail</t>
  </si>
  <si>
    <t>长安Ｂ</t>
  </si>
  <si>
    <t>www.lixinger.com/analytics/company/sz/200625/200625/detail</t>
  </si>
  <si>
    <t>方正证券</t>
  </si>
  <si>
    <t>www.lixinger.com/analytics/company/sh/601901/601901/detail</t>
  </si>
  <si>
    <t>长江证券</t>
  </si>
  <si>
    <t>www.lixinger.com/analytics/company/sz/000783/783/detail</t>
  </si>
  <si>
    <t>苏宁易购</t>
  </si>
  <si>
    <t>综合电商</t>
  </si>
  <si>
    <t>www.lixinger.com/analytics/company/sz/002024/2024/detail</t>
  </si>
  <si>
    <t>蓝光发展</t>
  </si>
  <si>
    <t>www.lixinger.com/analytics/company/sh/600466/600466/detail</t>
  </si>
  <si>
    <t>洛阳钼业</t>
  </si>
  <si>
    <t>钼</t>
  </si>
  <si>
    <t>www.lixinger.com/analytics/company/sh/603993/603993/detail</t>
  </si>
  <si>
    <t>上港集团</t>
  </si>
  <si>
    <t>www.lixinger.com/analytics/company/sh/600018/600018/detail</t>
  </si>
  <si>
    <t>中国船舶</t>
  </si>
  <si>
    <t>www.lixinger.com/analytics/company/sh/600150/600150/detail</t>
  </si>
  <si>
    <t>苏农银行</t>
  </si>
  <si>
    <t>www.lixinger.com/analytics/company/sh/603323/603323/detail</t>
  </si>
  <si>
    <t>物产中大</t>
  </si>
  <si>
    <t>www.lixinger.com/analytics/company/sh/600704/600704/detail</t>
  </si>
  <si>
    <t>华能水电</t>
  </si>
  <si>
    <t>www.lixinger.com/analytics/company/sh/600025/600025/detail</t>
  </si>
  <si>
    <t>中集集团</t>
  </si>
  <si>
    <t>金属制品</t>
  </si>
  <si>
    <t>www.lixinger.com/analytics/company/sz/000039/39/detail</t>
  </si>
  <si>
    <t>上海电力</t>
  </si>
  <si>
    <t>www.lixinger.com/analytics/company/sh/600021/600021/detail</t>
  </si>
  <si>
    <t>江阴银行</t>
  </si>
  <si>
    <t>www.lixinger.com/analytics/company/sz/002807/2807/detail</t>
  </si>
  <si>
    <t>中天金融</t>
  </si>
  <si>
    <t>www.lixinger.com/analytics/company/sz/000540/540/detail</t>
  </si>
  <si>
    <t>越秀金控</t>
  </si>
  <si>
    <t>www.lixinger.com/analytics/company/sz/000987/987/detail</t>
  </si>
  <si>
    <t>金融街</t>
  </si>
  <si>
    <t>www.lixinger.com/analytics/company/sz/000402/402/detail</t>
  </si>
  <si>
    <t>广汽集团</t>
  </si>
  <si>
    <t>www.lixinger.com/analytics/company/sh/601238/601238/detail</t>
  </si>
  <si>
    <t>华域汽车</t>
  </si>
  <si>
    <t>车身附件及饰件</t>
  </si>
  <si>
    <t>www.lixinger.com/analytics/company/sh/600741/600741/detail</t>
  </si>
  <si>
    <t>五矿资本</t>
  </si>
  <si>
    <t>www.lixinger.com/analytics/company/sh/600390/600390/detail</t>
  </si>
  <si>
    <t>中交地产</t>
  </si>
  <si>
    <t>www.lixinger.com/analytics/company/sz/000736/736/detail</t>
  </si>
  <si>
    <t>东吴证券</t>
  </si>
  <si>
    <t>www.lixinger.com/analytics/company/sh/601555/601555/detail</t>
  </si>
  <si>
    <t>包钢股份</t>
  </si>
  <si>
    <t>www.lixinger.com/analytics/company/sh/600010/600010/detail</t>
  </si>
  <si>
    <t>首钢股份</t>
  </si>
  <si>
    <t>www.lixinger.com/analytics/company/sz/000959/959/detail</t>
  </si>
  <si>
    <t>三一重工</t>
  </si>
  <si>
    <t>工程机械整机</t>
  </si>
  <si>
    <t>www.lixinger.com/analytics/company/sh/600031/600031/detail</t>
  </si>
  <si>
    <t>厦门国贸</t>
  </si>
  <si>
    <t>www.lixinger.com/analytics/company/sh/600755/600755/detail</t>
  </si>
  <si>
    <t>瑞丰银行</t>
  </si>
  <si>
    <t>www.lixinger.com/analytics/company/sh/601528/601528/detail</t>
  </si>
  <si>
    <t>东方盛虹</t>
  </si>
  <si>
    <t>www.lixinger.com/analytics/company/sz/000301/301/detail</t>
  </si>
  <si>
    <t>长安汽车</t>
  </si>
  <si>
    <t>www.lixinger.com/analytics/company/sz/000625/625/detail</t>
  </si>
  <si>
    <t>四川路桥</t>
  </si>
  <si>
    <t>www.lixinger.com/analytics/company/sh/600039/600039/detail</t>
  </si>
  <si>
    <t>世茂股份</t>
  </si>
  <si>
    <t>www.lixinger.com/analytics/company/sh/600823/600823/detail</t>
  </si>
  <si>
    <t>五粮液</t>
  </si>
  <si>
    <t>www.lixinger.com/analytics/company/sz/000858/858/detail</t>
  </si>
  <si>
    <t>城建发展</t>
  </si>
  <si>
    <t>www.lixinger.com/analytics/company/sh/600266/600266/detail</t>
  </si>
  <si>
    <t>新希望</t>
  </si>
  <si>
    <t>www.lixinger.com/analytics/company/sz/000876/876/detail</t>
  </si>
  <si>
    <t>*ST海航</t>
  </si>
  <si>
    <t>www.lixinger.com/analytics/company/sh/600221/600221/detail</t>
  </si>
  <si>
    <t>深圳能源</t>
  </si>
  <si>
    <t>www.lixinger.com/analytics/company/sz/000027/27/detail</t>
  </si>
  <si>
    <t>豫园股份</t>
  </si>
  <si>
    <t>商业物业经营</t>
  </si>
  <si>
    <t>www.lixinger.com/analytics/company/sh/600655/600655/detail</t>
  </si>
  <si>
    <t>美凯龙</t>
  </si>
  <si>
    <t>www.lixinger.com/analytics/company/sh/601828/601828/detail</t>
  </si>
  <si>
    <t>特变电工</t>
  </si>
  <si>
    <t>输变电设备</t>
  </si>
  <si>
    <t>www.lixinger.com/analytics/company/sh/600089/600089/detail</t>
  </si>
  <si>
    <t>广汇汽车</t>
  </si>
  <si>
    <t>汽车经销商</t>
  </si>
  <si>
    <t>www.lixinger.com/analytics/company/sh/600297/600297/detail</t>
  </si>
  <si>
    <t>隧道股份</t>
  </si>
  <si>
    <t>www.lixinger.com/analytics/company/sh/600820/600820/detail</t>
  </si>
  <si>
    <t>中远海发</t>
  </si>
  <si>
    <t>www.lixinger.com/analytics/company/sh/601866/601866/detail</t>
  </si>
  <si>
    <t>中联重科</t>
  </si>
  <si>
    <t>www.lixinger.com/analytics/company/sz/000157/157/detail</t>
  </si>
  <si>
    <t>山东高速</t>
  </si>
  <si>
    <t>高速公路</t>
  </si>
  <si>
    <t>www.lixinger.com/analytics/company/sh/600350/600350/detail</t>
  </si>
  <si>
    <t>新湖中宝</t>
  </si>
  <si>
    <t>www.lixinger.com/analytics/company/sh/600208/600208/detail</t>
  </si>
  <si>
    <t>新奥股份</t>
  </si>
  <si>
    <t>燃气</t>
  </si>
  <si>
    <t>www.lixinger.com/analytics/company/sh/600803/600803/detail</t>
  </si>
  <si>
    <t>安徽建工</t>
  </si>
  <si>
    <t>www.lixinger.com/analytics/company/sh/600502/600502/detail</t>
  </si>
  <si>
    <t>立讯精密</t>
  </si>
  <si>
    <t>www.lixinger.com/analytics/company/sz/002475/2475/detail</t>
  </si>
  <si>
    <t>国元证券</t>
  </si>
  <si>
    <t>www.lixinger.com/analytics/company/sz/000728/728/detail</t>
  </si>
  <si>
    <t>厦门象屿</t>
  </si>
  <si>
    <t>www.lixinger.com/analytics/company/sh/600057/600057/detail</t>
  </si>
  <si>
    <t>伊利股份</t>
  </si>
  <si>
    <t>乳品</t>
  </si>
  <si>
    <t>www.lixinger.com/analytics/company/sh/600887/600887/detail</t>
  </si>
  <si>
    <t>金风科技</t>
  </si>
  <si>
    <t>风电整机</t>
  </si>
  <si>
    <t>www.lixinger.com/analytics/company/sz/002202/2202/detail</t>
  </si>
  <si>
    <t>浙商证券</t>
  </si>
  <si>
    <t>www.lixinger.com/analytics/company/sh/601878/601878/detail</t>
  </si>
  <si>
    <t>浙能电力</t>
  </si>
  <si>
    <t>www.lixinger.com/analytics/company/sh/600023/600023/detail</t>
  </si>
  <si>
    <t>陆家嘴</t>
  </si>
  <si>
    <t>www.lixinger.com/analytics/company/sh/600663/600663/detail</t>
  </si>
  <si>
    <t>徐工机械</t>
  </si>
  <si>
    <t>www.lixinger.com/analytics/company/sz/000425/425/detail</t>
  </si>
  <si>
    <t>中粮资本</t>
  </si>
  <si>
    <t>www.lixinger.com/analytics/company/sz/002423/2423/detail</t>
  </si>
  <si>
    <t>粤电力Ａ</t>
  </si>
  <si>
    <t>www.lixinger.com/analytics/company/sz/000539/539/detail</t>
  </si>
  <si>
    <t>隆基股份</t>
  </si>
  <si>
    <t>硅料硅片</t>
  </si>
  <si>
    <t>www.lixinger.com/analytics/company/sh/601012/601012/detail</t>
  </si>
  <si>
    <t>华菱钢铁</t>
  </si>
  <si>
    <t>www.lixinger.com/analytics/company/sz/000932/932/detail</t>
  </si>
  <si>
    <t>泛海控股</t>
  </si>
  <si>
    <t>www.lixinger.com/analytics/company/sz/000046/46/detail</t>
  </si>
  <si>
    <t>东兴证券</t>
  </si>
  <si>
    <t>www.lixinger.com/analytics/company/sh/601198/601198/detail</t>
  </si>
  <si>
    <t>中国通号</t>
  </si>
  <si>
    <t>www.lixinger.com/analytics/company/sh/688009/688009/detail</t>
  </si>
  <si>
    <t>财通证券</t>
  </si>
  <si>
    <t>www.lixinger.com/analytics/company/sh/601108/601108/detail</t>
  </si>
  <si>
    <t>恒逸石化</t>
  </si>
  <si>
    <t>www.lixinger.com/analytics/company/sz/000703/703/detail</t>
  </si>
  <si>
    <t>首创环保</t>
  </si>
  <si>
    <t>水务及水治理</t>
  </si>
  <si>
    <t>www.lixinger.com/analytics/company/sh/600008/600008/detail</t>
  </si>
  <si>
    <t>海康威视</t>
  </si>
  <si>
    <t>安防设备</t>
  </si>
  <si>
    <t>www.lixinger.com/analytics/company/sz/002415/2415/detail</t>
  </si>
  <si>
    <t>通威股份</t>
  </si>
  <si>
    <t>www.lixinger.com/analytics/company/sh/600438/600438/detail</t>
  </si>
  <si>
    <t>东方电气</t>
  </si>
  <si>
    <t>www.lixinger.com/analytics/company/sh/600875/600875/detail</t>
  </si>
  <si>
    <t>永泰能源</t>
  </si>
  <si>
    <t>焦煤</t>
  </si>
  <si>
    <t>www.lixinger.com/analytics/company/sh/600157/600157/detail</t>
  </si>
  <si>
    <t>中油工程</t>
  </si>
  <si>
    <t>油气及炼化工程</t>
  </si>
  <si>
    <t>www.lixinger.com/analytics/company/sh/600339/600339/detail</t>
  </si>
  <si>
    <t>江苏租赁</t>
  </si>
  <si>
    <t>www.lixinger.com/analytics/company/sh/600901/600901/detail</t>
  </si>
  <si>
    <t>鞍钢股份</t>
  </si>
  <si>
    <t>www.lixinger.com/analytics/company/sz/000898/898/detail</t>
  </si>
  <si>
    <t>天风证券</t>
  </si>
  <si>
    <t>www.lixinger.com/analytics/company/sh/601162/601162/detail</t>
  </si>
  <si>
    <t>浙江建投</t>
  </si>
  <si>
    <t>www.lixinger.com/analytics/company/sz/002761/2761/detail</t>
  </si>
  <si>
    <t>招商公路</t>
  </si>
  <si>
    <t>www.lixinger.com/analytics/company/sz/001965/1965/detail</t>
  </si>
  <si>
    <t>潞安环能</t>
  </si>
  <si>
    <t>www.lixinger.com/analytics/company/sh/601699/601699/detail</t>
  </si>
  <si>
    <t>国金证券</t>
  </si>
  <si>
    <t>www.lixinger.com/analytics/company/sh/600109/600109/detail</t>
  </si>
  <si>
    <t>复星医药</t>
  </si>
  <si>
    <t>化学制剂</t>
  </si>
  <si>
    <t>www.lixinger.com/analytics/company/sh/600196/600196/detail</t>
  </si>
  <si>
    <t>宁波港</t>
  </si>
  <si>
    <t>www.lixinger.com/analytics/company/sh/601018/601018/detail</t>
  </si>
  <si>
    <t>中信特钢</t>
  </si>
  <si>
    <t>特钢</t>
  </si>
  <si>
    <t>www.lixinger.com/analytics/company/sz/000708/708/detail</t>
  </si>
  <si>
    <t>长城证券</t>
  </si>
  <si>
    <t>www.lixinger.com/analytics/company/sz/002939/2939/detail</t>
  </si>
  <si>
    <t>温氏股份</t>
  </si>
  <si>
    <t>www.lixinger.com/analytics/company/sz/300498/300498/detail</t>
  </si>
  <si>
    <t>正泰电器</t>
  </si>
  <si>
    <t>配电设备</t>
  </si>
  <si>
    <t>www.lixinger.com/analytics/company/sh/601877/601877/detail</t>
  </si>
  <si>
    <t>华西证券</t>
  </si>
  <si>
    <t>www.lixinger.com/analytics/company/sz/002926/2926/detail</t>
  </si>
  <si>
    <t>晶科能源</t>
  </si>
  <si>
    <t>半导体材料</t>
  </si>
  <si>
    <t>www.lixinger.com/analytics/company/sh/688223/688223/detail</t>
  </si>
  <si>
    <t>航发动力</t>
  </si>
  <si>
    <t>航空装备</t>
  </si>
  <si>
    <t>www.lixinger.com/analytics/company/sh/600893/600893/detail</t>
  </si>
  <si>
    <t>马钢股份</t>
  </si>
  <si>
    <t>www.lixinger.com/analytics/company/sh/600808/600808/detail</t>
  </si>
  <si>
    <t>九州通</t>
  </si>
  <si>
    <t>www.lixinger.com/analytics/company/sh/600998/600998/detail</t>
  </si>
  <si>
    <t>申能股份</t>
  </si>
  <si>
    <t>www.lixinger.com/analytics/company/sh/600642/600642/detail</t>
  </si>
  <si>
    <t>迪马股份</t>
  </si>
  <si>
    <t>www.lixinger.com/analytics/company/sh/600565/600565/detail</t>
  </si>
  <si>
    <t>西部证券</t>
  </si>
  <si>
    <t>www.lixinger.com/analytics/company/sz/002673/2673/detail</t>
  </si>
  <si>
    <t>信达地产</t>
  </si>
  <si>
    <t>www.lixinger.com/analytics/company/sh/600657/600657/detail</t>
  </si>
  <si>
    <t>西南证券</t>
  </si>
  <si>
    <t>www.lixinger.com/analytics/company/sh/600369/600369/detail</t>
  </si>
  <si>
    <t>晨鸣纸业</t>
  </si>
  <si>
    <t>大宗用纸</t>
  </si>
  <si>
    <t>www.lixinger.com/analytics/company/sz/000488/488/detail</t>
  </si>
  <si>
    <t>江苏国信</t>
  </si>
  <si>
    <t>www.lixinger.com/analytics/company/sz/002608/2608/detail</t>
  </si>
  <si>
    <t>京能电力</t>
  </si>
  <si>
    <t>www.lixinger.com/analytics/company/sh/600578/600578/detail</t>
  </si>
  <si>
    <t>山东路桥</t>
  </si>
  <si>
    <t>www.lixinger.com/analytics/company/sz/000498/498/detail</t>
  </si>
  <si>
    <t>荣安地产</t>
  </si>
  <si>
    <t>www.lixinger.com/analytics/company/sz/000517/517/detail</t>
  </si>
  <si>
    <t>山西证券</t>
  </si>
  <si>
    <t>www.lixinger.com/analytics/company/sz/002500/2500/detail</t>
  </si>
  <si>
    <t>山东黄金</t>
  </si>
  <si>
    <t>黄金</t>
  </si>
  <si>
    <t>www.lixinger.com/analytics/company/sh/600547/600547/detail</t>
  </si>
  <si>
    <t>东北证券</t>
  </si>
  <si>
    <t>www.lixinger.com/analytics/company/sz/000686/686/detail</t>
  </si>
  <si>
    <t>中环股份</t>
  </si>
  <si>
    <t>www.lixinger.com/analytics/company/sz/002129/2129/detail</t>
  </si>
  <si>
    <t>振华重工</t>
  </si>
  <si>
    <t>能源及重型设备</t>
  </si>
  <si>
    <t>www.lixinger.com/analytics/company/sh/600320/600320/detail</t>
  </si>
  <si>
    <t>国海证券</t>
  </si>
  <si>
    <t>www.lixinger.com/analytics/company/sz/000750/750/detail</t>
  </si>
  <si>
    <t>四川长虹</t>
  </si>
  <si>
    <t>彩电</t>
  </si>
  <si>
    <t>www.lixinger.com/analytics/company/sh/600839/600839/detail</t>
  </si>
  <si>
    <t>桐昆股份</t>
  </si>
  <si>
    <t>其他石化</t>
  </si>
  <si>
    <t>www.lixinger.com/analytics/company/sh/601233/601233/detail</t>
  </si>
  <si>
    <t>中国外运</t>
  </si>
  <si>
    <t>跨境物流</t>
  </si>
  <si>
    <t>www.lixinger.com/analytics/company/sh/601598/601598/detail</t>
  </si>
  <si>
    <t>中航西飞</t>
  </si>
  <si>
    <t>www.lixinger.com/analytics/company/sz/000768/768/detail</t>
  </si>
  <si>
    <t>深天马Ａ</t>
  </si>
  <si>
    <t>www.lixinger.com/analytics/company/sz/000050/50/detail</t>
  </si>
  <si>
    <t>中泰化学</t>
  </si>
  <si>
    <t>氯碱</t>
  </si>
  <si>
    <t>www.lixinger.com/analytics/company/sz/002092/2092/detail</t>
  </si>
  <si>
    <t>雅戈尔</t>
  </si>
  <si>
    <t>非运动服装</t>
  </si>
  <si>
    <t>www.lixinger.com/analytics/company/sh/600177/600177/detail</t>
  </si>
  <si>
    <t>北辰实业</t>
  </si>
  <si>
    <t>www.lixinger.com/analytics/company/sh/601588/601588/detail</t>
  </si>
  <si>
    <t>重庆建工</t>
  </si>
  <si>
    <t>www.lixinger.com/analytics/company/sh/600939/600939/detail</t>
  </si>
  <si>
    <t>华友钴业</t>
  </si>
  <si>
    <t>钴</t>
  </si>
  <si>
    <t>www.lixinger.com/analytics/company/sh/603799/603799/detail</t>
  </si>
  <si>
    <t>华安证券</t>
  </si>
  <si>
    <t>www.lixinger.com/analytics/company/sh/600909/600909/detail</t>
  </si>
  <si>
    <t>淮北矿业</t>
  </si>
  <si>
    <t>www.lixinger.com/analytics/company/sh/600985/600985/detail</t>
  </si>
  <si>
    <t>闻泰科技</t>
  </si>
  <si>
    <t>www.lixinger.com/analytics/company/sh/600745/600745/detail</t>
  </si>
  <si>
    <t>蓝思科技</t>
  </si>
  <si>
    <t>www.lixinger.com/analytics/company/sz/300433/300433/detail</t>
  </si>
  <si>
    <t>柳钢股份</t>
  </si>
  <si>
    <t>www.lixinger.com/analytics/company/sh/601003/601003/detail</t>
  </si>
  <si>
    <t>山东钢铁</t>
  </si>
  <si>
    <t>www.lixinger.com/analytics/company/sh/600022/600022/detail</t>
  </si>
  <si>
    <t>山西焦煤</t>
  </si>
  <si>
    <t>www.lixinger.com/analytics/company/sz/000983/983/detail</t>
  </si>
  <si>
    <t>湖北能源</t>
  </si>
  <si>
    <t>电能综合服务</t>
  </si>
  <si>
    <t>www.lixinger.com/analytics/company/sz/000883/883/detail</t>
  </si>
  <si>
    <t>中海油服</t>
  </si>
  <si>
    <t>油田服务</t>
  </si>
  <si>
    <t>www.lixinger.com/analytics/company/sh/601808/601808/detail</t>
  </si>
  <si>
    <t>南山控股</t>
  </si>
  <si>
    <t>www.lixinger.com/analytics/company/sz/002314/2314/detail</t>
  </si>
  <si>
    <t>光明地产</t>
  </si>
  <si>
    <t>www.lixinger.com/analytics/company/sh/600708/600708/detail</t>
  </si>
  <si>
    <t>国联证券</t>
  </si>
  <si>
    <t>www.lixinger.com/analytics/company/sh/601456/601456/detail</t>
  </si>
  <si>
    <t>天合光能</t>
  </si>
  <si>
    <t>光伏电池组件</t>
  </si>
  <si>
    <t>www.lixinger.com/analytics/company/sh/688599/688599/detail</t>
  </si>
  <si>
    <t>碧水源</t>
  </si>
  <si>
    <t>www.lixinger.com/analytics/company/sz/300070/300070/detail</t>
  </si>
  <si>
    <t>深高速</t>
  </si>
  <si>
    <t>www.lixinger.com/analytics/company/sh/600548/600548/detail</t>
  </si>
  <si>
    <t>新天绿能</t>
  </si>
  <si>
    <t>www.lixinger.com/analytics/company/sh/600956/600956/detail</t>
  </si>
  <si>
    <t>城投控股</t>
  </si>
  <si>
    <t>www.lixinger.com/analytics/company/sh/600649/600649/detail</t>
  </si>
  <si>
    <t>吉电股份</t>
  </si>
  <si>
    <t>www.lixinger.com/analytics/company/sz/000875/875/detail</t>
  </si>
  <si>
    <t>太钢不锈</t>
  </si>
  <si>
    <t>www.lixinger.com/analytics/company/sz/000825/825/detail</t>
  </si>
  <si>
    <t>国电南瑞</t>
  </si>
  <si>
    <t>电网自动化设备</t>
  </si>
  <si>
    <t>www.lixinger.com/analytics/company/sh/600406/600406/detail</t>
  </si>
  <si>
    <t>平煤股份</t>
  </si>
  <si>
    <t>www.lixinger.com/analytics/company/sh/601666/601666/detail</t>
  </si>
  <si>
    <t>一汽解放</t>
  </si>
  <si>
    <t>商用载货车</t>
  </si>
  <si>
    <t>www.lixinger.com/analytics/company/sz/000800/800/detail</t>
  </si>
  <si>
    <t>宁沪高速</t>
  </si>
  <si>
    <t>www.lixinger.com/analytics/company/sh/600377/600377/detail</t>
  </si>
  <si>
    <t>永安期货</t>
  </si>
  <si>
    <t>期货</t>
  </si>
  <si>
    <t>www.lixinger.com/analytics/company/sh/600927/600927/detail</t>
  </si>
  <si>
    <t>永辉超市</t>
  </si>
  <si>
    <t>超市</t>
  </si>
  <si>
    <t>www.lixinger.com/analytics/company/sh/601933/601933/detail</t>
  </si>
  <si>
    <t>白云山</t>
  </si>
  <si>
    <t>中药</t>
  </si>
  <si>
    <t>www.lixinger.com/analytics/company/sh/600332/600332/detail</t>
  </si>
  <si>
    <t>华阳股份</t>
  </si>
  <si>
    <t>www.lixinger.com/analytics/company/sh/600348/600348/detail</t>
  </si>
  <si>
    <t>紫光股份</t>
  </si>
  <si>
    <t>IT服务</t>
  </si>
  <si>
    <t>www.lixinger.com/analytics/company/sz/000938/938/detail</t>
  </si>
  <si>
    <t>浙江龙盛</t>
  </si>
  <si>
    <t>纺织化学制品</t>
  </si>
  <si>
    <t>www.lixinger.com/analytics/company/sh/600352/600352/detail</t>
  </si>
  <si>
    <t>安道麦B</t>
  </si>
  <si>
    <t>www.lixinger.com/analytics/company/sz/200553/200553/detail</t>
  </si>
  <si>
    <t>中银证券</t>
  </si>
  <si>
    <t>www.lixinger.com/analytics/company/sh/601696/601696/detail</t>
  </si>
  <si>
    <t>中化国际</t>
  </si>
  <si>
    <t>其他化学制品</t>
  </si>
  <si>
    <t>www.lixinger.com/analytics/company/sh/600500/600500/detail</t>
  </si>
  <si>
    <t>龙元建设</t>
  </si>
  <si>
    <t>www.lixinger.com/analytics/company/sh/600491/600491/detail</t>
  </si>
  <si>
    <t>晋控电力</t>
  </si>
  <si>
    <t>www.lixinger.com/analytics/company/sz/000767/767/detail</t>
  </si>
  <si>
    <t>南山铝业</t>
  </si>
  <si>
    <t>www.lixinger.com/analytics/company/sh/600219/600219/detail</t>
  </si>
  <si>
    <t>石化油服</t>
  </si>
  <si>
    <t>www.lixinger.com/analytics/company/sh/600871/600871/detail</t>
  </si>
  <si>
    <t>苏州高新</t>
  </si>
  <si>
    <t>www.lixinger.com/analytics/company/sh/600736/600736/detail</t>
  </si>
  <si>
    <t>晶澳科技</t>
  </si>
  <si>
    <t>www.lixinger.com/analytics/company/sz/002459/2459/detail</t>
  </si>
  <si>
    <t>洋河股份</t>
  </si>
  <si>
    <t>www.lixinger.com/analytics/company/sz/002304/2304/detail</t>
  </si>
  <si>
    <t>天健集团</t>
  </si>
  <si>
    <t>www.lixinger.com/analytics/company/sz/000090/90/detail</t>
  </si>
  <si>
    <t>本钢板Ｂ</t>
  </si>
  <si>
    <t>www.lixinger.com/analytics/company/sz/200761/200761/detail</t>
  </si>
  <si>
    <t>广汇能源</t>
  </si>
  <si>
    <t>油品石化贸易</t>
  </si>
  <si>
    <t>www.lixinger.com/analytics/company/sh/600256/600256/detail</t>
  </si>
  <si>
    <t>中国动力</t>
  </si>
  <si>
    <t>www.lixinger.com/analytics/company/sh/600482/600482/detail</t>
  </si>
  <si>
    <t>东旭光电</t>
  </si>
  <si>
    <t>www.lixinger.com/analytics/company/sz/000413/413/detail</t>
  </si>
  <si>
    <t>鲁商发展</t>
  </si>
  <si>
    <t>www.lixinger.com/analytics/company/sh/600223/600223/detail</t>
  </si>
  <si>
    <t>明阳智能</t>
  </si>
  <si>
    <t>www.lixinger.com/analytics/company/sh/601615/601615/detail</t>
  </si>
  <si>
    <t>青岛港</t>
  </si>
  <si>
    <t>www.lixinger.com/analytics/company/sh/601298/601298/detail</t>
  </si>
  <si>
    <t>招商轮船</t>
  </si>
  <si>
    <t>www.lixinger.com/analytics/company/sh/601872/601872/detail</t>
  </si>
  <si>
    <t>南钢股份</t>
  </si>
  <si>
    <t>www.lixinger.com/analytics/company/sh/600282/600282/detail</t>
  </si>
  <si>
    <t>冀东水泥</t>
  </si>
  <si>
    <t>www.lixinger.com/analytics/company/sz/000401/401/detail</t>
  </si>
  <si>
    <t>新钢股份</t>
  </si>
  <si>
    <t>www.lixinger.com/analytics/company/sh/600782/600782/detail</t>
  </si>
  <si>
    <t>*ST基础</t>
  </si>
  <si>
    <t>www.lixinger.com/analytics/company/sh/600515/600515/detail</t>
  </si>
  <si>
    <t>中铝国际</t>
  </si>
  <si>
    <t>www.lixinger.com/analytics/company/sh/601068/601068/detail</t>
  </si>
  <si>
    <t>中远海能</t>
  </si>
  <si>
    <t>www.lixinger.com/analytics/company/sh/600026/600026/detail</t>
  </si>
  <si>
    <t>中航沈飞</t>
  </si>
  <si>
    <t>www.lixinger.com/analytics/company/sh/600760/600760/detail</t>
  </si>
  <si>
    <t>云天化</t>
  </si>
  <si>
    <t>磷肥及磷化工</t>
  </si>
  <si>
    <t>www.lixinger.com/analytics/company/sh/600096/600096/detail</t>
  </si>
  <si>
    <t>辽港股份</t>
  </si>
  <si>
    <t>www.lixinger.com/analytics/company/sh/601880/601880/detail</t>
  </si>
  <si>
    <t>同方股份</t>
  </si>
  <si>
    <t>其他计算机设备</t>
  </si>
  <si>
    <t>www.lixinger.com/analytics/company/sh/600100/600100/detail</t>
  </si>
  <si>
    <t>苏美达</t>
  </si>
  <si>
    <t>贸易</t>
  </si>
  <si>
    <t>www.lixinger.com/analytics/company/sh/600710/600710/detail</t>
  </si>
  <si>
    <t>歌尔股份</t>
  </si>
  <si>
    <t>www.lixinger.com/analytics/company/sz/002241/2241/detail</t>
  </si>
  <si>
    <t>广州发展</t>
  </si>
  <si>
    <t>www.lixinger.com/analytics/company/sh/600098/600098/detail</t>
  </si>
  <si>
    <t>现代投资</t>
  </si>
  <si>
    <t>www.lixinger.com/analytics/company/sz/000900/900/detail</t>
  </si>
  <si>
    <t>药明康德</t>
  </si>
  <si>
    <t>医疗研发外包</t>
  </si>
  <si>
    <t>www.lixinger.com/analytics/company/sh/603259/603259/detail</t>
  </si>
  <si>
    <t>百联股份</t>
  </si>
  <si>
    <t>多业态零售</t>
  </si>
  <si>
    <t>www.lixinger.com/analytics/company/sh/600827/600827/detail</t>
  </si>
  <si>
    <t>华谊集团</t>
  </si>
  <si>
    <t>煤化工</t>
  </si>
  <si>
    <t>www.lixinger.com/analytics/company/sh/600623/600623/detail</t>
  </si>
  <si>
    <t>居然之家</t>
  </si>
  <si>
    <t>www.lixinger.com/analytics/company/sz/000785/785/detail</t>
  </si>
  <si>
    <t>铜陵有色</t>
  </si>
  <si>
    <t>www.lixinger.com/analytics/company/sz/000630/630/detail</t>
  </si>
  <si>
    <t>山鹰国际</t>
  </si>
  <si>
    <t>www.lixinger.com/analytics/company/sh/600567/600567/detail</t>
  </si>
  <si>
    <t>中国中免</t>
  </si>
  <si>
    <t>旅游零售</t>
  </si>
  <si>
    <t>www.lixinger.com/analytics/company/sh/601888/601888/detail</t>
  </si>
  <si>
    <t>中华企业</t>
  </si>
  <si>
    <t>www.lixinger.com/analytics/company/sh/600675/600675/detail</t>
  </si>
  <si>
    <t>一致Ｂ</t>
  </si>
  <si>
    <t>www.lixinger.com/analytics/company/sz/200028/200028/detail</t>
  </si>
  <si>
    <t>海信家电</t>
  </si>
  <si>
    <t>www.lixinger.com/analytics/company/sz/000921/921/detail</t>
  </si>
  <si>
    <t>华远地产</t>
  </si>
  <si>
    <t>www.lixinger.com/analytics/company/sh/600743/600743/detail</t>
  </si>
  <si>
    <t>新兴铸管</t>
  </si>
  <si>
    <t>钢铁管材</t>
  </si>
  <si>
    <t>www.lixinger.com/analytics/company/sz/000778/778/detail</t>
  </si>
  <si>
    <t>京投发展</t>
  </si>
  <si>
    <t>www.lixinger.com/analytics/company/sh/600683/600683/detail</t>
  </si>
  <si>
    <t>神火股份</t>
  </si>
  <si>
    <t>www.lixinger.com/analytics/company/sz/000933/933/detail</t>
  </si>
  <si>
    <t>亚泰集团</t>
  </si>
  <si>
    <t>综合</t>
  </si>
  <si>
    <t>www.lixinger.com/analytics/company/sh/600881/600881/detail</t>
  </si>
  <si>
    <t>天山铝业</t>
  </si>
  <si>
    <t>www.lixinger.com/analytics/company/sz/002532/2532/detail</t>
  </si>
  <si>
    <t>中原证券</t>
  </si>
  <si>
    <t>www.lixinger.com/analytics/company/sh/601375/601375/detail</t>
  </si>
  <si>
    <t>上海石化</t>
  </si>
  <si>
    <t>www.lixinger.com/analytics/company/sh/600688/600688/detail</t>
  </si>
  <si>
    <t>安道麦A</t>
  </si>
  <si>
    <t>农药</t>
  </si>
  <si>
    <t>www.lixinger.com/analytics/company/sz/000553/553/detail</t>
  </si>
  <si>
    <t>云南白药</t>
  </si>
  <si>
    <t>www.lixinger.com/analytics/company/sz/000538/538/detail</t>
  </si>
  <si>
    <t>华新水泥</t>
  </si>
  <si>
    <t>www.lixinger.com/analytics/company/sh/600801/600801/detail</t>
  </si>
  <si>
    <t>浪潮信息</t>
  </si>
  <si>
    <t>www.lixinger.com/analytics/company/sz/000977/977/detail</t>
  </si>
  <si>
    <t>亨通光电</t>
  </si>
  <si>
    <t>通信线缆及配套</t>
  </si>
  <si>
    <t>www.lixinger.com/analytics/company/sh/600487/600487/detail</t>
  </si>
  <si>
    <t>重药控股</t>
  </si>
  <si>
    <t>www.lixinger.com/analytics/company/sz/000950/950/detail</t>
  </si>
  <si>
    <t>金发科技</t>
  </si>
  <si>
    <t>改性塑料</t>
  </si>
  <si>
    <t>www.lixinger.com/analytics/company/sh/600143/600143/detail</t>
  </si>
  <si>
    <t>均胜电子</t>
  </si>
  <si>
    <t>汽车电子电气系统</t>
  </si>
  <si>
    <t>www.lixinger.com/analytics/company/sh/600699/600699/detail</t>
  </si>
  <si>
    <t>西部矿业</t>
  </si>
  <si>
    <t>www.lixinger.com/analytics/company/sh/601168/601168/detail</t>
  </si>
  <si>
    <t>福田汽车</t>
  </si>
  <si>
    <t>www.lixinger.com/analytics/company/sh/600166/600166/detail</t>
  </si>
  <si>
    <t>华创阳安</t>
  </si>
  <si>
    <t>www.lixinger.com/analytics/company/sh/600155/600155/detail</t>
  </si>
  <si>
    <t>上海临港</t>
  </si>
  <si>
    <t>www.lixinger.com/analytics/company/sh/600848/600848/detail</t>
  </si>
  <si>
    <t>卫星化学</t>
  </si>
  <si>
    <t>www.lixinger.com/analytics/company/sz/002648/2648/detail</t>
  </si>
  <si>
    <t>本钢板材</t>
  </si>
  <si>
    <t>www.lixinger.com/analytics/company/sz/000761/761/detail</t>
  </si>
  <si>
    <t>龙佰集团</t>
  </si>
  <si>
    <t>钛白粉</t>
  </si>
  <si>
    <t>www.lixinger.com/analytics/company/sz/002601/2601/detail</t>
  </si>
  <si>
    <t>亿纬锂能</t>
  </si>
  <si>
    <t>www.lixinger.com/analytics/company/sz/300014/300014/detail</t>
  </si>
  <si>
    <t>南京证券</t>
  </si>
  <si>
    <t>www.lixinger.com/analytics/company/sh/601990/601990/detail</t>
  </si>
  <si>
    <t>深康佳Ｂ</t>
  </si>
  <si>
    <t>www.lixinger.com/analytics/company/sz/200016/200016/detail</t>
  </si>
  <si>
    <t>冀中能源</t>
  </si>
  <si>
    <t>www.lixinger.com/analytics/company/sz/000937/937/detail</t>
  </si>
  <si>
    <t>三安光电</t>
  </si>
  <si>
    <t>LED</t>
  </si>
  <si>
    <t>www.lixinger.com/analytics/company/sh/600703/600703/detail</t>
  </si>
  <si>
    <t>中金黄金</t>
  </si>
  <si>
    <t>www.lixinger.com/analytics/company/sh/600489/600489/detail</t>
  </si>
  <si>
    <t>中铁工业</t>
  </si>
  <si>
    <t>www.lixinger.com/analytics/company/sh/600528/600528/detail</t>
  </si>
  <si>
    <t>红塔证券</t>
  </si>
  <si>
    <t>www.lixinger.com/analytics/company/sh/601236/601236/detail</t>
  </si>
  <si>
    <t>川投能源</t>
  </si>
  <si>
    <t>www.lixinger.com/analytics/company/sh/600674/600674/detail</t>
  </si>
  <si>
    <t>上海机场</t>
  </si>
  <si>
    <t>机场</t>
  </si>
  <si>
    <t>www.lixinger.com/analytics/company/sh/600009/600009/detail</t>
  </si>
  <si>
    <t>浙江交科</t>
  </si>
  <si>
    <t>www.lixinger.com/analytics/company/sz/002061/2061/detail</t>
  </si>
  <si>
    <t>国轩高科</t>
  </si>
  <si>
    <t>www.lixinger.com/analytics/company/sz/002074/2074/detail</t>
  </si>
  <si>
    <t>白银有色</t>
  </si>
  <si>
    <t>白银</t>
  </si>
  <si>
    <t>www.lixinger.com/analytics/company/sh/601212/601212/detail</t>
  </si>
  <si>
    <t>中天科技</t>
  </si>
  <si>
    <t>www.lixinger.com/analytics/company/sh/600522/600522/detail</t>
  </si>
  <si>
    <t>福星股份</t>
  </si>
  <si>
    <t>www.lixinger.com/analytics/company/sz/000926/926/detail</t>
  </si>
  <si>
    <t>鄂尔多斯</t>
  </si>
  <si>
    <t>冶钢辅料</t>
  </si>
  <si>
    <t>www.lixinger.com/analytics/company/sh/600295/600295/detail</t>
  </si>
  <si>
    <t>中原高速</t>
  </si>
  <si>
    <t>www.lixinger.com/analytics/company/sh/600020/600020/detail</t>
  </si>
  <si>
    <t>中船防务</t>
  </si>
  <si>
    <t>www.lixinger.com/analytics/company/sh/600685/600685/detail</t>
  </si>
  <si>
    <t>辽宁成大</t>
  </si>
  <si>
    <t>疫苗</t>
  </si>
  <si>
    <t>www.lixinger.com/analytics/company/sh/600739/600739/detail</t>
  </si>
  <si>
    <t>安阳钢铁</t>
  </si>
  <si>
    <t>www.lixinger.com/analytics/company/sh/600569/600569/detail</t>
  </si>
  <si>
    <t>锦江酒店</t>
  </si>
  <si>
    <t>酒店</t>
  </si>
  <si>
    <t>www.lixinger.com/analytics/company/sh/600754/600754/detail</t>
  </si>
  <si>
    <t>江淮汽车</t>
  </si>
  <si>
    <t>www.lixinger.com/analytics/company/sh/600418/600418/detail</t>
  </si>
  <si>
    <t>东方能源</t>
  </si>
  <si>
    <t>www.lixinger.com/analytics/company/sz/000958/958/detail</t>
  </si>
  <si>
    <t>北新路桥</t>
  </si>
  <si>
    <t>www.lixinger.com/analytics/company/sz/002307/2307/detail</t>
  </si>
  <si>
    <t>青岛啤酒</t>
  </si>
  <si>
    <t>啤酒</t>
  </si>
  <si>
    <t>www.lixinger.com/analytics/company/sh/600600/600600/detail</t>
  </si>
  <si>
    <t>福耀玻璃</t>
  </si>
  <si>
    <t>www.lixinger.com/analytics/company/sh/600660/600660/detail</t>
  </si>
  <si>
    <t>宝丰能源</t>
  </si>
  <si>
    <t>www.lixinger.com/analytics/company/sh/600989/600989/detail</t>
  </si>
  <si>
    <t>天齐锂业</t>
  </si>
  <si>
    <t>锂</t>
  </si>
  <si>
    <t>www.lixinger.com/analytics/company/sz/002466/2466/detail</t>
  </si>
  <si>
    <t>第一创业</t>
  </si>
  <si>
    <t>www.lixinger.com/analytics/company/sz/002797/2797/detail</t>
  </si>
  <si>
    <t>东方雨虹</t>
  </si>
  <si>
    <t>防水材料</t>
  </si>
  <si>
    <t>www.lixinger.com/analytics/company/sz/002271/2271/detail</t>
  </si>
  <si>
    <t>中国巨石</t>
  </si>
  <si>
    <t>玻纤制造</t>
  </si>
  <si>
    <t>www.lixinger.com/analytics/company/sh/600176/600176/detail</t>
  </si>
  <si>
    <t>欣旺达</t>
  </si>
  <si>
    <t>www.lixinger.com/analytics/company/sz/300207/300207/detail</t>
  </si>
  <si>
    <t>三钢闽光</t>
  </si>
  <si>
    <t>长材</t>
  </si>
  <si>
    <t>www.lixinger.com/analytics/company/sz/002110/2110/detail</t>
  </si>
  <si>
    <t>宋都股份</t>
  </si>
  <si>
    <t>www.lixinger.com/analytics/company/sh/600077/600077/detail</t>
  </si>
  <si>
    <t>财达证券</t>
  </si>
  <si>
    <t>www.lixinger.com/analytics/company/sh/600906/600906/detail</t>
  </si>
  <si>
    <t>赣锋锂业</t>
  </si>
  <si>
    <t>www.lixinger.com/analytics/company/sz/002460/2460/detail</t>
  </si>
  <si>
    <t>时代电气</t>
  </si>
  <si>
    <t>www.lixinger.com/analytics/company/sh/688187/688187/detail</t>
  </si>
  <si>
    <t>怡亚通</t>
  </si>
  <si>
    <t>中间产品及消费品供应链服务</t>
  </si>
  <si>
    <t>www.lixinger.com/analytics/company/sz/002183/2183/detail</t>
  </si>
  <si>
    <t>山煤国际</t>
  </si>
  <si>
    <t>www.lixinger.com/analytics/company/sh/600546/600546/detail</t>
  </si>
  <si>
    <t>国药一致</t>
  </si>
  <si>
    <t>www.lixinger.com/analytics/company/sz/000028/28/detail</t>
  </si>
  <si>
    <t>福能股份</t>
  </si>
  <si>
    <t>www.lixinger.com/analytics/company/sh/600483/600483/detail</t>
  </si>
  <si>
    <t>桂冠电力</t>
  </si>
  <si>
    <t>www.lixinger.com/analytics/company/sh/600236/600236/detail</t>
  </si>
  <si>
    <t>太阳纸业</t>
  </si>
  <si>
    <t>www.lixinger.com/analytics/company/sz/002078/2078/detail</t>
  </si>
  <si>
    <t>东方园林</t>
  </si>
  <si>
    <t>园林工程</t>
  </si>
  <si>
    <t>www.lixinger.com/analytics/company/sz/002310/2310/detail</t>
  </si>
  <si>
    <t>国网英大</t>
  </si>
  <si>
    <t>www.lixinger.com/analytics/company/sh/600517/600517/detail</t>
  </si>
  <si>
    <t>彩虹股份</t>
  </si>
  <si>
    <t>www.lixinger.com/analytics/company/sh/600707/600707/detail</t>
  </si>
  <si>
    <t>阳光电源</t>
  </si>
  <si>
    <t>逆变器</t>
  </si>
  <si>
    <t>www.lixinger.com/analytics/company/sz/300274/300274/detail</t>
  </si>
  <si>
    <t>深桑达Ａ</t>
  </si>
  <si>
    <t>通信终端及配件</t>
  </si>
  <si>
    <t>www.lixinger.com/analytics/company/sz/000032/32/detail</t>
  </si>
  <si>
    <t>东方集团</t>
  </si>
  <si>
    <t>www.lixinger.com/analytics/company/sh/600811/600811/detail</t>
  </si>
  <si>
    <t>纳思达</t>
  </si>
  <si>
    <t>数字芯片设计</t>
  </si>
  <si>
    <t>www.lixinger.com/analytics/company/sz/002180/2180/detail</t>
  </si>
  <si>
    <t>新凤鸣</t>
  </si>
  <si>
    <t>涤纶</t>
  </si>
  <si>
    <t>www.lixinger.com/analytics/company/sh/603225/603225/detail</t>
  </si>
  <si>
    <t>东方明珠</t>
  </si>
  <si>
    <t>电视广播</t>
  </si>
  <si>
    <t>www.lixinger.com/analytics/company/sh/600637/600637/detail</t>
  </si>
  <si>
    <t>浙江新能</t>
  </si>
  <si>
    <t>光伏发电</t>
  </si>
  <si>
    <t>www.lixinger.com/analytics/company/sh/600032/600032/detail</t>
  </si>
  <si>
    <t>柳工</t>
  </si>
  <si>
    <t>www.lixinger.com/analytics/company/sz/000528/528/detail</t>
  </si>
  <si>
    <t>泸州老窖</t>
  </si>
  <si>
    <t>www.lixinger.com/analytics/company/sz/000568/568/detail</t>
  </si>
  <si>
    <t>吉祥航空</t>
  </si>
  <si>
    <t>www.lixinger.com/analytics/company/sh/603885/603885/detail</t>
  </si>
  <si>
    <t>外高桥</t>
  </si>
  <si>
    <t>www.lixinger.com/analytics/company/sh/600648/600648/detail</t>
  </si>
  <si>
    <t>新华联</t>
  </si>
  <si>
    <t>www.lixinger.com/analytics/company/sz/000620/620/detail</t>
  </si>
  <si>
    <t>天地科技</t>
  </si>
  <si>
    <t>www.lixinger.com/analytics/company/sh/600582/600582/detail</t>
  </si>
  <si>
    <t>重庆钢铁</t>
  </si>
  <si>
    <t>www.lixinger.com/analytics/company/sh/601005/601005/detail</t>
  </si>
  <si>
    <t>酒钢宏兴</t>
  </si>
  <si>
    <t>www.lixinger.com/analytics/company/sh/600307/600307/detail</t>
  </si>
  <si>
    <t>大华股份</t>
  </si>
  <si>
    <t>www.lixinger.com/analytics/company/sz/002236/2236/detail</t>
  </si>
  <si>
    <t>中材国际</t>
  </si>
  <si>
    <t>国际工程</t>
  </si>
  <si>
    <t>www.lixinger.com/analytics/company/sh/600970/600970/detail</t>
  </si>
  <si>
    <t>正邦科技</t>
  </si>
  <si>
    <t>www.lixinger.com/analytics/company/sz/002157/2157/detail</t>
  </si>
  <si>
    <t>锡业股份</t>
  </si>
  <si>
    <t>其他小金属</t>
  </si>
  <si>
    <t>www.lixinger.com/analytics/company/sz/000960/960/detail</t>
  </si>
  <si>
    <t>海大集团</t>
  </si>
  <si>
    <t>水产饲料</t>
  </si>
  <si>
    <t>www.lixinger.com/analytics/company/sz/002311/2311/detail</t>
  </si>
  <si>
    <t>皖能电力</t>
  </si>
  <si>
    <t>www.lixinger.com/analytics/company/sz/000543/543/detail</t>
  </si>
  <si>
    <t>三六零</t>
  </si>
  <si>
    <t>横向通用软件</t>
  </si>
  <si>
    <t>www.lixinger.com/analytics/company/sh/601360/601360/detail</t>
  </si>
  <si>
    <t>内蒙华电</t>
  </si>
  <si>
    <t>www.lixinger.com/analytics/company/sh/600863/600863/detail</t>
  </si>
  <si>
    <t>大名城</t>
  </si>
  <si>
    <t>www.lixinger.com/analytics/company/sh/600094/600094/detail</t>
  </si>
  <si>
    <t>中国宝安</t>
  </si>
  <si>
    <t>电池化学品</t>
  </si>
  <si>
    <t>www.lixinger.com/analytics/company/sz/000009/9/detail</t>
  </si>
  <si>
    <t>太阳能</t>
  </si>
  <si>
    <t>www.lixinger.com/analytics/company/sz/000591/591/detail</t>
  </si>
  <si>
    <t>冠捷科技</t>
  </si>
  <si>
    <t>www.lixinger.com/analytics/company/sz/000727/727/detail</t>
  </si>
  <si>
    <t>四川成渝</t>
  </si>
  <si>
    <t>www.lixinger.com/analytics/company/sh/601107/601107/detail</t>
  </si>
  <si>
    <t>晋控煤业</t>
  </si>
  <si>
    <t>www.lixinger.com/analytics/company/sh/601001/601001/detail</t>
  </si>
  <si>
    <t>节能风电</t>
  </si>
  <si>
    <t>www.lixinger.com/analytics/company/sh/601016/601016/detail</t>
  </si>
  <si>
    <t>中材科技</t>
  </si>
  <si>
    <t>www.lixinger.com/analytics/company/sz/002080/2080/detail</t>
  </si>
  <si>
    <t>世纪华通</t>
  </si>
  <si>
    <t>游戏</t>
  </si>
  <si>
    <t>www.lixinger.com/analytics/company/sz/002602/2602/detail</t>
  </si>
  <si>
    <t>传化智联</t>
  </si>
  <si>
    <t>公路货运</t>
  </si>
  <si>
    <t>www.lixinger.com/analytics/company/sz/002010/2010/detail</t>
  </si>
  <si>
    <t>天地源</t>
  </si>
  <si>
    <t>www.lixinger.com/analytics/company/sh/600665/600665/detail</t>
  </si>
  <si>
    <t>深康佳Ａ</t>
  </si>
  <si>
    <t>www.lixinger.com/analytics/company/sz/000016/16/detail</t>
  </si>
  <si>
    <t>广州港</t>
  </si>
  <si>
    <t>www.lixinger.com/analytics/company/sh/601228/601228/detail</t>
  </si>
  <si>
    <t>北汽蓝谷</t>
  </si>
  <si>
    <t>www.lixinger.com/analytics/company/sh/600733/600733/detail</t>
  </si>
  <si>
    <t>云南铜业</t>
  </si>
  <si>
    <t>www.lixinger.com/analytics/company/sz/000878/878/detail</t>
  </si>
  <si>
    <t>中洲控股</t>
  </si>
  <si>
    <t>www.lixinger.com/analytics/company/sz/000042/42/detail</t>
  </si>
  <si>
    <t>*ST云城</t>
  </si>
  <si>
    <t>www.lixinger.com/analytics/company/sh/600239/600239/detail</t>
  </si>
  <si>
    <t>电投能源</t>
  </si>
  <si>
    <t>www.lixinger.com/analytics/company/sz/002128/2128/detail</t>
  </si>
  <si>
    <t>*ST山航B</t>
  </si>
  <si>
    <t>www.lixinger.com/analytics/company/sz/200152/200152/detail</t>
  </si>
  <si>
    <t>杉杉股份</t>
  </si>
  <si>
    <t>www.lixinger.com/analytics/company/sh/600884/600884/detail</t>
  </si>
  <si>
    <t>云铝股份</t>
  </si>
  <si>
    <t>www.lixinger.com/analytics/company/sz/000807/807/detail</t>
  </si>
  <si>
    <t>恒瑞医药</t>
  </si>
  <si>
    <t>www.lixinger.com/analytics/company/sh/600276/600276/detail</t>
  </si>
  <si>
    <t>中国一重</t>
  </si>
  <si>
    <t>www.lixinger.com/analytics/company/sh/601106/601106/detail</t>
  </si>
  <si>
    <t>经纬纺机</t>
  </si>
  <si>
    <t>信托</t>
  </si>
  <si>
    <t>www.lixinger.com/analytics/company/sz/000666/666/detail</t>
  </si>
  <si>
    <t>春秋航空</t>
  </si>
  <si>
    <t>www.lixinger.com/analytics/company/sh/601021/601021/detail</t>
  </si>
  <si>
    <t>格林美</t>
  </si>
  <si>
    <t>www.lixinger.com/analytics/company/sz/002340/2340/detail</t>
  </si>
  <si>
    <t>中国西电</t>
  </si>
  <si>
    <t>www.lixinger.com/analytics/company/sh/601179/601179/detail</t>
  </si>
  <si>
    <t>王府井</t>
  </si>
  <si>
    <t>百货</t>
  </si>
  <si>
    <t>www.lixinger.com/analytics/company/sh/600859/600859/detail</t>
  </si>
  <si>
    <t>维信诺</t>
  </si>
  <si>
    <t>www.lixinger.com/analytics/company/sz/002387/2387/detail</t>
  </si>
  <si>
    <t>双汇发展</t>
  </si>
  <si>
    <t>肉制品</t>
  </si>
  <si>
    <t>www.lixinger.com/analytics/company/sz/000895/895/detail</t>
  </si>
  <si>
    <t>广宇发展</t>
  </si>
  <si>
    <t>www.lixinger.com/analytics/company/sz/000537/537/detail</t>
  </si>
  <si>
    <t>迈瑞医疗</t>
  </si>
  <si>
    <t>医疗设备</t>
  </si>
  <si>
    <t>www.lixinger.com/analytics/company/sz/300760/300760/detail</t>
  </si>
  <si>
    <t>华鑫股份</t>
  </si>
  <si>
    <t>www.lixinger.com/analytics/company/sh/600621/600621/detail</t>
  </si>
  <si>
    <t>古井贡Ｂ</t>
  </si>
  <si>
    <t>www.lixinger.com/analytics/company/sz/200596/200596/detail</t>
  </si>
  <si>
    <t>泰达股份</t>
  </si>
  <si>
    <t>www.lixinger.com/analytics/company/sz/000652/652/detail</t>
  </si>
  <si>
    <t>上海机电</t>
  </si>
  <si>
    <t>楼宇设备</t>
  </si>
  <si>
    <t>www.lixinger.com/analytics/company/sh/600835/600835/detail</t>
  </si>
  <si>
    <t>建投能源</t>
  </si>
  <si>
    <t>www.lixinger.com/analytics/company/sz/000600/600/detail</t>
  </si>
  <si>
    <t>厦门钨业</t>
  </si>
  <si>
    <t>钨</t>
  </si>
  <si>
    <t>www.lixinger.com/analytics/company/sh/600549/600549/detail</t>
  </si>
  <si>
    <t>郑煤机</t>
  </si>
  <si>
    <t>www.lixinger.com/analytics/company/sh/601717/601717/detail</t>
  </si>
  <si>
    <t>玲珑轮胎</t>
  </si>
  <si>
    <t>轮胎轮毂</t>
  </si>
  <si>
    <t>www.lixinger.com/analytics/company/sh/601966/601966/detail</t>
  </si>
  <si>
    <t>海王生物</t>
  </si>
  <si>
    <t>www.lixinger.com/analytics/company/sz/000078/78/detail</t>
  </si>
  <si>
    <t>中国重汽</t>
  </si>
  <si>
    <t>www.lixinger.com/analytics/company/sz/000951/951/detail</t>
  </si>
  <si>
    <t>长电科技</t>
  </si>
  <si>
    <t>集成电路封测</t>
  </si>
  <si>
    <t>www.lixinger.com/analytics/company/sh/600584/600584/detail</t>
  </si>
  <si>
    <t>新和成</t>
  </si>
  <si>
    <t>原料药</t>
  </si>
  <si>
    <t>www.lixinger.com/analytics/company/sz/002001/2001/detail</t>
  </si>
  <si>
    <t>东山精密</t>
  </si>
  <si>
    <t>印制电路板</t>
  </si>
  <si>
    <t>www.lixinger.com/analytics/company/sz/002384/2384/detail</t>
  </si>
  <si>
    <t>广深铁路</t>
  </si>
  <si>
    <t>www.lixinger.com/analytics/company/sh/601333/601333/detail</t>
  </si>
  <si>
    <t>黑牡丹</t>
  </si>
  <si>
    <t>www.lixinger.com/analytics/company/sh/600510/600510/detail</t>
  </si>
  <si>
    <t>君正集团</t>
  </si>
  <si>
    <t>www.lixinger.com/analytics/company/sh/601216/601216/detail</t>
  </si>
  <si>
    <t>张江高科</t>
  </si>
  <si>
    <t>www.lixinger.com/analytics/company/sh/600895/600895/detail</t>
  </si>
  <si>
    <t>领益智造</t>
  </si>
  <si>
    <t>www.lixinger.com/analytics/company/sz/002600/2600/detail</t>
  </si>
  <si>
    <t>赣粤高速</t>
  </si>
  <si>
    <t>www.lixinger.com/analytics/company/sh/600269/600269/detail</t>
  </si>
  <si>
    <t>兴发集团</t>
  </si>
  <si>
    <t>www.lixinger.com/analytics/company/sh/600141/600141/detail</t>
  </si>
  <si>
    <t>哈投股份</t>
  </si>
  <si>
    <t>www.lixinger.com/analytics/company/sh/600864/600864/detail</t>
  </si>
  <si>
    <t>烽火通信</t>
  </si>
  <si>
    <t>www.lixinger.com/analytics/company/sh/600498/600498/detail</t>
  </si>
  <si>
    <t>人福医药</t>
  </si>
  <si>
    <t>www.lixinger.com/analytics/company/sh/600079/600079/detail</t>
  </si>
  <si>
    <t>韵达股份</t>
  </si>
  <si>
    <t>www.lixinger.com/analytics/company/sz/002120/2120/detail</t>
  </si>
  <si>
    <t>光大嘉宝</t>
  </si>
  <si>
    <t>www.lixinger.com/analytics/company/sh/600622/600622/detail</t>
  </si>
  <si>
    <t>东华能源</t>
  </si>
  <si>
    <t>www.lixinger.com/analytics/company/sz/002221/2221/detail</t>
  </si>
  <si>
    <t>浙商中拓</t>
  </si>
  <si>
    <t>www.lixinger.com/analytics/company/sz/000906/906/detail</t>
  </si>
  <si>
    <t>江苏有线</t>
  </si>
  <si>
    <t>www.lixinger.com/analytics/company/sh/600959/600959/detail</t>
  </si>
  <si>
    <t>北方稀土</t>
  </si>
  <si>
    <t>稀土</t>
  </si>
  <si>
    <t>www.lixinger.com/analytics/company/sh/600111/600111/detail</t>
  </si>
  <si>
    <t>环旭电子</t>
  </si>
  <si>
    <t>www.lixinger.com/analytics/company/sh/601231/601231/detail</t>
  </si>
  <si>
    <t>中伟股份</t>
  </si>
  <si>
    <t>www.lixinger.com/analytics/company/sz/300919/300919/detail</t>
  </si>
  <si>
    <t>海亮股份</t>
  </si>
  <si>
    <t>www.lixinger.com/analytics/company/sz/002203/2203/detail</t>
  </si>
  <si>
    <t>兴蓉环境</t>
  </si>
  <si>
    <t>www.lixinger.com/analytics/company/sz/000598/598/detail</t>
  </si>
  <si>
    <t>湘财股份</t>
  </si>
  <si>
    <t>www.lixinger.com/analytics/company/sh/600095/600095/detail</t>
  </si>
  <si>
    <t>圆通速递</t>
  </si>
  <si>
    <t>www.lixinger.com/analytics/company/sh/600233/600233/detail</t>
  </si>
  <si>
    <t>金螳螂</t>
  </si>
  <si>
    <t>装修装饰</t>
  </si>
  <si>
    <t>www.lixinger.com/analytics/company/sz/002081/2081/detail</t>
  </si>
  <si>
    <t>江苏国泰</t>
  </si>
  <si>
    <t>www.lixinger.com/analytics/company/sz/002091/2091/detail</t>
  </si>
  <si>
    <t>神州数码</t>
  </si>
  <si>
    <t>www.lixinger.com/analytics/company/sz/000034/34/detail</t>
  </si>
  <si>
    <t>珠江股份</t>
  </si>
  <si>
    <t>www.lixinger.com/analytics/company/sh/600684/600684/detail</t>
  </si>
  <si>
    <t>深圳燃气</t>
  </si>
  <si>
    <t>www.lixinger.com/analytics/company/sh/601139/601139/detail</t>
  </si>
  <si>
    <t>海油发展</t>
  </si>
  <si>
    <t>www.lixinger.com/analytics/company/sh/600968/600968/detail</t>
  </si>
  <si>
    <t>中国长城</t>
  </si>
  <si>
    <t>www.lixinger.com/analytics/company/sz/000066/66/detail</t>
  </si>
  <si>
    <t>鹏鼎控股</t>
  </si>
  <si>
    <t>www.lixinger.com/analytics/company/sz/002938/2938/detail</t>
  </si>
  <si>
    <t>航天电子</t>
  </si>
  <si>
    <t>航天装备</t>
  </si>
  <si>
    <t>www.lixinger.com/analytics/company/sh/600879/600879/detail</t>
  </si>
  <si>
    <t>天津港</t>
  </si>
  <si>
    <t>www.lixinger.com/analytics/company/sh/600717/600717/detail</t>
  </si>
  <si>
    <t>中航机电</t>
  </si>
  <si>
    <t>www.lixinger.com/analytics/company/sz/002013/2013/detail</t>
  </si>
  <si>
    <t>格力地产</t>
  </si>
  <si>
    <t>www.lixinger.com/analytics/company/sh/600185/600185/detail</t>
  </si>
  <si>
    <t>海油工程</t>
  </si>
  <si>
    <t>www.lixinger.com/analytics/company/sh/600583/600583/detail</t>
  </si>
  <si>
    <t>科伦药业</t>
  </si>
  <si>
    <t>www.lixinger.com/analytics/company/sz/002422/2422/detail</t>
  </si>
  <si>
    <t>南国置业</t>
  </si>
  <si>
    <t>www.lixinger.com/analytics/company/sz/002305/2305/detail</t>
  </si>
  <si>
    <t>南京高科</t>
  </si>
  <si>
    <t>www.lixinger.com/analytics/company/sh/600064/600064/detail</t>
  </si>
  <si>
    <t>合盛硅业</t>
  </si>
  <si>
    <t>非金属材料</t>
  </si>
  <si>
    <t>www.lixinger.com/analytics/company/sh/603260/603260/detail</t>
  </si>
  <si>
    <t>亿利洁能</t>
  </si>
  <si>
    <t>www.lixinger.com/analytics/company/sh/600277/600277/detail</t>
  </si>
  <si>
    <t>我爱我家</t>
  </si>
  <si>
    <t>房产租赁经纪</t>
  </si>
  <si>
    <t>www.lixinger.com/analytics/company/sz/000560/560/detail</t>
  </si>
  <si>
    <t>小康股份</t>
  </si>
  <si>
    <t>www.lixinger.com/analytics/company/sh/601127/601127/detail</t>
  </si>
  <si>
    <t>华峰化学</t>
  </si>
  <si>
    <t>氨纶</t>
  </si>
  <si>
    <t>www.lixinger.com/analytics/company/sz/002064/2064/detail</t>
  </si>
  <si>
    <t>海澜之家</t>
  </si>
  <si>
    <t>www.lixinger.com/analytics/company/sh/600398/600398/detail</t>
  </si>
  <si>
    <t>浦东金桥</t>
  </si>
  <si>
    <t>www.lixinger.com/analytics/company/sh/600639/600639/detail</t>
  </si>
  <si>
    <t>鲁西化工</t>
  </si>
  <si>
    <t>www.lixinger.com/analytics/company/sz/000830/830/detail</t>
  </si>
  <si>
    <t>国新能源</t>
  </si>
  <si>
    <t>www.lixinger.com/analytics/company/sh/600617/600617/detail</t>
  </si>
  <si>
    <t>国机汽车</t>
  </si>
  <si>
    <t>www.lixinger.com/analytics/company/sh/600335/600335/detail</t>
  </si>
  <si>
    <t>和辉光电</t>
  </si>
  <si>
    <t>www.lixinger.com/analytics/company/sh/688538/688538/detail</t>
  </si>
  <si>
    <t>中国铁物</t>
  </si>
  <si>
    <t>www.lixinger.com/analytics/company/sz/000927/927/detail</t>
  </si>
  <si>
    <t>东方日升</t>
  </si>
  <si>
    <t>www.lixinger.com/analytics/company/sz/300118/300118/detail</t>
  </si>
  <si>
    <t>中国医药</t>
  </si>
  <si>
    <t>www.lixinger.com/analytics/company/sh/600056/600056/detail</t>
  </si>
  <si>
    <t>韦尔股份</t>
  </si>
  <si>
    <t>www.lixinger.com/analytics/company/sh/603501/603501/detail</t>
  </si>
  <si>
    <t>健康元</t>
  </si>
  <si>
    <t>www.lixinger.com/analytics/company/sh/600380/600380/detail</t>
  </si>
  <si>
    <t>太原重工</t>
  </si>
  <si>
    <t>www.lixinger.com/analytics/company/sh/600169/600169/detail</t>
  </si>
  <si>
    <t>南华期货</t>
  </si>
  <si>
    <t>www.lixinger.com/analytics/company/sh/603093/603093/detail</t>
  </si>
  <si>
    <t>国盛金控</t>
  </si>
  <si>
    <t>www.lixinger.com/analytics/company/sz/002670/2670/detail</t>
  </si>
  <si>
    <t>传音控股</t>
  </si>
  <si>
    <t>品牌消费电子</t>
  </si>
  <si>
    <t>www.lixinger.com/analytics/company/sh/688036/688036/detail</t>
  </si>
  <si>
    <t>海天味业</t>
  </si>
  <si>
    <t>调味发酵品</t>
  </si>
  <si>
    <t>www.lixinger.com/analytics/company/sh/603288/603288/detail</t>
  </si>
  <si>
    <t>粤水电</t>
  </si>
  <si>
    <t>www.lixinger.com/analytics/company/sz/002060/2060/detail</t>
  </si>
  <si>
    <t>华锦股份</t>
  </si>
  <si>
    <t>www.lixinger.com/analytics/company/sz/000059/59/detail</t>
  </si>
  <si>
    <t>步步高</t>
  </si>
  <si>
    <t>www.lixinger.com/analytics/company/sz/002251/2251/detail</t>
  </si>
  <si>
    <t>海信视像</t>
  </si>
  <si>
    <t>www.lixinger.com/analytics/company/sh/600060/600060/detail</t>
  </si>
  <si>
    <t>北方华创</t>
  </si>
  <si>
    <t>半导体设备</t>
  </si>
  <si>
    <t>www.lixinger.com/analytics/company/sz/002371/2371/detail</t>
  </si>
  <si>
    <t>新集能源</t>
  </si>
  <si>
    <t>www.lixinger.com/analytics/company/sh/601918/601918/detail</t>
  </si>
  <si>
    <t>八一钢铁</t>
  </si>
  <si>
    <t>www.lixinger.com/analytics/company/sh/600581/600581/detail</t>
  </si>
  <si>
    <t>华鲁恒升</t>
  </si>
  <si>
    <t>www.lixinger.com/analytics/company/sh/600426/600426/detail</t>
  </si>
  <si>
    <t>小商品城</t>
  </si>
  <si>
    <t>www.lixinger.com/analytics/company/sh/600415/600415/detail</t>
  </si>
  <si>
    <t>天虹股份</t>
  </si>
  <si>
    <t>www.lixinger.com/analytics/company/sz/002419/2419/detail</t>
  </si>
  <si>
    <t>智飞生物</t>
  </si>
  <si>
    <t>www.lixinger.com/analytics/company/sz/300122/300122/detail</t>
  </si>
  <si>
    <t>杭钢股份</t>
  </si>
  <si>
    <t>www.lixinger.com/analytics/company/sh/600126/600126/detail</t>
  </si>
  <si>
    <t>启迪环境</t>
  </si>
  <si>
    <t>综合环境治理</t>
  </si>
  <si>
    <t>www.lixinger.com/analytics/company/sz/000826/826/detail</t>
  </si>
  <si>
    <t>山西汾酒</t>
  </si>
  <si>
    <t>www.lixinger.com/analytics/company/sh/600809/600809/detail</t>
  </si>
  <si>
    <t>盐湖股份</t>
  </si>
  <si>
    <t>钾肥</t>
  </si>
  <si>
    <t>www.lixinger.com/analytics/company/sz/000792/792/detail</t>
  </si>
  <si>
    <t>中新集团</t>
  </si>
  <si>
    <t>www.lixinger.com/analytics/company/sh/601512/601512/detail</t>
  </si>
  <si>
    <t>开滦股份</t>
  </si>
  <si>
    <t>焦炭</t>
  </si>
  <si>
    <t>www.lixinger.com/analytics/company/sh/600997/600997/detail</t>
  </si>
  <si>
    <t>古井贡酒</t>
  </si>
  <si>
    <t>www.lixinger.com/analytics/company/sz/000596/596/detail</t>
  </si>
  <si>
    <t>节能铁汉</t>
  </si>
  <si>
    <t>www.lixinger.com/analytics/company/sz/300197/300197/detail</t>
  </si>
  <si>
    <t>晶科科技</t>
  </si>
  <si>
    <t>www.lixinger.com/analytics/company/sh/601778/601778/detail</t>
  </si>
  <si>
    <t>中文传媒</t>
  </si>
  <si>
    <t>大众出版</t>
  </si>
  <si>
    <t>www.lixinger.com/analytics/company/sh/600373/600373/detail</t>
  </si>
  <si>
    <t>华林证券</t>
  </si>
  <si>
    <t>www.lixinger.com/analytics/company/sz/002945/2945/detail</t>
  </si>
  <si>
    <t>协鑫能科</t>
  </si>
  <si>
    <t>热力服务</t>
  </si>
  <si>
    <t>www.lixinger.com/analytics/company/sz/002015/2015/detail</t>
  </si>
  <si>
    <t>大族激光</t>
  </si>
  <si>
    <t>激光设备</t>
  </si>
  <si>
    <t>www.lixinger.com/analytics/company/sz/002008/2008/detail</t>
  </si>
  <si>
    <t>中金岭南</t>
  </si>
  <si>
    <t>铅锌</t>
  </si>
  <si>
    <t>www.lixinger.com/analytics/company/sz/000060/60/detail</t>
  </si>
  <si>
    <t>美锦能源</t>
  </si>
  <si>
    <t>www.lixinger.com/analytics/company/sz/000723/723/detail</t>
  </si>
  <si>
    <t>兰花科创</t>
  </si>
  <si>
    <t>www.lixinger.com/analytics/company/sh/600123/600123/detail</t>
  </si>
  <si>
    <t>华邦健康</t>
  </si>
  <si>
    <t>www.lixinger.com/analytics/company/sz/002004/2004/detail</t>
  </si>
  <si>
    <t>盛屯矿业</t>
  </si>
  <si>
    <t>www.lixinger.com/analytics/company/sh/600711/600711/detail</t>
  </si>
  <si>
    <t>瀚蓝环境</t>
  </si>
  <si>
    <t>固废治理</t>
  </si>
  <si>
    <t>www.lixinger.com/analytics/company/sh/600323/600323/detail</t>
  </si>
  <si>
    <t>浙江东方</t>
  </si>
  <si>
    <t>www.lixinger.com/analytics/company/sh/600120/600120/detail</t>
  </si>
  <si>
    <t>万达电影</t>
  </si>
  <si>
    <t>院线</t>
  </si>
  <si>
    <t>www.lixinger.com/analytics/company/sz/002739/2739/detail</t>
  </si>
  <si>
    <t>西部建设</t>
  </si>
  <si>
    <t>水泥制品</t>
  </si>
  <si>
    <t>www.lixinger.com/analytics/company/sz/002302/2302/detail</t>
  </si>
  <si>
    <t>日照港</t>
  </si>
  <si>
    <t>www.lixinger.com/analytics/company/sh/600017/600017/detail</t>
  </si>
  <si>
    <t>武商集团</t>
  </si>
  <si>
    <t>www.lixinger.com/analytics/company/sz/000501/501/detail</t>
  </si>
  <si>
    <t>科大讯飞</t>
  </si>
  <si>
    <t>www.lixinger.com/analytics/company/sz/002230/2230/detail</t>
  </si>
  <si>
    <t>际华集团</t>
  </si>
  <si>
    <t>www.lixinger.com/analytics/company/sh/601718/601718/detail</t>
  </si>
  <si>
    <t>宇通客车</t>
  </si>
  <si>
    <t>商用载客车</t>
  </si>
  <si>
    <t>www.lixinger.com/analytics/company/sh/600066/600066/detail</t>
  </si>
  <si>
    <t>通富微电</t>
  </si>
  <si>
    <t>www.lixinger.com/analytics/company/sz/002156/2156/detail</t>
  </si>
  <si>
    <t>华天科技</t>
  </si>
  <si>
    <t>www.lixinger.com/analytics/company/sz/002185/2185/detail</t>
  </si>
  <si>
    <t>重庆水务</t>
  </si>
  <si>
    <t>www.lixinger.com/analytics/company/sh/601158/601158/detail</t>
  </si>
  <si>
    <t>上海环境</t>
  </si>
  <si>
    <t>www.lixinger.com/analytics/company/sh/601200/601200/detail</t>
  </si>
  <si>
    <t>威孚高科</t>
  </si>
  <si>
    <t>www.lixinger.com/analytics/company/sz/000581/581/detail</t>
  </si>
  <si>
    <t>吉林敖东</t>
  </si>
  <si>
    <t>www.lixinger.com/analytics/company/sz/000623/623/detail</t>
  </si>
  <si>
    <t>内蒙一机</t>
  </si>
  <si>
    <t>地面兵装</t>
  </si>
  <si>
    <t>www.lixinger.com/analytics/company/sh/600967/600967/detail</t>
  </si>
  <si>
    <t>盈峰环境</t>
  </si>
  <si>
    <t>环保设备</t>
  </si>
  <si>
    <t>www.lixinger.com/analytics/company/sz/000967/967/detail</t>
  </si>
  <si>
    <t>豫能控股</t>
  </si>
  <si>
    <t>www.lixinger.com/analytics/company/sz/001896/1896/detail</t>
  </si>
  <si>
    <t>凤凰传媒</t>
  </si>
  <si>
    <t>教育出版</t>
  </si>
  <si>
    <t>www.lixinger.com/analytics/company/sh/601928/601928/detail</t>
  </si>
  <si>
    <t>大全能源</t>
  </si>
  <si>
    <t>www.lixinger.com/analytics/company/sh/688303/688303/detail</t>
  </si>
  <si>
    <t>天能股份</t>
  </si>
  <si>
    <t>蓄电池及其他电池</t>
  </si>
  <si>
    <t>www.lixinger.com/analytics/company/sh/688819/688819/detail</t>
  </si>
  <si>
    <t>汇川技术</t>
  </si>
  <si>
    <t>工控设备</t>
  </si>
  <si>
    <t>www.lixinger.com/analytics/company/sz/300124/300124/detail</t>
  </si>
  <si>
    <t>驰宏锌锗</t>
  </si>
  <si>
    <t>www.lixinger.com/analytics/company/sh/600497/600497/detail</t>
  </si>
  <si>
    <t>东湖高新</t>
  </si>
  <si>
    <t>www.lixinger.com/analytics/company/sh/600133/600133/detail</t>
  </si>
  <si>
    <t>香江控股</t>
  </si>
  <si>
    <t>www.lixinger.com/analytics/company/sh/600162/600162/detail</t>
  </si>
  <si>
    <t>华东医药</t>
  </si>
  <si>
    <t>www.lixinger.com/analytics/company/sz/000963/963/detail</t>
  </si>
  <si>
    <t>金开新能</t>
  </si>
  <si>
    <t>www.lixinger.com/analytics/company/sh/600821/600821/detail</t>
  </si>
  <si>
    <t>国机重装</t>
  </si>
  <si>
    <t>www.lixinger.com/analytics/company/sh/601399/601399/detail</t>
  </si>
  <si>
    <t>南京医药</t>
  </si>
  <si>
    <t>www.lixinger.com/analytics/company/sh/600713/600713/detail</t>
  </si>
  <si>
    <t>秦港股份</t>
  </si>
  <si>
    <t>www.lixinger.com/analytics/company/sh/601326/601326/detail</t>
  </si>
  <si>
    <t>深科技</t>
  </si>
  <si>
    <t>www.lixinger.com/analytics/company/sz/000021/21/detail</t>
  </si>
  <si>
    <t>恩捷股份</t>
  </si>
  <si>
    <t>www.lixinger.com/analytics/company/sz/002812/2812/detail</t>
  </si>
  <si>
    <t>合力泰</t>
  </si>
  <si>
    <t>www.lixinger.com/analytics/company/sz/002217/2217/detail</t>
  </si>
  <si>
    <t>中航光电</t>
  </si>
  <si>
    <t>军工电子</t>
  </si>
  <si>
    <t>www.lixinger.com/analytics/company/sz/002179/2179/detail</t>
  </si>
  <si>
    <t>天沃科技</t>
  </si>
  <si>
    <t>www.lixinger.com/analytics/company/sz/002564/2564/detail</t>
  </si>
  <si>
    <t>大北农</t>
  </si>
  <si>
    <t>畜禽饲料</t>
  </si>
  <si>
    <t>www.lixinger.com/analytics/company/sz/002385/2385/detail</t>
  </si>
  <si>
    <t>上海莱士</t>
  </si>
  <si>
    <t>血液制品</t>
  </si>
  <si>
    <t>www.lixinger.com/analytics/company/sz/002252/2252/detail</t>
  </si>
  <si>
    <t>电气风电</t>
  </si>
  <si>
    <t>www.lixinger.com/analytics/company/sh/688660/688660/detail</t>
  </si>
  <si>
    <t>五矿发展</t>
  </si>
  <si>
    <t>www.lixinger.com/analytics/company/sh/600058/600058/detail</t>
  </si>
  <si>
    <t>北部湾港</t>
  </si>
  <si>
    <t>www.lixinger.com/analytics/company/sz/000582/582/detail</t>
  </si>
  <si>
    <t>瑞茂通</t>
  </si>
  <si>
    <t>www.lixinger.com/analytics/company/sh/600180/600180/detail</t>
  </si>
  <si>
    <t>中直股份</t>
  </si>
  <si>
    <t>www.lixinger.com/analytics/company/sh/600038/600038/detail</t>
  </si>
  <si>
    <t>瑞康医药</t>
  </si>
  <si>
    <t>www.lixinger.com/analytics/company/sz/002589/2589/detail</t>
  </si>
  <si>
    <t>赛轮轮胎</t>
  </si>
  <si>
    <t>www.lixinger.com/analytics/company/sh/601058/601058/detail</t>
  </si>
  <si>
    <t>龙建股份</t>
  </si>
  <si>
    <t>www.lixinger.com/analytics/company/sh/600853/600853/detail</t>
  </si>
  <si>
    <t>木林森</t>
  </si>
  <si>
    <t>www.lixinger.com/analytics/company/sz/002745/2745/detail</t>
  </si>
  <si>
    <t>国药股份</t>
  </si>
  <si>
    <t>www.lixinger.com/analytics/company/sh/600511/600511/detail</t>
  </si>
  <si>
    <t>齐翔腾达</t>
  </si>
  <si>
    <t>www.lixinger.com/analytics/company/sz/002408/2408/detail</t>
  </si>
  <si>
    <t>北新建材</t>
  </si>
  <si>
    <t>其他建材</t>
  </si>
  <si>
    <t>www.lixinger.com/analytics/company/sz/000786/786/detail</t>
  </si>
  <si>
    <t>白云机场</t>
  </si>
  <si>
    <t>www.lixinger.com/analytics/company/sh/600004/600004/detail</t>
  </si>
  <si>
    <t>神马股份</t>
  </si>
  <si>
    <t>锦纶</t>
  </si>
  <si>
    <t>www.lixinger.com/analytics/company/sh/600810/600810/detail</t>
  </si>
  <si>
    <t>龙净环保</t>
  </si>
  <si>
    <t>大气治理</t>
  </si>
  <si>
    <t>www.lixinger.com/analytics/company/sh/600388/600388/detail</t>
  </si>
  <si>
    <t>汇鸿集团</t>
  </si>
  <si>
    <t>www.lixinger.com/analytics/company/sh/600981/600981/detail</t>
  </si>
  <si>
    <t>爱建集团</t>
  </si>
  <si>
    <t>www.lixinger.com/analytics/company/sh/600643/600643/detail</t>
  </si>
  <si>
    <t>陕鼓动力</t>
  </si>
  <si>
    <t>其他通用设备</t>
  </si>
  <si>
    <t>www.lixinger.com/analytics/company/sh/601369/601369/detail</t>
  </si>
  <si>
    <t>*ST大集</t>
  </si>
  <si>
    <t>www.lixinger.com/analytics/company/sz/000564/564/detail</t>
  </si>
  <si>
    <t>三友化工</t>
  </si>
  <si>
    <t>粘胶</t>
  </si>
  <si>
    <t>www.lixinger.com/analytics/company/sh/600409/600409/detail</t>
  </si>
  <si>
    <t>远兴能源</t>
  </si>
  <si>
    <t>纯碱</t>
  </si>
  <si>
    <t>www.lixinger.com/analytics/company/sz/000683/683/detail</t>
  </si>
  <si>
    <t>新潮能源</t>
  </si>
  <si>
    <t>油气开采</t>
  </si>
  <si>
    <t>www.lixinger.com/analytics/company/sh/600777/600777/detail</t>
  </si>
  <si>
    <t>昊华能源</t>
  </si>
  <si>
    <t>www.lixinger.com/analytics/company/sh/601101/601101/detail</t>
  </si>
  <si>
    <t>深圳机场</t>
  </si>
  <si>
    <t>www.lixinger.com/analytics/company/sz/000089/89/detail</t>
  </si>
  <si>
    <t>中科曙光</t>
  </si>
  <si>
    <t>www.lixinger.com/analytics/company/sh/603019/603019/detail</t>
  </si>
  <si>
    <t>首旅酒店</t>
  </si>
  <si>
    <t>www.lixinger.com/analytics/company/sh/600258/600258/detail</t>
  </si>
  <si>
    <t>生益科技</t>
  </si>
  <si>
    <t>www.lixinger.com/analytics/company/sh/600183/600183/detail</t>
  </si>
  <si>
    <t>江河集团</t>
  </si>
  <si>
    <t>www.lixinger.com/analytics/company/sh/601886/601886/detail</t>
  </si>
  <si>
    <t>金龙汽车</t>
  </si>
  <si>
    <t>www.lixinger.com/analytics/company/sh/600686/600686/detail</t>
  </si>
  <si>
    <t>东旭蓝天</t>
  </si>
  <si>
    <t>www.lixinger.com/analytics/company/sz/000040/40/detail</t>
  </si>
  <si>
    <t>芒果超媒</t>
  </si>
  <si>
    <t>视频媒体</t>
  </si>
  <si>
    <t>www.lixinger.com/analytics/company/sz/300413/300413/detail</t>
  </si>
  <si>
    <t>中航电子</t>
  </si>
  <si>
    <t>www.lixinger.com/analytics/company/sh/600372/600372/detail</t>
  </si>
  <si>
    <t>分众传媒</t>
  </si>
  <si>
    <t>广告媒体</t>
  </si>
  <si>
    <t>www.lixinger.com/analytics/company/sz/002027/2027/detail</t>
  </si>
  <si>
    <t>江铃汽车</t>
  </si>
  <si>
    <t>www.lixinger.com/analytics/company/sz/000550/550/detail</t>
  </si>
  <si>
    <t>同仁堂</t>
  </si>
  <si>
    <t>www.lixinger.com/analytics/company/sh/600085/600085/detail</t>
  </si>
  <si>
    <t>南玻Ｂ</t>
  </si>
  <si>
    <t>www.lixinger.com/analytics/company/sz/200012/200012/detail</t>
  </si>
  <si>
    <t>中储股份</t>
  </si>
  <si>
    <t>仓储物流</t>
  </si>
  <si>
    <t>www.lixinger.com/analytics/company/sh/600787/600787/detail</t>
  </si>
  <si>
    <t>南京新百</t>
  </si>
  <si>
    <t>其他生物制品</t>
  </si>
  <si>
    <t>www.lixinger.com/analytics/company/sh/600682/600682/detail</t>
  </si>
  <si>
    <t>诚志股份</t>
  </si>
  <si>
    <t>www.lixinger.com/analytics/company/sz/000990/990/detail</t>
  </si>
  <si>
    <t>华北制药</t>
  </si>
  <si>
    <t>www.lixinger.com/analytics/company/sh/600812/600812/detail</t>
  </si>
  <si>
    <t>欧菲光</t>
  </si>
  <si>
    <t>光学元件</t>
  </si>
  <si>
    <t>www.lixinger.com/analytics/company/sz/002456/2456/detail</t>
  </si>
  <si>
    <t>先导智能</t>
  </si>
  <si>
    <t>锂电专用设备</t>
  </si>
  <si>
    <t>www.lixinger.com/analytics/company/sz/300450/300450/detail</t>
  </si>
  <si>
    <t>方大特钢</t>
  </si>
  <si>
    <t>www.lixinger.com/analytics/company/sh/600507/600507/detail</t>
  </si>
  <si>
    <t>盘江股份</t>
  </si>
  <si>
    <t>www.lixinger.com/analytics/company/sh/600395/600395/detail</t>
  </si>
  <si>
    <t>华数传媒</t>
  </si>
  <si>
    <t>www.lixinger.com/analytics/company/sz/000156/156/detail</t>
  </si>
  <si>
    <t>泰格医药</t>
  </si>
  <si>
    <t>www.lixinger.com/analytics/company/sz/300347/300347/detail</t>
  </si>
  <si>
    <t>运达股份</t>
  </si>
  <si>
    <t>www.lixinger.com/analytics/company/sz/300772/300772/detail</t>
  </si>
  <si>
    <t>动力新科</t>
  </si>
  <si>
    <t>www.lixinger.com/analytics/company/sh/600841/600841/detail</t>
  </si>
  <si>
    <t>欧派家居</t>
  </si>
  <si>
    <t>定制家居</t>
  </si>
  <si>
    <t>www.lixinger.com/analytics/company/sh/603833/603833/detail</t>
  </si>
  <si>
    <t>老凤祥</t>
  </si>
  <si>
    <t>钟表珠宝</t>
  </si>
  <si>
    <t>www.lixinger.com/analytics/company/sh/600612/600612/detail</t>
  </si>
  <si>
    <t>三花智控</t>
  </si>
  <si>
    <t>家电零部件</t>
  </si>
  <si>
    <t>www.lixinger.com/analytics/company/sz/002050/2050/detail</t>
  </si>
  <si>
    <t>中钢国际</t>
  </si>
  <si>
    <t>www.lixinger.com/analytics/company/sz/000928/928/detail</t>
  </si>
  <si>
    <t>中远海特</t>
  </si>
  <si>
    <t>www.lixinger.com/analytics/company/sh/600428/600428/detail</t>
  </si>
  <si>
    <t>中国天楹</t>
  </si>
  <si>
    <t>www.lixinger.com/analytics/company/sz/000035/35/detail</t>
  </si>
  <si>
    <t>兆驰股份</t>
  </si>
  <si>
    <t>www.lixinger.com/analytics/company/sz/002429/2429/detail</t>
  </si>
  <si>
    <t>华润三九</t>
  </si>
  <si>
    <t>www.lixinger.com/analytics/company/sz/000999/999/detail</t>
  </si>
  <si>
    <t>栖霞建设</t>
  </si>
  <si>
    <t>www.lixinger.com/analytics/company/sh/600533/600533/detail</t>
  </si>
  <si>
    <t>璞泰来</t>
  </si>
  <si>
    <t>www.lixinger.com/analytics/company/sh/603659/603659/detail</t>
  </si>
  <si>
    <t>光明乳业</t>
  </si>
  <si>
    <t>www.lixinger.com/analytics/company/sh/600597/600597/detail</t>
  </si>
  <si>
    <t>大众公用</t>
  </si>
  <si>
    <t>www.lixinger.com/analytics/company/sh/600635/600635/detail</t>
  </si>
  <si>
    <t>步长制药</t>
  </si>
  <si>
    <t>www.lixinger.com/analytics/company/sh/603858/603858/detail</t>
  </si>
  <si>
    <t>太极实业</t>
  </si>
  <si>
    <t>www.lixinger.com/analytics/company/sh/600667/600667/detail</t>
  </si>
  <si>
    <t>唐山港</t>
  </si>
  <si>
    <t>www.lixinger.com/analytics/company/sh/601000/601000/detail</t>
  </si>
  <si>
    <t>阳煤化工</t>
  </si>
  <si>
    <t>氮肥</t>
  </si>
  <si>
    <t>www.lixinger.com/analytics/company/sh/600691/600691/detail</t>
  </si>
  <si>
    <t>冠城大通</t>
  </si>
  <si>
    <t>www.lixinger.com/analytics/company/sh/600067/600067/detail</t>
  </si>
  <si>
    <t>铁建重工</t>
  </si>
  <si>
    <t>www.lixinger.com/analytics/company/sh/688425/688425/detail</t>
  </si>
  <si>
    <t>丽珠集团</t>
  </si>
  <si>
    <t>www.lixinger.com/analytics/company/sz/000513/513/detail</t>
  </si>
  <si>
    <t>中南传媒</t>
  </si>
  <si>
    <t>www.lixinger.com/analytics/company/sh/601098/601098/detail</t>
  </si>
  <si>
    <t>深振业Ａ</t>
  </si>
  <si>
    <t>www.lixinger.com/analytics/company/sz/000006/6/detail</t>
  </si>
  <si>
    <t>庞大集团</t>
  </si>
  <si>
    <t>www.lixinger.com/analytics/company/sh/601258/601258/detail</t>
  </si>
  <si>
    <t>合肥城建</t>
  </si>
  <si>
    <t>www.lixinger.com/analytics/company/sz/002208/2208/detail</t>
  </si>
  <si>
    <t>福莱特</t>
  </si>
  <si>
    <t>光伏辅材</t>
  </si>
  <si>
    <t>www.lixinger.com/analytics/company/sh/601865/601865/detail</t>
  </si>
  <si>
    <t>长春高新</t>
  </si>
  <si>
    <t>www.lixinger.com/analytics/company/sz/000661/661/detail</t>
  </si>
  <si>
    <t>华润微</t>
  </si>
  <si>
    <t>集成电路制造</t>
  </si>
  <si>
    <t>www.lixinger.com/analytics/company/sh/688396/688396/detail</t>
  </si>
  <si>
    <t>东阳光</t>
  </si>
  <si>
    <t>www.lixinger.com/analytics/company/sh/600673/600673/detail</t>
  </si>
  <si>
    <t>城发环境</t>
  </si>
  <si>
    <t>www.lixinger.com/analytics/company/sz/000885/885/detail</t>
  </si>
  <si>
    <t>航天信息</t>
  </si>
  <si>
    <t>www.lixinger.com/analytics/company/sh/600271/600271/detail</t>
  </si>
  <si>
    <t>ST中孚</t>
  </si>
  <si>
    <t>www.lixinger.com/analytics/company/sh/600595/600595/detail</t>
  </si>
  <si>
    <t>金田铜业</t>
  </si>
  <si>
    <t>www.lixinger.com/analytics/company/sh/601609/601609/detail</t>
  </si>
  <si>
    <t>绿色动力</t>
  </si>
  <si>
    <t>www.lixinger.com/analytics/company/sh/601330/601330/detail</t>
  </si>
  <si>
    <t>京能置业</t>
  </si>
  <si>
    <t>www.lixinger.com/analytics/company/sh/600791/600791/detail</t>
  </si>
  <si>
    <t>三峰环境</t>
  </si>
  <si>
    <t>www.lixinger.com/analytics/company/sh/601827/601827/detail</t>
  </si>
  <si>
    <t>孚能科技</t>
  </si>
  <si>
    <t>www.lixinger.com/analytics/company/sh/688567/688567/detail</t>
  </si>
  <si>
    <t>欧亚集团</t>
  </si>
  <si>
    <t>www.lixinger.com/analytics/company/sh/600697/600697/detail</t>
  </si>
  <si>
    <t>梅花生物</t>
  </si>
  <si>
    <t>www.lixinger.com/analytics/company/sh/600873/600873/detail</t>
  </si>
  <si>
    <t>爱尔眼科</t>
  </si>
  <si>
    <t>医院</t>
  </si>
  <si>
    <t>www.lixinger.com/analytics/company/sz/300015/300015/detail</t>
  </si>
  <si>
    <t>*ST华源</t>
  </si>
  <si>
    <t>www.lixinger.com/analytics/company/sh/600726/600726/detail</t>
  </si>
  <si>
    <t>中山公用</t>
  </si>
  <si>
    <t>www.lixinger.com/analytics/company/sz/000685/685/detail</t>
  </si>
  <si>
    <t>美好置业</t>
  </si>
  <si>
    <t>www.lixinger.com/analytics/company/sz/000667/667/detail</t>
  </si>
  <si>
    <t>卧龙电驱</t>
  </si>
  <si>
    <t>电机</t>
  </si>
  <si>
    <t>www.lixinger.com/analytics/company/sh/600580/600580/detail</t>
  </si>
  <si>
    <t>恒邦股份</t>
  </si>
  <si>
    <t>www.lixinger.com/analytics/company/sz/002237/2237/detail</t>
  </si>
  <si>
    <t>中集车辆</t>
  </si>
  <si>
    <t>www.lixinger.com/analytics/company/sz/301039/301039/detail</t>
  </si>
  <si>
    <t>京运通</t>
  </si>
  <si>
    <t>www.lixinger.com/analytics/company/sh/601908/601908/detail</t>
  </si>
  <si>
    <t>桂东电力</t>
  </si>
  <si>
    <t>www.lixinger.com/analytics/company/sh/600310/600310/detail</t>
  </si>
  <si>
    <t>中工国际</t>
  </si>
  <si>
    <t>www.lixinger.com/analytics/company/sz/002051/2051/detail</t>
  </si>
  <si>
    <t>大有能源</t>
  </si>
  <si>
    <t>www.lixinger.com/analytics/company/sh/600403/600403/detail</t>
  </si>
  <si>
    <t>厦门信达</t>
  </si>
  <si>
    <t>其他电子</t>
  </si>
  <si>
    <t>www.lixinger.com/analytics/company/sz/000701/701/detail</t>
  </si>
  <si>
    <t>长源电力</t>
  </si>
  <si>
    <t>www.lixinger.com/analytics/company/sz/000966/966/detail</t>
  </si>
  <si>
    <t>中原环保</t>
  </si>
  <si>
    <t>www.lixinger.com/analytics/company/sz/000544/544/detail</t>
  </si>
  <si>
    <t>宝胜股份</t>
  </si>
  <si>
    <t>线缆部件及其他</t>
  </si>
  <si>
    <t>www.lixinger.com/analytics/company/sh/600973/600973/detail</t>
  </si>
  <si>
    <t>锦龙股份</t>
  </si>
  <si>
    <t>www.lixinger.com/analytics/company/sz/000712/712/detail</t>
  </si>
  <si>
    <t>韶钢松山</t>
  </si>
  <si>
    <t>www.lixinger.com/analytics/company/sz/000717/717/detail</t>
  </si>
  <si>
    <t>博汇纸业</t>
  </si>
  <si>
    <t>www.lixinger.com/analytics/company/sh/600966/600966/detail</t>
  </si>
  <si>
    <t>中国武夷</t>
  </si>
  <si>
    <t>www.lixinger.com/analytics/company/sz/000797/797/detail</t>
  </si>
  <si>
    <t>宁波建工</t>
  </si>
  <si>
    <t>www.lixinger.com/analytics/company/sh/601789/601789/detail</t>
  </si>
  <si>
    <t>三峡水利</t>
  </si>
  <si>
    <t>www.lixinger.com/analytics/company/sh/600116/600116/detail</t>
  </si>
  <si>
    <t>陕西黑猫</t>
  </si>
  <si>
    <t>www.lixinger.com/analytics/company/sh/601015/601015/detail</t>
  </si>
  <si>
    <t>浙富控股</t>
  </si>
  <si>
    <t>www.lixinger.com/analytics/company/sz/002266/2266/detail</t>
  </si>
  <si>
    <t>旗滨集团</t>
  </si>
  <si>
    <t>玻璃制造</t>
  </si>
  <si>
    <t>www.lixinger.com/analytics/company/sh/601636/601636/detail</t>
  </si>
  <si>
    <t>天富能源</t>
  </si>
  <si>
    <t>www.lixinger.com/analytics/company/sh/600509/600509/detail</t>
  </si>
  <si>
    <t>清新环境</t>
  </si>
  <si>
    <t>www.lixinger.com/analytics/company/sz/002573/2573/detail</t>
  </si>
  <si>
    <t>用友网络</t>
  </si>
  <si>
    <t>www.lixinger.com/analytics/company/sh/600588/600588/detail</t>
  </si>
  <si>
    <t>新黄浦</t>
  </si>
  <si>
    <t>www.lixinger.com/analytics/company/sh/600638/600638/detail</t>
  </si>
  <si>
    <t>长飞光纤</t>
  </si>
  <si>
    <t>www.lixinger.com/analytics/company/sh/601869/601869/detail</t>
  </si>
  <si>
    <t>电子城</t>
  </si>
  <si>
    <t>www.lixinger.com/analytics/company/sh/600658/600658/detail</t>
  </si>
  <si>
    <t>乐普医疗</t>
  </si>
  <si>
    <t>医疗耗材</t>
  </si>
  <si>
    <t>www.lixinger.com/analytics/company/sz/300003/300003/detail</t>
  </si>
  <si>
    <t>亚厦股份</t>
  </si>
  <si>
    <t>www.lixinger.com/analytics/company/sz/002375/2375/detail</t>
  </si>
  <si>
    <t>浙版传媒</t>
  </si>
  <si>
    <t>www.lixinger.com/analytics/company/sh/601921/601921/detail</t>
  </si>
  <si>
    <t>山西焦化</t>
  </si>
  <si>
    <t>www.lixinger.com/analytics/company/sh/600740/600740/detail</t>
  </si>
  <si>
    <t>创业环保</t>
  </si>
  <si>
    <t>www.lixinger.com/analytics/company/sh/600874/600874/detail</t>
  </si>
  <si>
    <t>东华软件</t>
  </si>
  <si>
    <t>www.lixinger.com/analytics/company/sz/002065/2065/detail</t>
  </si>
  <si>
    <t>东航物流</t>
  </si>
  <si>
    <t>www.lixinger.com/analytics/company/sh/601156/601156/detail</t>
  </si>
  <si>
    <t>农产品</t>
  </si>
  <si>
    <t>www.lixinger.com/analytics/company/sz/000061/61/detail</t>
  </si>
  <si>
    <t>海立股份</t>
  </si>
  <si>
    <t>www.lixinger.com/analytics/company/sh/600619/600619/detail</t>
  </si>
  <si>
    <t>市北高新</t>
  </si>
  <si>
    <t>www.lixinger.com/analytics/company/sh/600604/600604/detail</t>
  </si>
  <si>
    <t>杰瑞股份</t>
  </si>
  <si>
    <t>www.lixinger.com/analytics/company/sz/002353/2353/detail</t>
  </si>
  <si>
    <t>中国电影</t>
  </si>
  <si>
    <t>影视动漫制作</t>
  </si>
  <si>
    <t>www.lixinger.com/analytics/company/sh/600977/600977/detail</t>
  </si>
  <si>
    <t>茂业商业</t>
  </si>
  <si>
    <t>www.lixinger.com/analytics/company/sh/600828/600828/detail</t>
  </si>
  <si>
    <t>东莞控股</t>
  </si>
  <si>
    <t>www.lixinger.com/analytics/company/sz/000828/828/detail</t>
  </si>
  <si>
    <t>南玻Ａ</t>
  </si>
  <si>
    <t>www.lixinger.com/analytics/company/sz/000012/12/detail</t>
  </si>
  <si>
    <t>华孚时尚</t>
  </si>
  <si>
    <t>棉纺</t>
  </si>
  <si>
    <t>www.lixinger.com/analytics/company/sz/002042/2042/detail</t>
  </si>
  <si>
    <t>浦东建设</t>
  </si>
  <si>
    <t>www.lixinger.com/analytics/company/sh/600284/600284/detail</t>
  </si>
  <si>
    <t>大连重工</t>
  </si>
  <si>
    <t>www.lixinger.com/analytics/company/sz/002204/2204/detail</t>
  </si>
  <si>
    <t>山河智能</t>
  </si>
  <si>
    <t>www.lixinger.com/analytics/company/sz/002097/2097/detail</t>
  </si>
  <si>
    <t>英科医疗</t>
  </si>
  <si>
    <t>www.lixinger.com/analytics/company/sz/300677/300677/detail</t>
  </si>
  <si>
    <t>宁波华翔</t>
  </si>
  <si>
    <t>www.lixinger.com/analytics/company/sz/002048/2048/detail</t>
  </si>
  <si>
    <t>燕京啤酒</t>
  </si>
  <si>
    <t>www.lixinger.com/analytics/company/sz/000729/729/detail</t>
  </si>
  <si>
    <t>九安医疗</t>
  </si>
  <si>
    <t>www.lixinger.com/analytics/company/sz/002432/2432/detail</t>
  </si>
  <si>
    <t>安迪苏</t>
  </si>
  <si>
    <t>食品及饲料添加剂</t>
  </si>
  <si>
    <t>www.lixinger.com/analytics/company/sh/600299/600299/detail</t>
  </si>
  <si>
    <t>金山股份</t>
  </si>
  <si>
    <t>www.lixinger.com/analytics/company/sh/600396/600396/detail</t>
  </si>
  <si>
    <t>明泰铝业</t>
  </si>
  <si>
    <t>www.lixinger.com/analytics/company/sh/601677/601677/detail</t>
  </si>
  <si>
    <t>林洋能源</t>
  </si>
  <si>
    <t>www.lixinger.com/analytics/company/sh/601222/601222/detail</t>
  </si>
  <si>
    <t>中粮糖业</t>
  </si>
  <si>
    <t>其他农产品加工</t>
  </si>
  <si>
    <t>www.lixinger.com/analytics/company/sh/600737/600737/detail</t>
  </si>
  <si>
    <t>珠海港</t>
  </si>
  <si>
    <t>www.lixinger.com/analytics/company/sz/000507/507/detail</t>
  </si>
  <si>
    <t>拓普集团</t>
  </si>
  <si>
    <t>www.lixinger.com/analytics/company/sh/601689/601689/detail</t>
  </si>
  <si>
    <t>湖北宜化</t>
  </si>
  <si>
    <t>www.lixinger.com/analytics/company/sz/000422/422/detail</t>
  </si>
  <si>
    <t>海普瑞</t>
  </si>
  <si>
    <t>www.lixinger.com/analytics/company/sz/002399/2399/detail</t>
  </si>
  <si>
    <t>沪硅产业</t>
  </si>
  <si>
    <t>www.lixinger.com/analytics/company/sh/688126/688126/detail</t>
  </si>
  <si>
    <t>鹏都农牧</t>
  </si>
  <si>
    <t>其他养殖</t>
  </si>
  <si>
    <t>www.lixinger.com/analytics/company/sz/002505/2505/detail</t>
  </si>
  <si>
    <t>皖通高速</t>
  </si>
  <si>
    <t>www.lixinger.com/analytics/company/sh/600012/600012/detail</t>
  </si>
  <si>
    <t>杭汽轮Ｂ</t>
  </si>
  <si>
    <t>www.lixinger.com/analytics/company/sz/200771/200771/detail</t>
  </si>
  <si>
    <t>特锐德</t>
  </si>
  <si>
    <t>www.lixinger.com/analytics/company/sz/300001/300001/detail</t>
  </si>
  <si>
    <t>和邦生物</t>
  </si>
  <si>
    <t>www.lixinger.com/analytics/company/sh/603077/603077/detail</t>
  </si>
  <si>
    <t>中铁特货</t>
  </si>
  <si>
    <t>www.lixinger.com/analytics/company/sz/001213/1213/detail</t>
  </si>
  <si>
    <t>中信重工</t>
  </si>
  <si>
    <t>www.lixinger.com/analytics/company/sh/601608/601608/detail</t>
  </si>
  <si>
    <t>大商股份</t>
  </si>
  <si>
    <t>www.lixinger.com/analytics/company/sh/600694/600694/detail</t>
  </si>
  <si>
    <t>东风汽车</t>
  </si>
  <si>
    <t>www.lixinger.com/analytics/company/sh/600006/600006/detail</t>
  </si>
  <si>
    <t>华光环能</t>
  </si>
  <si>
    <t>www.lixinger.com/analytics/company/sh/600475/600475/detail</t>
  </si>
  <si>
    <t>山东出版</t>
  </si>
  <si>
    <t>www.lixinger.com/analytics/company/sh/601019/601019/detail</t>
  </si>
  <si>
    <t>北方国际</t>
  </si>
  <si>
    <t>www.lixinger.com/analytics/company/sz/000065/65/detail</t>
  </si>
  <si>
    <t>中国卫通</t>
  </si>
  <si>
    <t>www.lixinger.com/analytics/company/sh/601698/601698/detail</t>
  </si>
  <si>
    <t>光环新网</t>
  </si>
  <si>
    <t>www.lixinger.com/analytics/company/sz/300383/300383/detail</t>
  </si>
  <si>
    <t>新华文轩</t>
  </si>
  <si>
    <t>www.lixinger.com/analytics/company/sh/601811/601811/detail</t>
  </si>
  <si>
    <t>申通快递</t>
  </si>
  <si>
    <t>www.lixinger.com/analytics/company/sz/002468/2468/detail</t>
  </si>
  <si>
    <t>国药现代</t>
  </si>
  <si>
    <t>www.lixinger.com/analytics/company/sh/600420/600420/detail</t>
  </si>
  <si>
    <t>海正药业</t>
  </si>
  <si>
    <t>www.lixinger.com/analytics/company/sh/600267/600267/detail</t>
  </si>
  <si>
    <t>中航重机</t>
  </si>
  <si>
    <t>www.lixinger.com/analytics/company/sh/600765/600765/detail</t>
  </si>
  <si>
    <t>广宇集团</t>
  </si>
  <si>
    <t>www.lixinger.com/analytics/company/sz/002133/2133/detail</t>
  </si>
  <si>
    <t>深南电路</t>
  </si>
  <si>
    <t>www.lixinger.com/analytics/company/sz/002916/2916/detail</t>
  </si>
  <si>
    <t>鸿路钢构</t>
  </si>
  <si>
    <t>钢结构</t>
  </si>
  <si>
    <t>www.lixinger.com/analytics/company/sz/002541/2541/detail</t>
  </si>
  <si>
    <t>宝新能源</t>
  </si>
  <si>
    <t>www.lixinger.com/analytics/company/sz/000690/690/detail</t>
  </si>
  <si>
    <t>武汉控股</t>
  </si>
  <si>
    <t>www.lixinger.com/analytics/company/sh/600168/600168/detail</t>
  </si>
  <si>
    <t>粤高速Ａ</t>
  </si>
  <si>
    <t>www.lixinger.com/analytics/company/sz/000429/429/detail</t>
  </si>
  <si>
    <t>大众交通</t>
  </si>
  <si>
    <t>公交</t>
  </si>
  <si>
    <t>www.lixinger.com/analytics/company/sh/600611/600611/detail</t>
  </si>
  <si>
    <t>淮河能源</t>
  </si>
  <si>
    <t>www.lixinger.com/analytics/company/sh/600575/600575/detail</t>
  </si>
  <si>
    <t>一汽富维</t>
  </si>
  <si>
    <t>www.lixinger.com/analytics/company/sh/600742/600742/detail</t>
  </si>
  <si>
    <t>海南橡胶</t>
  </si>
  <si>
    <t>其他种植业</t>
  </si>
  <si>
    <t>www.lixinger.com/analytics/company/sh/601118/601118/detail</t>
  </si>
  <si>
    <t>虹美菱B</t>
  </si>
  <si>
    <t>www.lixinger.com/analytics/company/sz/200521/200521/detail</t>
  </si>
  <si>
    <t>平高电气</t>
  </si>
  <si>
    <t>www.lixinger.com/analytics/company/sh/600312/600312/detail</t>
  </si>
  <si>
    <t>森马服饰</t>
  </si>
  <si>
    <t>www.lixinger.com/analytics/company/sz/002563/2563/detail</t>
  </si>
  <si>
    <t>晶盛机电</t>
  </si>
  <si>
    <t>光伏加工设备</t>
  </si>
  <si>
    <t>www.lixinger.com/analytics/company/sz/300316/300316/detail</t>
  </si>
  <si>
    <t>方大炭素</t>
  </si>
  <si>
    <t>www.lixinger.com/analytics/company/sh/600516/600516/detail</t>
  </si>
  <si>
    <t>中粮科技</t>
  </si>
  <si>
    <t>www.lixinger.com/analytics/company/sz/000930/930/detail</t>
  </si>
  <si>
    <t>巨化股份</t>
  </si>
  <si>
    <t>氟化工</t>
  </si>
  <si>
    <t>www.lixinger.com/analytics/company/sh/600160/600160/detail</t>
  </si>
  <si>
    <t>华银电力</t>
  </si>
  <si>
    <t>www.lixinger.com/analytics/company/sh/600744/600744/detail</t>
  </si>
  <si>
    <t>东方创业</t>
  </si>
  <si>
    <t>www.lixinger.com/analytics/company/sh/600278/600278/detail</t>
  </si>
  <si>
    <t>宝信软件</t>
  </si>
  <si>
    <t>www.lixinger.com/analytics/company/sh/600845/600845/detail</t>
  </si>
  <si>
    <t>圣农发展</t>
  </si>
  <si>
    <t>肉鸡养殖</t>
  </si>
  <si>
    <t>www.lixinger.com/analytics/company/sz/002299/2299/detail</t>
  </si>
  <si>
    <t>三环集团</t>
  </si>
  <si>
    <t>被动元件</t>
  </si>
  <si>
    <t>www.lixinger.com/analytics/company/sz/300408/300408/detail</t>
  </si>
  <si>
    <t>天房发展</t>
  </si>
  <si>
    <t>www.lixinger.com/analytics/company/sh/600322/600322/detail</t>
  </si>
  <si>
    <t>上海能源</t>
  </si>
  <si>
    <t>www.lixinger.com/analytics/company/sh/600508/600508/detail</t>
  </si>
  <si>
    <t>中鼎股份</t>
  </si>
  <si>
    <t>其他汽车零部件</t>
  </si>
  <si>
    <t>www.lixinger.com/analytics/company/sz/000887/887/detail</t>
  </si>
  <si>
    <t>恒源煤电</t>
  </si>
  <si>
    <t>www.lixinger.com/analytics/company/sh/600971/600971/detail</t>
  </si>
  <si>
    <t>康龙化成</t>
  </si>
  <si>
    <t>www.lixinger.com/analytics/company/sz/300759/300759/detail</t>
  </si>
  <si>
    <t>顺鑫农业</t>
  </si>
  <si>
    <t>www.lixinger.com/analytics/company/sz/000860/860/detail</t>
  </si>
  <si>
    <t>蓝色光标</t>
  </si>
  <si>
    <t>营销代理</t>
  </si>
  <si>
    <t>www.lixinger.com/analytics/company/sz/300058/300058/detail</t>
  </si>
  <si>
    <t>凌云股份</t>
  </si>
  <si>
    <t>www.lixinger.com/analytics/company/sh/600480/600480/detail</t>
  </si>
  <si>
    <t>天邦股份</t>
  </si>
  <si>
    <t>www.lixinger.com/analytics/company/sz/002124/2124/detail</t>
  </si>
  <si>
    <t>电广传媒</t>
  </si>
  <si>
    <t>www.lixinger.com/analytics/company/sz/000917/917/detail</t>
  </si>
  <si>
    <t>新安股份</t>
  </si>
  <si>
    <t>有机硅</t>
  </si>
  <si>
    <t>www.lixinger.com/analytics/company/sh/600596/600596/detail</t>
  </si>
  <si>
    <t>上机数控</t>
  </si>
  <si>
    <t>www.lixinger.com/analytics/company/sh/603185/603185/detail</t>
  </si>
  <si>
    <t>洪城环境</t>
  </si>
  <si>
    <t>www.lixinger.com/analytics/company/sh/600461/600461/detail</t>
  </si>
  <si>
    <t>*ST银亿</t>
  </si>
  <si>
    <t>www.lixinger.com/analytics/company/sz/000981/981/detail</t>
  </si>
  <si>
    <t>裕同科技</t>
  </si>
  <si>
    <t>纸包装</t>
  </si>
  <si>
    <t>www.lixinger.com/analytics/company/sz/002831/2831/detail</t>
  </si>
  <si>
    <t>千方科技</t>
  </si>
  <si>
    <t>www.lixinger.com/analytics/company/sz/002373/2373/detail</t>
  </si>
  <si>
    <t>力帆科技</t>
  </si>
  <si>
    <t>摩托车</t>
  </si>
  <si>
    <t>www.lixinger.com/analytics/company/sh/601777/601777/detail</t>
  </si>
  <si>
    <t>重庆百货</t>
  </si>
  <si>
    <t>www.lixinger.com/analytics/company/sh/600729/600729/detail</t>
  </si>
  <si>
    <t>老百姓</t>
  </si>
  <si>
    <t>线下药店</t>
  </si>
  <si>
    <t>www.lixinger.com/analytics/company/sh/603883/603883/detail</t>
  </si>
  <si>
    <t>中谷物流</t>
  </si>
  <si>
    <t>www.lixinger.com/analytics/company/sh/603565/603565/detail</t>
  </si>
  <si>
    <t>珠海冠宇</t>
  </si>
  <si>
    <t>www.lixinger.com/analytics/company/sh/688772/688772/detail</t>
  </si>
  <si>
    <t>上海钢联</t>
  </si>
  <si>
    <t>垂直应用软件</t>
  </si>
  <si>
    <t>www.lixinger.com/analytics/company/sz/300226/300226/detail</t>
  </si>
  <si>
    <t>精工钢构</t>
  </si>
  <si>
    <t>www.lixinger.com/analytics/company/sh/600496/600496/detail</t>
  </si>
  <si>
    <t>中色股份</t>
  </si>
  <si>
    <t>www.lixinger.com/analytics/company/sz/000758/758/detail</t>
  </si>
  <si>
    <t>锦州港</t>
  </si>
  <si>
    <t>www.lixinger.com/analytics/company/sh/600190/600190/detail</t>
  </si>
  <si>
    <t>爱旭股份</t>
  </si>
  <si>
    <t>www.lixinger.com/analytics/company/sh/600732/600732/detail</t>
  </si>
  <si>
    <t>皖新传媒</t>
  </si>
  <si>
    <t>www.lixinger.com/analytics/company/sh/601801/601801/detail</t>
  </si>
  <si>
    <t>东软集团</t>
  </si>
  <si>
    <t>www.lixinger.com/analytics/company/sh/600718/600718/detail</t>
  </si>
  <si>
    <t>容百科技</t>
  </si>
  <si>
    <t>www.lixinger.com/analytics/company/sh/688005/688005/detail</t>
  </si>
  <si>
    <t>滨化股份</t>
  </si>
  <si>
    <t>www.lixinger.com/analytics/company/sh/601678/601678/detail</t>
  </si>
  <si>
    <t>高能环境</t>
  </si>
  <si>
    <t>www.lixinger.com/analytics/company/sh/603588/603588/detail</t>
  </si>
  <si>
    <t>友发集团</t>
  </si>
  <si>
    <t>www.lixinger.com/analytics/company/sh/601686/601686/detail</t>
  </si>
  <si>
    <t>粤照明Ｂ</t>
  </si>
  <si>
    <t>www.lixinger.com/analytics/company/sz/200541/200541/detail</t>
  </si>
  <si>
    <t>深物业B</t>
  </si>
  <si>
    <t>www.lixinger.com/analytics/company/sz/200011/200011/detail</t>
  </si>
  <si>
    <t>利欧股份</t>
  </si>
  <si>
    <t>www.lixinger.com/analytics/company/sz/002131/2131/detail</t>
  </si>
  <si>
    <t>浙农股份</t>
  </si>
  <si>
    <t>www.lixinger.com/analytics/company/sz/002758/2758/detail</t>
  </si>
  <si>
    <t>万年青</t>
  </si>
  <si>
    <t>www.lixinger.com/analytics/company/sz/000789/789/detail</t>
  </si>
  <si>
    <t>远东股份</t>
  </si>
  <si>
    <t>www.lixinger.com/analytics/company/sh/600869/600869/detail</t>
  </si>
  <si>
    <t>鸿达兴业</t>
  </si>
  <si>
    <t>www.lixinger.com/analytics/company/sz/002002/2002/detail</t>
  </si>
  <si>
    <t>岭南股份</t>
  </si>
  <si>
    <t>www.lixinger.com/analytics/company/sz/002717/2717/detail</t>
  </si>
  <si>
    <t>甘肃电投</t>
  </si>
  <si>
    <t>www.lixinger.com/analytics/company/sz/000791/791/detail</t>
  </si>
  <si>
    <t>鼎胜新材</t>
  </si>
  <si>
    <t>www.lixinger.com/analytics/company/sh/603876/603876/detail</t>
  </si>
  <si>
    <t>傲农生物</t>
  </si>
  <si>
    <t>www.lixinger.com/analytics/company/sh/603363/603363/detail</t>
  </si>
  <si>
    <t>天音控股</t>
  </si>
  <si>
    <t>专业连锁</t>
  </si>
  <si>
    <t>www.lixinger.com/analytics/company/sz/000829/829/detail</t>
  </si>
  <si>
    <t>楚天高速</t>
  </si>
  <si>
    <t>www.lixinger.com/analytics/company/sh/600035/600035/detail</t>
  </si>
  <si>
    <t>黔源电力</t>
  </si>
  <si>
    <t>www.lixinger.com/analytics/company/sz/002039/2039/detail</t>
  </si>
  <si>
    <t>美年健康</t>
  </si>
  <si>
    <t>www.lixinger.com/analytics/company/sz/002044/2044/detail</t>
  </si>
  <si>
    <t>奥瑞金</t>
  </si>
  <si>
    <t>金属包装</t>
  </si>
  <si>
    <t>www.lixinger.com/analytics/company/sz/002701/2701/detail</t>
  </si>
  <si>
    <t>太平洋</t>
  </si>
  <si>
    <t>www.lixinger.com/analytics/company/sh/601099/601099/detail</t>
  </si>
  <si>
    <t>大参林</t>
  </si>
  <si>
    <t>www.lixinger.com/analytics/company/sh/603233/603233/detail</t>
  </si>
  <si>
    <t>昆仑万维</t>
  </si>
  <si>
    <t>www.lixinger.com/analytics/company/sz/300418/300418/detail</t>
  </si>
  <si>
    <t>川能动力</t>
  </si>
  <si>
    <t>www.lixinger.com/analytics/company/sz/000155/155/detail</t>
  </si>
  <si>
    <t>瑞达期货</t>
  </si>
  <si>
    <t>www.lixinger.com/analytics/company/sz/002961/2961/detail</t>
  </si>
  <si>
    <t>凌钢股份</t>
  </si>
  <si>
    <t>www.lixinger.com/analytics/company/sh/600231/600231/detail</t>
  </si>
  <si>
    <t>棕榈股份</t>
  </si>
  <si>
    <t>www.lixinger.com/analytics/company/sz/002431/2431/detail</t>
  </si>
  <si>
    <t>中盐化工</t>
  </si>
  <si>
    <t>无机盐</t>
  </si>
  <si>
    <t>www.lixinger.com/analytics/company/sh/600328/600328/detail</t>
  </si>
  <si>
    <t>迪安诊断</t>
  </si>
  <si>
    <t>诊断服务</t>
  </si>
  <si>
    <t>www.lixinger.com/analytics/company/sz/300244/300244/detail</t>
  </si>
  <si>
    <t>宏润建设</t>
  </si>
  <si>
    <t>www.lixinger.com/analytics/company/sz/002062/2062/detail</t>
  </si>
  <si>
    <t>贵广网络</t>
  </si>
  <si>
    <t>www.lixinger.com/analytics/company/sh/600996/600996/detail</t>
  </si>
  <si>
    <t>三元股份</t>
  </si>
  <si>
    <t>www.lixinger.com/analytics/company/sh/600429/600429/detail</t>
  </si>
  <si>
    <t>中青旅</t>
  </si>
  <si>
    <t>人工景区</t>
  </si>
  <si>
    <t>www.lixinger.com/analytics/company/sh/600138/600138/detail</t>
  </si>
  <si>
    <t>伟明环保</t>
  </si>
  <si>
    <t>www.lixinger.com/analytics/company/sh/603568/603568/detail</t>
  </si>
  <si>
    <t>盛和资源</t>
  </si>
  <si>
    <t>www.lixinger.com/analytics/company/sh/600392/600392/detail</t>
  </si>
  <si>
    <t>许继电气</t>
  </si>
  <si>
    <t>www.lixinger.com/analytics/company/sz/000400/400/detail</t>
  </si>
  <si>
    <t>益丰药房</t>
  </si>
  <si>
    <t>www.lixinger.com/analytics/company/sh/603939/603939/detail</t>
  </si>
  <si>
    <t>洪都航空</t>
  </si>
  <si>
    <t>www.lixinger.com/analytics/company/sh/600316/600316/detail</t>
  </si>
  <si>
    <t>巨星科技</t>
  </si>
  <si>
    <t>www.lixinger.com/analytics/company/sz/002444/2444/detail</t>
  </si>
  <si>
    <t>绿城水务</t>
  </si>
  <si>
    <t>www.lixinger.com/analytics/company/sh/601368/601368/detail</t>
  </si>
  <si>
    <t>万丰奥威</t>
  </si>
  <si>
    <t>www.lixinger.com/analytics/company/sz/002085/2085/detail</t>
  </si>
  <si>
    <t>长盈精密</t>
  </si>
  <si>
    <t>www.lixinger.com/analytics/company/sz/300115/300115/detail</t>
  </si>
  <si>
    <t>天康生物</t>
  </si>
  <si>
    <t>www.lixinger.com/analytics/company/sz/002100/2100/detail</t>
  </si>
  <si>
    <t>新疆交建</t>
  </si>
  <si>
    <t>www.lixinger.com/analytics/company/sz/002941/2941/detail</t>
  </si>
  <si>
    <t>完美世界</t>
  </si>
  <si>
    <t>www.lixinger.com/analytics/company/sz/002624/2624/detail</t>
  </si>
  <si>
    <t>陕国投Ａ</t>
  </si>
  <si>
    <t>www.lixinger.com/analytics/company/sz/000563/563/detail</t>
  </si>
  <si>
    <t>柳药股份</t>
  </si>
  <si>
    <t>www.lixinger.com/analytics/company/sh/603368/603368/detail</t>
  </si>
  <si>
    <t>克劳斯</t>
  </si>
  <si>
    <t>其他专用设备</t>
  </si>
  <si>
    <t>www.lixinger.com/analytics/company/sh/600579/600579/detail</t>
  </si>
  <si>
    <t>中微公司</t>
  </si>
  <si>
    <t>www.lixinger.com/analytics/company/sh/688012/688012/detail</t>
  </si>
  <si>
    <t>建设机械</t>
  </si>
  <si>
    <t>www.lixinger.com/analytics/company/sh/600984/600984/detail</t>
  </si>
  <si>
    <t>福建高速</t>
  </si>
  <si>
    <t>www.lixinger.com/analytics/company/sh/600033/600033/detail</t>
  </si>
  <si>
    <t>科达制造</t>
  </si>
  <si>
    <t>www.lixinger.com/analytics/company/sh/600499/600499/detail</t>
  </si>
  <si>
    <t>万向钱潮</t>
  </si>
  <si>
    <t>www.lixinger.com/analytics/company/sz/000559/559/detail</t>
  </si>
  <si>
    <t>广电运通</t>
  </si>
  <si>
    <t>www.lixinger.com/analytics/company/sz/002152/2152/detail</t>
  </si>
  <si>
    <t>招商积余</t>
  </si>
  <si>
    <t>物业管理</t>
  </si>
  <si>
    <t>www.lixinger.com/analytics/company/sz/001914/1914/detail</t>
  </si>
  <si>
    <t>ST安信</t>
  </si>
  <si>
    <t>www.lixinger.com/analytics/company/sh/600816/600816/detail</t>
  </si>
  <si>
    <t>三角轮胎</t>
  </si>
  <si>
    <t>www.lixinger.com/analytics/company/sh/601163/601163/detail</t>
  </si>
  <si>
    <t>保利联合</t>
  </si>
  <si>
    <t>民爆制品</t>
  </si>
  <si>
    <t>www.lixinger.com/analytics/company/sz/002037/2037/detail</t>
  </si>
  <si>
    <t>太极股份</t>
  </si>
  <si>
    <t>www.lixinger.com/analytics/company/sz/002368/2368/detail</t>
  </si>
  <si>
    <t>北元集团</t>
  </si>
  <si>
    <t>www.lixinger.com/analytics/company/sh/601568/601568/detail</t>
  </si>
  <si>
    <t>西宁特钢</t>
  </si>
  <si>
    <t>www.lixinger.com/analytics/company/sh/600117/600117/detail</t>
  </si>
  <si>
    <t>岳阳林纸</t>
  </si>
  <si>
    <t>www.lixinger.com/analytics/company/sh/600963/600963/detail</t>
  </si>
  <si>
    <t>视源股份</t>
  </si>
  <si>
    <t>教育运营及其他</t>
  </si>
  <si>
    <t>www.lixinger.com/analytics/company/sz/002841/2841/detail</t>
  </si>
  <si>
    <t>张裕Ｂ</t>
  </si>
  <si>
    <t>www.lixinger.com/analytics/company/sz/200869/200869/detail</t>
  </si>
  <si>
    <t>利群股份</t>
  </si>
  <si>
    <t>www.lixinger.com/analytics/company/sh/601366/601366/detail</t>
  </si>
  <si>
    <t>时代新材</t>
  </si>
  <si>
    <t>风电零部件</t>
  </si>
  <si>
    <t>www.lixinger.com/analytics/company/sh/600458/600458/detail</t>
  </si>
  <si>
    <t>公牛集团</t>
  </si>
  <si>
    <t>其他家居用品</t>
  </si>
  <si>
    <t>www.lixinger.com/analytics/company/sh/603195/603195/detail</t>
  </si>
  <si>
    <t>中际旭创</t>
  </si>
  <si>
    <t>www.lixinger.com/analytics/company/sz/300308/300308/detail</t>
  </si>
  <si>
    <t>凯赛生物</t>
  </si>
  <si>
    <t>www.lixinger.com/analytics/company/sh/688065/688065/detail</t>
  </si>
  <si>
    <t>华利集团</t>
  </si>
  <si>
    <t>纺织鞋类制造</t>
  </si>
  <si>
    <t>www.lixinger.com/analytics/company/sz/300979/300979/detail</t>
  </si>
  <si>
    <t>凯莱英</t>
  </si>
  <si>
    <t>www.lixinger.com/analytics/company/sz/002821/2821/detail</t>
  </si>
  <si>
    <t>天士力</t>
  </si>
  <si>
    <t>www.lixinger.com/analytics/company/sh/600535/600535/detail</t>
  </si>
  <si>
    <t>杭氧股份</t>
  </si>
  <si>
    <t>www.lixinger.com/analytics/company/sz/002430/2430/detail</t>
  </si>
  <si>
    <t>银泰黄金</t>
  </si>
  <si>
    <t>www.lixinger.com/analytics/company/sz/000975/975/detail</t>
  </si>
  <si>
    <t>蓝帆医疗</t>
  </si>
  <si>
    <t>www.lixinger.com/analytics/company/sz/002382/2382/detail</t>
  </si>
  <si>
    <t>继峰股份</t>
  </si>
  <si>
    <t>www.lixinger.com/analytics/company/sh/603997/603997/detail</t>
  </si>
  <si>
    <t>天赐材料</t>
  </si>
  <si>
    <t>www.lixinger.com/analytics/company/sz/002709/2709/detail</t>
  </si>
  <si>
    <t>新疆天业</t>
  </si>
  <si>
    <t>www.lixinger.com/analytics/company/sh/600075/600075/detail</t>
  </si>
  <si>
    <t>华泰股份</t>
  </si>
  <si>
    <t>www.lixinger.com/analytics/company/sh/600308/600308/detail</t>
  </si>
  <si>
    <t>当升科技</t>
  </si>
  <si>
    <t>www.lixinger.com/analytics/company/sz/300073/300073/detail</t>
  </si>
  <si>
    <t>东南网架</t>
  </si>
  <si>
    <t>www.lixinger.com/analytics/company/sz/002135/2135/detail</t>
  </si>
  <si>
    <t>歌华有线</t>
  </si>
  <si>
    <t>www.lixinger.com/analytics/company/sh/600037/600037/detail</t>
  </si>
  <si>
    <t>深圳华强</t>
  </si>
  <si>
    <t>www.lixinger.com/analytics/company/sz/000062/62/detail</t>
  </si>
  <si>
    <t>穗恒运Ａ</t>
  </si>
  <si>
    <t>www.lixinger.com/analytics/company/sz/000531/531/detail</t>
  </si>
  <si>
    <t>江苏新能</t>
  </si>
  <si>
    <t>www.lixinger.com/analytics/company/sh/603693/603693/detail</t>
  </si>
  <si>
    <t>苏宁环球</t>
  </si>
  <si>
    <t>www.lixinger.com/analytics/company/sz/000718/718/detail</t>
  </si>
  <si>
    <t>华海药业</t>
  </si>
  <si>
    <t>www.lixinger.com/analytics/company/sh/600521/600521/detail</t>
  </si>
  <si>
    <t>*ST康美</t>
  </si>
  <si>
    <t>www.lixinger.com/analytics/company/sh/600518/600518/detail</t>
  </si>
  <si>
    <t>天原股份</t>
  </si>
  <si>
    <t>www.lixinger.com/analytics/company/sz/002386/2386/detail</t>
  </si>
  <si>
    <t>天顺风能</t>
  </si>
  <si>
    <t>www.lixinger.com/analytics/company/sz/002531/2531/detail</t>
  </si>
  <si>
    <t>鲁泰Ｂ</t>
  </si>
  <si>
    <t>www.lixinger.com/analytics/company/sz/200726/200726/detail</t>
  </si>
  <si>
    <t>兆易创新</t>
  </si>
  <si>
    <t>www.lixinger.com/analytics/company/sh/603986/603986/detail</t>
  </si>
  <si>
    <t>沙钢股份</t>
  </si>
  <si>
    <t>www.lixinger.com/analytics/company/sz/002075/2075/detail</t>
  </si>
  <si>
    <t>郴电国际</t>
  </si>
  <si>
    <t>www.lixinger.com/analytics/company/sh/600969/600969/detail</t>
  </si>
  <si>
    <t>华夏航空</t>
  </si>
  <si>
    <t>www.lixinger.com/analytics/company/sz/002928/2928/detail</t>
  </si>
  <si>
    <t>常山北明</t>
  </si>
  <si>
    <t>www.lixinger.com/analytics/company/sz/000158/158/detail</t>
  </si>
  <si>
    <t>大洋电机</t>
  </si>
  <si>
    <t>www.lixinger.com/analytics/company/sz/002249/2249/detail</t>
  </si>
  <si>
    <t>友阿股份</t>
  </si>
  <si>
    <t>www.lixinger.com/analytics/company/sz/002277/2277/detail</t>
  </si>
  <si>
    <t>顾家家居</t>
  </si>
  <si>
    <t>成品家居</t>
  </si>
  <si>
    <t>www.lixinger.com/analytics/company/sh/603816/603816/detail</t>
  </si>
  <si>
    <t>江南化工</t>
  </si>
  <si>
    <t>www.lixinger.com/analytics/company/sz/002226/2226/detail</t>
  </si>
  <si>
    <t>河钢资源</t>
  </si>
  <si>
    <t>铁矿石</t>
  </si>
  <si>
    <t>www.lixinger.com/analytics/company/sz/000923/923/detail</t>
  </si>
  <si>
    <t>广田集团</t>
  </si>
  <si>
    <t>www.lixinger.com/analytics/company/sz/002482/2482/detail</t>
  </si>
  <si>
    <t>百隆东方</t>
  </si>
  <si>
    <t>www.lixinger.com/analytics/company/sh/601339/601339/detail</t>
  </si>
  <si>
    <t>上海梅林</t>
  </si>
  <si>
    <t>www.lixinger.com/analytics/company/sh/600073/600073/detail</t>
  </si>
  <si>
    <t>德邦股份</t>
  </si>
  <si>
    <t>www.lixinger.com/analytics/company/sh/603056/603056/detail</t>
  </si>
  <si>
    <t>长虹美菱</t>
  </si>
  <si>
    <t>www.lixinger.com/analytics/company/sz/000521/521/detail</t>
  </si>
  <si>
    <t>蒙草生态</t>
  </si>
  <si>
    <t>www.lixinger.com/analytics/company/sz/300355/300355/detail</t>
  </si>
  <si>
    <t>嘉事堂</t>
  </si>
  <si>
    <t>www.lixinger.com/analytics/company/sz/002462/2462/detail</t>
  </si>
  <si>
    <t>唐人神</t>
  </si>
  <si>
    <t>www.lixinger.com/analytics/company/sz/002567/2567/detail</t>
  </si>
  <si>
    <t>上峰水泥</t>
  </si>
  <si>
    <t>www.lixinger.com/analytics/company/sz/000672/672/detail</t>
  </si>
  <si>
    <t>横店东磁</t>
  </si>
  <si>
    <t>磁性材料</t>
  </si>
  <si>
    <t>www.lixinger.com/analytics/company/sz/002056/2056/detail</t>
  </si>
  <si>
    <t>联美控股</t>
  </si>
  <si>
    <t>www.lixinger.com/analytics/company/sh/600167/600167/detail</t>
  </si>
  <si>
    <t>三七互娱</t>
  </si>
  <si>
    <t>www.lixinger.com/analytics/company/sz/002555/2555/detail</t>
  </si>
  <si>
    <t>利亚德</t>
  </si>
  <si>
    <t>www.lixinger.com/analytics/company/sz/300296/300296/detail</t>
  </si>
  <si>
    <t>京基智农</t>
  </si>
  <si>
    <t>www.lixinger.com/analytics/company/sz/000048/48/detail</t>
  </si>
  <si>
    <t>立中集团</t>
  </si>
  <si>
    <t>www.lixinger.com/analytics/company/sz/300428/300428/detail</t>
  </si>
  <si>
    <t>广汇物流</t>
  </si>
  <si>
    <t>www.lixinger.com/analytics/company/sh/600603/600603/detail</t>
  </si>
  <si>
    <t>三聚环保</t>
  </si>
  <si>
    <t>www.lixinger.com/analytics/company/sz/300072/300072/detail</t>
  </si>
  <si>
    <t>扬农化工</t>
  </si>
  <si>
    <t>www.lixinger.com/analytics/company/sh/600486/600486/detail</t>
  </si>
  <si>
    <t>胜宏科技</t>
  </si>
  <si>
    <t>www.lixinger.com/analytics/company/sz/300476/300476/detail</t>
  </si>
  <si>
    <t>中原传媒</t>
  </si>
  <si>
    <t>www.lixinger.com/analytics/company/sz/000719/719/detail</t>
  </si>
  <si>
    <t>佛燃能源</t>
  </si>
  <si>
    <t>www.lixinger.com/analytics/company/sz/002911/2911/detail</t>
  </si>
  <si>
    <t>节能国祯</t>
  </si>
  <si>
    <t>www.lixinger.com/analytics/company/sz/300388/300388/detail</t>
  </si>
  <si>
    <t>软通动力</t>
  </si>
  <si>
    <t>www.lixinger.com/analytics/company/sz/301236/301236/detail</t>
  </si>
  <si>
    <t>吉视传媒</t>
  </si>
  <si>
    <t>www.lixinger.com/analytics/company/sh/601929/601929/detail</t>
  </si>
  <si>
    <t>西藏城投</t>
  </si>
  <si>
    <t>www.lixinger.com/analytics/company/sh/600773/600773/detail</t>
  </si>
  <si>
    <t>海格通信</t>
  </si>
  <si>
    <t>www.lixinger.com/analytics/company/sz/002465/2465/detail</t>
  </si>
  <si>
    <t>今世缘</t>
  </si>
  <si>
    <t>www.lixinger.com/analytics/company/sh/603369/603369/detail</t>
  </si>
  <si>
    <t>金钼股份</t>
  </si>
  <si>
    <t>www.lixinger.com/analytics/company/sh/601958/601958/detail</t>
  </si>
  <si>
    <t>格科微</t>
  </si>
  <si>
    <t>www.lixinger.com/analytics/company/sh/688728/688728/detail</t>
  </si>
  <si>
    <t>东百集团</t>
  </si>
  <si>
    <t>www.lixinger.com/analytics/company/sh/600693/600693/detail</t>
  </si>
  <si>
    <t>靖远煤电</t>
  </si>
  <si>
    <t>www.lixinger.com/analytics/company/sz/000552/552/detail</t>
  </si>
  <si>
    <t>家家悦</t>
  </si>
  <si>
    <t>www.lixinger.com/analytics/company/sh/603708/603708/detail</t>
  </si>
  <si>
    <t>云内动力</t>
  </si>
  <si>
    <t>www.lixinger.com/analytics/company/sz/000903/903/detail</t>
  </si>
  <si>
    <t>养元饮品</t>
  </si>
  <si>
    <t>软饮料</t>
  </si>
  <si>
    <t>www.lixinger.com/analytics/company/sh/603156/603156/detail</t>
  </si>
  <si>
    <t>联创电子</t>
  </si>
  <si>
    <t>www.lixinger.com/analytics/company/sz/002036/2036/detail</t>
  </si>
  <si>
    <t>辽宁能源</t>
  </si>
  <si>
    <t>www.lixinger.com/analytics/company/sh/600758/600758/detail</t>
  </si>
  <si>
    <t>爱施德</t>
  </si>
  <si>
    <t>www.lixinger.com/analytics/company/sz/002416/2416/detail</t>
  </si>
  <si>
    <t>华工科技</t>
  </si>
  <si>
    <t>www.lixinger.com/analytics/company/sz/000988/988/detail</t>
  </si>
  <si>
    <t>易华录</t>
  </si>
  <si>
    <t>www.lixinger.com/analytics/company/sz/300212/300212/detail</t>
  </si>
  <si>
    <t>佛山照明</t>
  </si>
  <si>
    <t>照明设备</t>
  </si>
  <si>
    <t>www.lixinger.com/analytics/company/sz/000541/541/detail</t>
  </si>
  <si>
    <t>伊泰Ｂ股</t>
  </si>
  <si>
    <t>www.lixinger.com/analytics/company/sh/900948/900948/detail</t>
  </si>
  <si>
    <t>ST金正</t>
  </si>
  <si>
    <t>复合肥</t>
  </si>
  <si>
    <t>www.lixinger.com/analytics/company/sz/002470/2470/detail</t>
  </si>
  <si>
    <t>苏交科</t>
  </si>
  <si>
    <t>工程咨询服务</t>
  </si>
  <si>
    <t>www.lixinger.com/analytics/company/sz/300284/300284/detail</t>
  </si>
  <si>
    <t>西子洁能</t>
  </si>
  <si>
    <t>火电设备</t>
  </si>
  <si>
    <t>www.lixinger.com/analytics/company/sz/002534/2534/detail</t>
  </si>
  <si>
    <t>深物业A</t>
  </si>
  <si>
    <t>www.lixinger.com/analytics/company/sz/000011/11/detail</t>
  </si>
  <si>
    <t>一心堂</t>
  </si>
  <si>
    <t>www.lixinger.com/analytics/company/sz/002727/2727/detail</t>
  </si>
  <si>
    <t>富奥股份</t>
  </si>
  <si>
    <t>www.lixinger.com/analytics/company/sz/000030/30/detail</t>
  </si>
  <si>
    <t>康泰生物</t>
  </si>
  <si>
    <t>www.lixinger.com/analytics/company/sz/300601/300601/detail</t>
  </si>
  <si>
    <t>金能科技</t>
  </si>
  <si>
    <t>www.lixinger.com/analytics/company/sh/603113/603113/detail</t>
  </si>
  <si>
    <t>一拖股份</t>
  </si>
  <si>
    <t>农用机械</t>
  </si>
  <si>
    <t>www.lixinger.com/analytics/company/sh/601038/601038/detail</t>
  </si>
  <si>
    <t>三星医疗</t>
  </si>
  <si>
    <t>电工仪器仪表</t>
  </si>
  <si>
    <t>www.lixinger.com/analytics/company/sh/601567/601567/detail</t>
  </si>
  <si>
    <t>四维图新</t>
  </si>
  <si>
    <t>www.lixinger.com/analytics/company/sz/002405/2405/detail</t>
  </si>
  <si>
    <t>新疆众和</t>
  </si>
  <si>
    <t>www.lixinger.com/analytics/company/sh/600888/600888/detail</t>
  </si>
  <si>
    <t>航发控制</t>
  </si>
  <si>
    <t>www.lixinger.com/analytics/company/sz/000738/738/detail</t>
  </si>
  <si>
    <t>福斯特</t>
  </si>
  <si>
    <t>www.lixinger.com/analytics/company/sh/603806/603806/detail</t>
  </si>
  <si>
    <t>南京公用</t>
  </si>
  <si>
    <t>www.lixinger.com/analytics/company/sz/000421/421/detail</t>
  </si>
  <si>
    <t>爱玛科技</t>
  </si>
  <si>
    <t>其他运输设备</t>
  </si>
  <si>
    <t>www.lixinger.com/analytics/company/sh/603529/603529/detail</t>
  </si>
  <si>
    <t>士兰微</t>
  </si>
  <si>
    <t>分立器件</t>
  </si>
  <si>
    <t>www.lixinger.com/analytics/company/sh/600460/600460/detail</t>
  </si>
  <si>
    <t>立昂微</t>
  </si>
  <si>
    <t>www.lixinger.com/analytics/company/sh/605358/605358/detail</t>
  </si>
  <si>
    <t>景旺电子</t>
  </si>
  <si>
    <t>www.lixinger.com/analytics/company/sh/603228/603228/detail</t>
  </si>
  <si>
    <t>中国卫星</t>
  </si>
  <si>
    <t>www.lixinger.com/analytics/company/sh/600118/600118/detail</t>
  </si>
  <si>
    <t>宏发股份</t>
  </si>
  <si>
    <t>www.lixinger.com/analytics/company/sh/600885/600885/detail</t>
  </si>
  <si>
    <t>安井食品</t>
  </si>
  <si>
    <t>预加工食品</t>
  </si>
  <si>
    <t>www.lixinger.com/analytics/company/sh/603345/603345/detail</t>
  </si>
  <si>
    <t>航天发展</t>
  </si>
  <si>
    <t>www.lixinger.com/analytics/company/sz/000547/547/detail</t>
  </si>
  <si>
    <t>德方纳米</t>
  </si>
  <si>
    <t>www.lixinger.com/analytics/company/sz/300769/300769/detail</t>
  </si>
  <si>
    <t>通裕重工</t>
  </si>
  <si>
    <t>www.lixinger.com/analytics/company/sz/300185/300185/detail</t>
  </si>
  <si>
    <t>楚江新材</t>
  </si>
  <si>
    <t>www.lixinger.com/analytics/company/sz/002171/2171/detail</t>
  </si>
  <si>
    <t>隆平高科</t>
  </si>
  <si>
    <t>种子</t>
  </si>
  <si>
    <t>www.lixinger.com/analytics/company/sz/000998/998/detail</t>
  </si>
  <si>
    <t>盐田港</t>
  </si>
  <si>
    <t>www.lixinger.com/analytics/company/sz/000088/88/detail</t>
  </si>
  <si>
    <t>新洋丰</t>
  </si>
  <si>
    <t>www.lixinger.com/analytics/company/sz/000902/902/detail</t>
  </si>
  <si>
    <t>安琪酵母</t>
  </si>
  <si>
    <t>www.lixinger.com/analytics/company/sh/600298/600298/detail</t>
  </si>
  <si>
    <t>东北制药</t>
  </si>
  <si>
    <t>www.lixinger.com/analytics/company/sz/000597/597/detail</t>
  </si>
  <si>
    <t>沃森生物</t>
  </si>
  <si>
    <t>www.lixinger.com/analytics/company/sz/300142/300142/detail</t>
  </si>
  <si>
    <t>华兰生物</t>
  </si>
  <si>
    <t>www.lixinger.com/analytics/company/sz/002007/2007/detail</t>
  </si>
  <si>
    <t>南网能源</t>
  </si>
  <si>
    <t>www.lixinger.com/analytics/company/sz/003035/3035/detail</t>
  </si>
  <si>
    <t>中国出版</t>
  </si>
  <si>
    <t>www.lixinger.com/analytics/company/sh/601949/601949/detail</t>
  </si>
  <si>
    <t>云图控股</t>
  </si>
  <si>
    <t>www.lixinger.com/analytics/company/sz/002539/2539/detail</t>
  </si>
  <si>
    <t>易事特</t>
  </si>
  <si>
    <t>其他电源设备</t>
  </si>
  <si>
    <t>www.lixinger.com/analytics/company/sz/300376/300376/detail</t>
  </si>
  <si>
    <t>ST粤泰</t>
  </si>
  <si>
    <t>www.lixinger.com/analytics/company/sh/600393/600393/detail</t>
  </si>
  <si>
    <t>老板电器</t>
  </si>
  <si>
    <t>厨房电器</t>
  </si>
  <si>
    <t>www.lixinger.com/analytics/company/sz/002508/2508/detail</t>
  </si>
  <si>
    <t>广东宏大</t>
  </si>
  <si>
    <t>www.lixinger.com/analytics/company/sz/002683/2683/detail</t>
  </si>
  <si>
    <t>以岭药业</t>
  </si>
  <si>
    <t>www.lixinger.com/analytics/company/sz/002603/2603/detail</t>
  </si>
  <si>
    <t>中兵红箭</t>
  </si>
  <si>
    <t>www.lixinger.com/analytics/company/sz/000519/519/detail</t>
  </si>
  <si>
    <t>郑州煤电</t>
  </si>
  <si>
    <t>www.lixinger.com/analytics/company/sh/600121/600121/detail</t>
  </si>
  <si>
    <t>苏垦农发</t>
  </si>
  <si>
    <t>粮食种植</t>
  </si>
  <si>
    <t>www.lixinger.com/analytics/company/sh/601952/601952/detail</t>
  </si>
  <si>
    <t>太极集团</t>
  </si>
  <si>
    <t>www.lixinger.com/analytics/company/sh/600129/600129/detail</t>
  </si>
  <si>
    <t>多氟多</t>
  </si>
  <si>
    <t>www.lixinger.com/analytics/company/sz/002407/2407/detail</t>
  </si>
  <si>
    <t>豫光金铅</t>
  </si>
  <si>
    <t>www.lixinger.com/analytics/company/sh/600531/600531/detail</t>
  </si>
  <si>
    <t>华润双鹤</t>
  </si>
  <si>
    <t>www.lixinger.com/analytics/company/sh/600062/600062/detail</t>
  </si>
  <si>
    <t>英特集团</t>
  </si>
  <si>
    <t>www.lixinger.com/analytics/company/sz/000411/411/detail</t>
  </si>
  <si>
    <t>苏泊尔</t>
  </si>
  <si>
    <t>厨房小家电</t>
  </si>
  <si>
    <t>www.lixinger.com/analytics/company/sz/002032/2032/detail</t>
  </si>
  <si>
    <t>财信发展</t>
  </si>
  <si>
    <t>www.lixinger.com/analytics/company/sz/000838/838/detail</t>
  </si>
  <si>
    <t>圣泉集团</t>
  </si>
  <si>
    <t>合成树脂</t>
  </si>
  <si>
    <t>www.lixinger.com/analytics/company/sh/605589/605589/detail</t>
  </si>
  <si>
    <t>西藏天路</t>
  </si>
  <si>
    <t>www.lixinger.com/analytics/company/sh/600326/600326/detail</t>
  </si>
  <si>
    <t>南方传媒</t>
  </si>
  <si>
    <t>www.lixinger.com/analytics/company/sh/601900/601900/detail</t>
  </si>
  <si>
    <t>索通发展</t>
  </si>
  <si>
    <t>www.lixinger.com/analytics/company/sh/603612/603612/detail</t>
  </si>
  <si>
    <t>稳健医疗</t>
  </si>
  <si>
    <t>生活用纸</t>
  </si>
  <si>
    <t>www.lixinger.com/analytics/company/sz/300888/300888/detail</t>
  </si>
  <si>
    <t>力合科创</t>
  </si>
  <si>
    <t>化妆品制造及其他</t>
  </si>
  <si>
    <t>www.lixinger.com/analytics/company/sz/002243/2243/detail</t>
  </si>
  <si>
    <t>外服控股</t>
  </si>
  <si>
    <t>www.lixinger.com/analytics/company/sh/600662/600662/detail</t>
  </si>
  <si>
    <t>南都电源</t>
  </si>
  <si>
    <t>www.lixinger.com/analytics/company/sz/300068/300068/detail</t>
  </si>
  <si>
    <t>思源电气</t>
  </si>
  <si>
    <t>www.lixinger.com/analytics/company/sz/002028/2028/detail</t>
  </si>
  <si>
    <t>山西路桥</t>
  </si>
  <si>
    <t>www.lixinger.com/analytics/company/sz/000755/755/detail</t>
  </si>
  <si>
    <t>珠江啤酒</t>
  </si>
  <si>
    <t>www.lixinger.com/analytics/company/sz/002461/2461/detail</t>
  </si>
  <si>
    <t>ST洲际</t>
  </si>
  <si>
    <t>www.lixinger.com/analytics/company/sh/600759/600759/detail</t>
  </si>
  <si>
    <t>塔牌集团</t>
  </si>
  <si>
    <t>www.lixinger.com/analytics/company/sz/002233/2233/detail</t>
  </si>
  <si>
    <t>张裕Ａ</t>
  </si>
  <si>
    <t>其他酒类</t>
  </si>
  <si>
    <t>www.lixinger.com/analytics/company/sz/000869/869/detail</t>
  </si>
  <si>
    <t>华大基因</t>
  </si>
  <si>
    <t>体外诊断</t>
  </si>
  <si>
    <t>www.lixinger.com/analytics/company/sz/300676/300676/detail</t>
  </si>
  <si>
    <t>骆驼股份</t>
  </si>
  <si>
    <t>www.lixinger.com/analytics/company/sh/601311/601311/detail</t>
  </si>
  <si>
    <t>贵州轮胎</t>
  </si>
  <si>
    <t>www.lixinger.com/analytics/company/sz/000589/589/detail</t>
  </si>
  <si>
    <t>中来股份</t>
  </si>
  <si>
    <t>www.lixinger.com/analytics/company/sz/300393/300393/detail</t>
  </si>
  <si>
    <t>赢合科技</t>
  </si>
  <si>
    <t>www.lixinger.com/analytics/company/sz/300457/300457/detail</t>
  </si>
  <si>
    <t>禾丰股份</t>
  </si>
  <si>
    <t>www.lixinger.com/analytics/company/sh/603609/603609/detail</t>
  </si>
  <si>
    <t>中央商场</t>
  </si>
  <si>
    <t>www.lixinger.com/analytics/company/sh/600280/600280/detail</t>
  </si>
  <si>
    <t>隆鑫通用</t>
  </si>
  <si>
    <t>www.lixinger.com/analytics/company/sh/603766/603766/detail</t>
  </si>
  <si>
    <t>韶能股份</t>
  </si>
  <si>
    <t>www.lixinger.com/analytics/company/sz/000601/601/detail</t>
  </si>
  <si>
    <t>陕天然气</t>
  </si>
  <si>
    <t>www.lixinger.com/analytics/company/sz/002267/2267/detail</t>
  </si>
  <si>
    <t>旺能环境</t>
  </si>
  <si>
    <t>www.lixinger.com/analytics/company/sz/002034/2034/detail</t>
  </si>
  <si>
    <t>泰豪科技</t>
  </si>
  <si>
    <t>www.lixinger.com/analytics/company/sh/600590/600590/detail</t>
  </si>
  <si>
    <t>赤峰黄金</t>
  </si>
  <si>
    <t>www.lixinger.com/analytics/company/sh/600988/600988/detail</t>
  </si>
  <si>
    <t>中广核技</t>
  </si>
  <si>
    <t>www.lixinger.com/analytics/company/sz/000881/881/detail</t>
  </si>
  <si>
    <t>中国国贸</t>
  </si>
  <si>
    <t>www.lixinger.com/analytics/company/sh/600007/600007/detail</t>
  </si>
  <si>
    <t>宝泰隆</t>
  </si>
  <si>
    <t>www.lixinger.com/analytics/company/sh/601011/601011/detail</t>
  </si>
  <si>
    <t>汤臣倍健</t>
  </si>
  <si>
    <t>保健品</t>
  </si>
  <si>
    <t>www.lixinger.com/analytics/company/sz/300146/300146/detail</t>
  </si>
  <si>
    <t>捷佳伟创</t>
  </si>
  <si>
    <t>www.lixinger.com/analytics/company/sz/300724/300724/detail</t>
  </si>
  <si>
    <t>中利集团</t>
  </si>
  <si>
    <t>www.lixinger.com/analytics/company/sz/002309/2309/detail</t>
  </si>
  <si>
    <t>厦钨新能</t>
  </si>
  <si>
    <t>www.lixinger.com/analytics/company/sh/688778/688778/detail</t>
  </si>
  <si>
    <t>宝钛股份</t>
  </si>
  <si>
    <t>www.lixinger.com/analytics/company/sh/600456/600456/detail</t>
  </si>
  <si>
    <t>重庆港</t>
  </si>
  <si>
    <t>www.lixinger.com/analytics/company/sh/600279/600279/detail</t>
  </si>
  <si>
    <t>奇安信</t>
  </si>
  <si>
    <t>www.lixinger.com/analytics/company/sh/688561/688561/detail</t>
  </si>
  <si>
    <t>厦门港务</t>
  </si>
  <si>
    <t>www.lixinger.com/analytics/company/sz/000905/905/detail</t>
  </si>
  <si>
    <t>联化科技</t>
  </si>
  <si>
    <t>www.lixinger.com/analytics/company/sz/002250/2250/detail</t>
  </si>
  <si>
    <t>国际医学</t>
  </si>
  <si>
    <t>www.lixinger.com/analytics/company/sz/000516/516/detail</t>
  </si>
  <si>
    <t>华联股份</t>
  </si>
  <si>
    <t>www.lixinger.com/analytics/company/sz/000882/882/detail</t>
  </si>
  <si>
    <t>片仔癀</t>
  </si>
  <si>
    <t>www.lixinger.com/analytics/company/sh/600436/600436/detail</t>
  </si>
  <si>
    <t>济川药业</t>
  </si>
  <si>
    <t>www.lixinger.com/analytics/company/sh/600566/600566/detail</t>
  </si>
  <si>
    <t>合肥百货</t>
  </si>
  <si>
    <t>www.lixinger.com/analytics/company/sz/000417/417/detail</t>
  </si>
  <si>
    <t>鲁泰Ａ</t>
  </si>
  <si>
    <t>www.lixinger.com/analytics/company/sz/000726/726/detail</t>
  </si>
  <si>
    <t>三棵树</t>
  </si>
  <si>
    <t>涂料</t>
  </si>
  <si>
    <t>www.lixinger.com/analytics/company/sh/603737/603737/detail</t>
  </si>
  <si>
    <t>海宁皮城</t>
  </si>
  <si>
    <t>www.lixinger.com/analytics/company/sz/002344/2344/detail</t>
  </si>
  <si>
    <t>湘电股份</t>
  </si>
  <si>
    <t>www.lixinger.com/analytics/company/sh/600416/600416/detail</t>
  </si>
  <si>
    <t>华建集团</t>
  </si>
  <si>
    <t>www.lixinger.com/analytics/company/sh/600629/600629/detail</t>
  </si>
  <si>
    <t>恒立液压</t>
  </si>
  <si>
    <t>工程机械器件</t>
  </si>
  <si>
    <t>www.lixinger.com/analytics/company/sh/601100/601100/detail</t>
  </si>
  <si>
    <t>哈药股份</t>
  </si>
  <si>
    <t>www.lixinger.com/analytics/company/sh/600664/600664/detail</t>
  </si>
  <si>
    <t>天保基建</t>
  </si>
  <si>
    <t>www.lixinger.com/analytics/company/sz/000965/965/detail</t>
  </si>
  <si>
    <t>中百集团</t>
  </si>
  <si>
    <t>www.lixinger.com/analytics/company/sz/000759/759/detail</t>
  </si>
  <si>
    <t>鱼跃医疗</t>
  </si>
  <si>
    <t>www.lixinger.com/analytics/company/sz/002223/2223/detail</t>
  </si>
  <si>
    <t>东鹏控股</t>
  </si>
  <si>
    <t>瓷砖地板</t>
  </si>
  <si>
    <t>www.lixinger.com/analytics/company/sz/003012/3012/detail</t>
  </si>
  <si>
    <t>浙江医药</t>
  </si>
  <si>
    <t>www.lixinger.com/analytics/company/sh/600216/600216/detail</t>
  </si>
  <si>
    <t>金域医学</t>
  </si>
  <si>
    <t>www.lixinger.com/analytics/company/sh/603882/603882/detail</t>
  </si>
  <si>
    <t>达安基因</t>
  </si>
  <si>
    <t>www.lixinger.com/analytics/company/sz/002030/2030/detail</t>
  </si>
  <si>
    <t>长虹华意</t>
  </si>
  <si>
    <t>www.lixinger.com/analytics/company/sz/000404/404/detail</t>
  </si>
  <si>
    <t>海能达</t>
  </si>
  <si>
    <t>www.lixinger.com/analytics/company/sz/002583/2583/detail</t>
  </si>
  <si>
    <t>上海家化</t>
  </si>
  <si>
    <t>品牌化妆品</t>
  </si>
  <si>
    <t>www.lixinger.com/analytics/company/sh/600315/600315/detail</t>
  </si>
  <si>
    <t>亿帆医药</t>
  </si>
  <si>
    <t>www.lixinger.com/analytics/company/sz/002019/2019/detail</t>
  </si>
  <si>
    <t>润达医疗</t>
  </si>
  <si>
    <t>www.lixinger.com/analytics/company/sh/603108/603108/detail</t>
  </si>
  <si>
    <t>嘉凯城</t>
  </si>
  <si>
    <t>www.lixinger.com/analytics/company/sz/000918/918/detail</t>
  </si>
  <si>
    <t>银轮股份</t>
  </si>
  <si>
    <t>www.lixinger.com/analytics/company/sz/002126/2126/detail</t>
  </si>
  <si>
    <t>安徽合力</t>
  </si>
  <si>
    <t>www.lixinger.com/analytics/company/sh/600761/600761/detail</t>
  </si>
  <si>
    <t>博威合金</t>
  </si>
  <si>
    <t>其他金属新材料</t>
  </si>
  <si>
    <t>www.lixinger.com/analytics/company/sh/601137/601137/detail</t>
  </si>
  <si>
    <t>三房巷</t>
  </si>
  <si>
    <t>印染</t>
  </si>
  <si>
    <t>www.lixinger.com/analytics/company/sh/600370/600370/detail</t>
  </si>
  <si>
    <t>长园集团</t>
  </si>
  <si>
    <t>www.lixinger.com/analytics/company/sh/600525/600525/detail</t>
  </si>
  <si>
    <t>新宝股份</t>
  </si>
  <si>
    <t>www.lixinger.com/analytics/company/sz/002705/2705/detail</t>
  </si>
  <si>
    <t>紫江企业</t>
  </si>
  <si>
    <t>塑料包装</t>
  </si>
  <si>
    <t>www.lixinger.com/analytics/company/sh/600210/600210/detail</t>
  </si>
  <si>
    <t>辉隆股份</t>
  </si>
  <si>
    <t>农业综合</t>
  </si>
  <si>
    <t>www.lixinger.com/analytics/company/sz/002556/2556/detail</t>
  </si>
  <si>
    <t>祁连山</t>
  </si>
  <si>
    <t>www.lixinger.com/analytics/company/sh/600720/600720/detail</t>
  </si>
  <si>
    <t>新宙邦</t>
  </si>
  <si>
    <t>www.lixinger.com/analytics/company/sz/300037/300037/detail</t>
  </si>
  <si>
    <t>嘉泽新能</t>
  </si>
  <si>
    <t>www.lixinger.com/analytics/company/sh/601619/601619/detail</t>
  </si>
  <si>
    <t>皖维高新</t>
  </si>
  <si>
    <t>其他化学纤维</t>
  </si>
  <si>
    <t>www.lixinger.com/analytics/company/sh/600063/600063/detail</t>
  </si>
  <si>
    <t>北大荒</t>
  </si>
  <si>
    <t>www.lixinger.com/analytics/company/sh/600598/600598/detail</t>
  </si>
  <si>
    <t>重庆啤酒</t>
  </si>
  <si>
    <t>www.lixinger.com/analytics/company/sh/600132/600132/detail</t>
  </si>
  <si>
    <t>星宇股份</t>
  </si>
  <si>
    <t>www.lixinger.com/analytics/company/sh/601799/601799/detail</t>
  </si>
  <si>
    <t>新华医疗</t>
  </si>
  <si>
    <t>www.lixinger.com/analytics/company/sh/600587/600587/detail</t>
  </si>
  <si>
    <t>银座股份</t>
  </si>
  <si>
    <t>www.lixinger.com/analytics/company/sh/600858/600858/detail</t>
  </si>
  <si>
    <t>闰土股份</t>
  </si>
  <si>
    <t>www.lixinger.com/analytics/company/sz/002440/2440/detail</t>
  </si>
  <si>
    <t>杭萧钢构</t>
  </si>
  <si>
    <t>www.lixinger.com/analytics/company/sh/600477/600477/detail</t>
  </si>
  <si>
    <t>东江环保</t>
  </si>
  <si>
    <t>www.lixinger.com/analytics/company/sz/002672/2672/detail</t>
  </si>
  <si>
    <t>东方铁塔</t>
  </si>
  <si>
    <t>www.lixinger.com/analytics/company/sz/002545/2545/detail</t>
  </si>
  <si>
    <t>巨人网络</t>
  </si>
  <si>
    <t>www.lixinger.com/analytics/company/sz/002558/2558/detail</t>
  </si>
  <si>
    <t>科顺股份</t>
  </si>
  <si>
    <t>www.lixinger.com/analytics/company/sz/300737/300737/detail</t>
  </si>
  <si>
    <t>昊华科技</t>
  </si>
  <si>
    <t>www.lixinger.com/analytics/company/sh/600378/600378/detail</t>
  </si>
  <si>
    <t>嘉化能源</t>
  </si>
  <si>
    <t>www.lixinger.com/analytics/company/sh/600273/600273/detail</t>
  </si>
  <si>
    <t>博世科</t>
  </si>
  <si>
    <t>www.lixinger.com/analytics/company/sz/300422/300422/detail</t>
  </si>
  <si>
    <t>双星新材</t>
  </si>
  <si>
    <t>膜材料</t>
  </si>
  <si>
    <t>www.lixinger.com/analytics/company/sz/002585/2585/detail</t>
  </si>
  <si>
    <t>安通控股</t>
  </si>
  <si>
    <t>www.lixinger.com/analytics/company/sh/600179/600179/detail</t>
  </si>
  <si>
    <t>沪电股份</t>
  </si>
  <si>
    <t>www.lixinger.com/analytics/company/sz/002463/2463/detail</t>
  </si>
  <si>
    <t>索菲亚</t>
  </si>
  <si>
    <t>www.lixinger.com/analytics/company/sz/002572/2572/detail</t>
  </si>
  <si>
    <t>长江传媒</t>
  </si>
  <si>
    <t>www.lixinger.com/analytics/company/sh/600757/600757/detail</t>
  </si>
  <si>
    <t>方大集团</t>
  </si>
  <si>
    <t>www.lixinger.com/analytics/company/sz/000055/55/detail</t>
  </si>
  <si>
    <t>开山股份</t>
  </si>
  <si>
    <t>www.lixinger.com/analytics/company/sz/300257/300257/detail</t>
  </si>
  <si>
    <t>紫光国微</t>
  </si>
  <si>
    <t>www.lixinger.com/analytics/company/sz/002049/2049/detail</t>
  </si>
  <si>
    <t>中恒集团</t>
  </si>
  <si>
    <t>www.lixinger.com/analytics/company/sh/600252/600252/detail</t>
  </si>
  <si>
    <t>神州高铁</t>
  </si>
  <si>
    <t>www.lixinger.com/analytics/company/sz/000008/8/detail</t>
  </si>
  <si>
    <t>兰石重装</t>
  </si>
  <si>
    <t>www.lixinger.com/analytics/company/sh/603169/603169/detail</t>
  </si>
  <si>
    <t>康希诺</t>
  </si>
  <si>
    <t>www.lixinger.com/analytics/company/sh/688185/688185/detail</t>
  </si>
  <si>
    <t>广日股份</t>
  </si>
  <si>
    <t>www.lixinger.com/analytics/company/sh/600894/600894/detail</t>
  </si>
  <si>
    <t>振华科技</t>
  </si>
  <si>
    <t>www.lixinger.com/analytics/company/sz/000733/733/detail</t>
  </si>
  <si>
    <t>中国黄金</t>
  </si>
  <si>
    <t>www.lixinger.com/analytics/company/sh/600916/600916/detail</t>
  </si>
  <si>
    <t>神州信息</t>
  </si>
  <si>
    <t>www.lixinger.com/analytics/company/sz/000555/555/detail</t>
  </si>
  <si>
    <t>长信科技</t>
  </si>
  <si>
    <t>www.lixinger.com/analytics/company/sz/300088/300088/detail</t>
  </si>
  <si>
    <t>天坛生物</t>
  </si>
  <si>
    <t>www.lixinger.com/analytics/company/sh/600161/600161/detail</t>
  </si>
  <si>
    <t>物产环能</t>
  </si>
  <si>
    <t>www.lixinger.com/analytics/company/sh/603071/603071/detail</t>
  </si>
  <si>
    <t>联泓新科</t>
  </si>
  <si>
    <t>www.lixinger.com/analytics/company/sz/003022/3022/detail</t>
  </si>
  <si>
    <t>东阿阿胶</t>
  </si>
  <si>
    <t>www.lixinger.com/analytics/company/sz/000423/423/detail</t>
  </si>
  <si>
    <t>新乡化纤</t>
  </si>
  <si>
    <t>www.lixinger.com/analytics/company/sz/000949/949/detail</t>
  </si>
  <si>
    <t>珍宝岛</t>
  </si>
  <si>
    <t>www.lixinger.com/analytics/company/sh/603567/603567/detail</t>
  </si>
  <si>
    <t>日月股份</t>
  </si>
  <si>
    <t>www.lixinger.com/analytics/company/sh/603218/603218/detail</t>
  </si>
  <si>
    <t>红日药业</t>
  </si>
  <si>
    <t>www.lixinger.com/analytics/company/sz/300026/300026/detail</t>
  </si>
  <si>
    <t>东方生物</t>
  </si>
  <si>
    <t>www.lixinger.com/analytics/company/sh/688298/688298/detail</t>
  </si>
  <si>
    <t>浙数文化</t>
  </si>
  <si>
    <t>www.lixinger.com/analytics/company/sh/600633/600633/detail</t>
  </si>
  <si>
    <t>中核钛白</t>
  </si>
  <si>
    <t>www.lixinger.com/analytics/company/sz/002145/2145/detail</t>
  </si>
  <si>
    <t>星网锐捷</t>
  </si>
  <si>
    <t>www.lixinger.com/analytics/company/sz/002396/2396/detail</t>
  </si>
  <si>
    <t>中闽能源</t>
  </si>
  <si>
    <t>www.lixinger.com/analytics/company/sh/600163/600163/detail</t>
  </si>
  <si>
    <t>华灿光电</t>
  </si>
  <si>
    <t>www.lixinger.com/analytics/company/sz/300323/300323/detail</t>
  </si>
  <si>
    <t>兴源环境</t>
  </si>
  <si>
    <t>www.lixinger.com/analytics/company/sz/300266/300266/detail</t>
  </si>
  <si>
    <t>湖北广电</t>
  </si>
  <si>
    <t>www.lixinger.com/analytics/company/sz/000665/665/detail</t>
  </si>
  <si>
    <t>蓝焰控股</t>
  </si>
  <si>
    <t>www.lixinger.com/analytics/company/sz/000968/968/detail</t>
  </si>
  <si>
    <t>北京君正</t>
  </si>
  <si>
    <t>www.lixinger.com/analytics/company/sz/300223/300223/detail</t>
  </si>
  <si>
    <t>杭叉集团</t>
  </si>
  <si>
    <t>www.lixinger.com/analytics/company/sh/603298/603298/detail</t>
  </si>
  <si>
    <t>长远锂科</t>
  </si>
  <si>
    <t>www.lixinger.com/analytics/company/sh/688779/688779/detail</t>
  </si>
  <si>
    <t>佳沃食品</t>
  </si>
  <si>
    <t>www.lixinger.com/analytics/company/sz/300268/300268/detail</t>
  </si>
  <si>
    <t>立华股份</t>
  </si>
  <si>
    <t>www.lixinger.com/analytics/company/sz/300761/300761/detail</t>
  </si>
  <si>
    <t>广信股份</t>
  </si>
  <si>
    <t>www.lixinger.com/analytics/company/sh/603599/603599/detail</t>
  </si>
  <si>
    <t>宁波能源</t>
  </si>
  <si>
    <t>www.lixinger.com/analytics/company/sh/600982/600982/detail</t>
  </si>
  <si>
    <t>贵研铂业</t>
  </si>
  <si>
    <t>www.lixinger.com/analytics/company/sh/600459/600459/detail</t>
  </si>
  <si>
    <t>华联综超</t>
  </si>
  <si>
    <t>www.lixinger.com/analytics/company/sh/600361/600361/detail</t>
  </si>
  <si>
    <t>诺德股份</t>
  </si>
  <si>
    <t>www.lixinger.com/analytics/company/sh/600110/600110/detail</t>
  </si>
  <si>
    <t>信维通信</t>
  </si>
  <si>
    <t>www.lixinger.com/analytics/company/sz/300136/300136/detail</t>
  </si>
  <si>
    <t>海南矿业</t>
  </si>
  <si>
    <t>www.lixinger.com/analytics/company/sh/601969/601969/detail</t>
  </si>
  <si>
    <t>福日电子</t>
  </si>
  <si>
    <t>www.lixinger.com/analytics/company/sh/600203/600203/detail</t>
  </si>
  <si>
    <t>藏格矿业</t>
  </si>
  <si>
    <t>www.lixinger.com/analytics/company/sz/000408/408/detail</t>
  </si>
  <si>
    <t>海航科技</t>
  </si>
  <si>
    <t>www.lixinger.com/analytics/company/sh/600751/600751/detail</t>
  </si>
  <si>
    <t>康恩贝</t>
  </si>
  <si>
    <t>www.lixinger.com/analytics/company/sh/600572/600572/detail</t>
  </si>
  <si>
    <t>软控股份</t>
  </si>
  <si>
    <t>www.lixinger.com/analytics/company/sz/002073/2073/detail</t>
  </si>
  <si>
    <t>创维数字</t>
  </si>
  <si>
    <t>其他黑色家电</t>
  </si>
  <si>
    <t>www.lixinger.com/analytics/company/sz/000810/810/detail</t>
  </si>
  <si>
    <t>利尔化学</t>
  </si>
  <si>
    <t>www.lixinger.com/analytics/company/sz/002258/2258/detail</t>
  </si>
  <si>
    <t>机器人</t>
  </si>
  <si>
    <t>www.lixinger.com/analytics/company/sz/300024/300024/detail</t>
  </si>
  <si>
    <t>香雪制药</t>
  </si>
  <si>
    <t>www.lixinger.com/analytics/company/sz/300147/300147/detail</t>
  </si>
  <si>
    <t>华西能源</t>
  </si>
  <si>
    <t>www.lixinger.com/analytics/company/sz/002630/2630/detail</t>
  </si>
  <si>
    <t>新大陆</t>
  </si>
  <si>
    <t>www.lixinger.com/analytics/company/sz/000997/997/detail</t>
  </si>
  <si>
    <t>蒙娜丽莎</t>
  </si>
  <si>
    <t>www.lixinger.com/analytics/company/sz/002918/2918/detail</t>
  </si>
  <si>
    <t>卓郎智能</t>
  </si>
  <si>
    <t>纺织服装设备</t>
  </si>
  <si>
    <t>www.lixinger.com/analytics/company/sh/600545/600545/detail</t>
  </si>
  <si>
    <t>恒生电子</t>
  </si>
  <si>
    <t>www.lixinger.com/analytics/company/sh/600570/600570/detail</t>
  </si>
  <si>
    <t>口子窖</t>
  </si>
  <si>
    <t>www.lixinger.com/analytics/company/sh/603589/603589/detail</t>
  </si>
  <si>
    <t>汉马科技</t>
  </si>
  <si>
    <t>www.lixinger.com/analytics/company/sh/600375/600375/detail</t>
  </si>
  <si>
    <t>仙鹤股份</t>
  </si>
  <si>
    <t>特种纸</t>
  </si>
  <si>
    <t>www.lixinger.com/analytics/company/sh/603733/603733/detail</t>
  </si>
  <si>
    <t>风华高科</t>
  </si>
  <si>
    <t>www.lixinger.com/analytics/company/sz/000636/636/detail</t>
  </si>
  <si>
    <t>国网信通</t>
  </si>
  <si>
    <t>www.lixinger.com/analytics/company/sh/600131/600131/detail</t>
  </si>
  <si>
    <t>帝欧家居</t>
  </si>
  <si>
    <t>www.lixinger.com/analytics/company/sz/002798/2798/detail</t>
  </si>
  <si>
    <t>腾达建设</t>
  </si>
  <si>
    <t>www.lixinger.com/analytics/company/sh/600512/600512/detail</t>
  </si>
  <si>
    <t>万凯新材</t>
  </si>
  <si>
    <t>www.lixinger.com/analytics/company/sz/301216/301216/detail</t>
  </si>
  <si>
    <t>捷成股份</t>
  </si>
  <si>
    <t>www.lixinger.com/analytics/company/sz/300182/300182/detail</t>
  </si>
  <si>
    <t>天融信</t>
  </si>
  <si>
    <t>www.lixinger.com/analytics/company/sz/002212/2212/detail</t>
  </si>
  <si>
    <t>青岛双星</t>
  </si>
  <si>
    <t>www.lixinger.com/analytics/company/sz/000599/599/detail</t>
  </si>
  <si>
    <t>晨光股份</t>
  </si>
  <si>
    <t>文化用品</t>
  </si>
  <si>
    <t>www.lixinger.com/analytics/company/sh/603899/603899/detail</t>
  </si>
  <si>
    <t>万马股份</t>
  </si>
  <si>
    <t>www.lixinger.com/analytics/company/sz/002276/2276/detail</t>
  </si>
  <si>
    <t>金晶科技</t>
  </si>
  <si>
    <t>www.lixinger.com/analytics/company/sh/600586/600586/detail</t>
  </si>
  <si>
    <t>罗牛山</t>
  </si>
  <si>
    <t>www.lixinger.com/analytics/company/sz/000735/735/detail</t>
  </si>
  <si>
    <t>君实生物</t>
  </si>
  <si>
    <t>www.lixinger.com/analytics/company/sh/688180/688180/detail</t>
  </si>
  <si>
    <t>甘李药业</t>
  </si>
  <si>
    <t>www.lixinger.com/analytics/company/sh/603087/603087/detail</t>
  </si>
  <si>
    <t>华映科技</t>
  </si>
  <si>
    <t>www.lixinger.com/analytics/company/sz/000536/536/detail</t>
  </si>
  <si>
    <t>易成新能</t>
  </si>
  <si>
    <t>磨具磨料</t>
  </si>
  <si>
    <t>www.lixinger.com/analytics/company/sz/300080/300080/detail</t>
  </si>
  <si>
    <t>金圆股份</t>
  </si>
  <si>
    <t>www.lixinger.com/analytics/company/sz/000546/546/detail</t>
  </si>
  <si>
    <t>劲嘉股份</t>
  </si>
  <si>
    <t>www.lixinger.com/analytics/company/sz/002191/2191/detail</t>
  </si>
  <si>
    <t>网宿科技</t>
  </si>
  <si>
    <t>www.lixinger.com/analytics/company/sz/300017/300017/detail</t>
  </si>
  <si>
    <t>航天机电</t>
  </si>
  <si>
    <t>www.lixinger.com/analytics/company/sh/600151/600151/detail</t>
  </si>
  <si>
    <t>雅化集团</t>
  </si>
  <si>
    <t>www.lixinger.com/analytics/company/sz/002497/2497/detail</t>
  </si>
  <si>
    <t>川发龙蟒</t>
  </si>
  <si>
    <t>www.lixinger.com/analytics/company/sz/002312/2312/detail</t>
  </si>
  <si>
    <t>山推股份</t>
  </si>
  <si>
    <t>www.lixinger.com/analytics/company/sz/000680/680/detail</t>
  </si>
  <si>
    <t>拉卡拉</t>
  </si>
  <si>
    <t>金融信息服务</t>
  </si>
  <si>
    <t>www.lixinger.com/analytics/company/sz/300773/300773/detail</t>
  </si>
  <si>
    <t>七匹狼</t>
  </si>
  <si>
    <t>www.lixinger.com/analytics/company/sz/002029/2029/detail</t>
  </si>
  <si>
    <t>金山办公</t>
  </si>
  <si>
    <t>www.lixinger.com/analytics/company/sh/688111/688111/detail</t>
  </si>
  <si>
    <t>华铁应急</t>
  </si>
  <si>
    <t>www.lixinger.com/analytics/company/sh/603300/603300/detail</t>
  </si>
  <si>
    <t>永太科技</t>
  </si>
  <si>
    <t>www.lixinger.com/analytics/company/sz/002326/2326/detail</t>
  </si>
  <si>
    <t>同济科技</t>
  </si>
  <si>
    <t>www.lixinger.com/analytics/company/sh/600846/600846/detail</t>
  </si>
  <si>
    <t>科沃斯</t>
  </si>
  <si>
    <t>清洁小家电</t>
  </si>
  <si>
    <t>www.lixinger.com/analytics/company/sh/603486/603486/detail</t>
  </si>
  <si>
    <t>中钨高新</t>
  </si>
  <si>
    <t>www.lixinger.com/analytics/company/sz/000657/657/detail</t>
  </si>
  <si>
    <t>皇庭国际</t>
  </si>
  <si>
    <t>www.lixinger.com/analytics/company/sz/000056/56/detail</t>
  </si>
  <si>
    <t>德赛西威</t>
  </si>
  <si>
    <t>www.lixinger.com/analytics/company/sz/002920/2920/detail</t>
  </si>
  <si>
    <t>万通发展</t>
  </si>
  <si>
    <t>www.lixinger.com/analytics/company/sh/600246/600246/detail</t>
  </si>
  <si>
    <t>顺络电子</t>
  </si>
  <si>
    <t>www.lixinger.com/analytics/company/sz/002138/2138/detail</t>
  </si>
  <si>
    <t>中科三环</t>
  </si>
  <si>
    <t>www.lixinger.com/analytics/company/sz/000970/970/detail</t>
  </si>
  <si>
    <t>抚顺特钢</t>
  </si>
  <si>
    <t>www.lixinger.com/analytics/company/sh/600399/600399/detail</t>
  </si>
  <si>
    <t>攀钢钒钛</t>
  </si>
  <si>
    <t>www.lixinger.com/analytics/company/sz/000629/629/detail</t>
  </si>
  <si>
    <t>应流股份</t>
  </si>
  <si>
    <t>www.lixinger.com/analytics/company/sh/603308/603308/detail</t>
  </si>
  <si>
    <t>维尔利</t>
  </si>
  <si>
    <t>www.lixinger.com/analytics/company/sz/300190/300190/detail</t>
  </si>
  <si>
    <t>腾远钴业</t>
  </si>
  <si>
    <t>www.lixinger.com/analytics/company/sz/301219/301219/detail</t>
  </si>
  <si>
    <t>鹭燕医药</t>
  </si>
  <si>
    <t>www.lixinger.com/analytics/company/sz/002788/2788/detail</t>
  </si>
  <si>
    <t>精达股份</t>
  </si>
  <si>
    <t>www.lixinger.com/analytics/company/sh/600577/600577/detail</t>
  </si>
  <si>
    <t>洲明科技</t>
  </si>
  <si>
    <t>www.lixinger.com/analytics/company/sz/300232/300232/detail</t>
  </si>
  <si>
    <t>联络互动</t>
  </si>
  <si>
    <t>跨境电商</t>
  </si>
  <si>
    <t>www.lixinger.com/analytics/company/sz/002280/2280/detail</t>
  </si>
  <si>
    <t>润丰股份</t>
  </si>
  <si>
    <t>www.lixinger.com/analytics/company/sz/301035/301035/detail</t>
  </si>
  <si>
    <t>奥特佳</t>
  </si>
  <si>
    <t>www.lixinger.com/analytics/company/sz/002239/2239/detail</t>
  </si>
  <si>
    <t>光线传媒</t>
  </si>
  <si>
    <t>www.lixinger.com/analytics/company/sz/300251/300251/detail</t>
  </si>
  <si>
    <t>蔚蓝锂芯</t>
  </si>
  <si>
    <t>www.lixinger.com/analytics/company/sz/002245/2245/detail</t>
  </si>
  <si>
    <t>国恩股份</t>
  </si>
  <si>
    <t>www.lixinger.com/analytics/company/sz/002768/2768/detail</t>
  </si>
  <si>
    <t>双环传动</t>
  </si>
  <si>
    <t>www.lixinger.com/analytics/company/sz/002472/2472/detail</t>
  </si>
  <si>
    <t>国联股份</t>
  </si>
  <si>
    <t>www.lixinger.com/analytics/company/sh/603613/603613/detail</t>
  </si>
  <si>
    <t>安泰科技</t>
  </si>
  <si>
    <t>www.lixinger.com/analytics/company/sz/000969/969/detail</t>
  </si>
  <si>
    <t>迈为股份</t>
  </si>
  <si>
    <t>www.lixinger.com/analytics/company/sz/300751/300751/detail</t>
  </si>
  <si>
    <t>新野纺织</t>
  </si>
  <si>
    <t>www.lixinger.com/analytics/company/sz/002087/2087/detail</t>
  </si>
  <si>
    <t>双良节能</t>
  </si>
  <si>
    <t>制冷空调设备</t>
  </si>
  <si>
    <t>www.lixinger.com/analytics/company/sh/600481/600481/detail</t>
  </si>
  <si>
    <t>黄河旋风</t>
  </si>
  <si>
    <t>www.lixinger.com/analytics/company/sh/600172/600172/detail</t>
  </si>
  <si>
    <t>华贸物流</t>
  </si>
  <si>
    <t>www.lixinger.com/analytics/company/sh/603128/603128/detail</t>
  </si>
  <si>
    <t>广电网络</t>
  </si>
  <si>
    <t>www.lixinger.com/analytics/company/sh/600831/600831/detail</t>
  </si>
  <si>
    <t>三木集团</t>
  </si>
  <si>
    <t>www.lixinger.com/analytics/company/sz/000632/632/detail</t>
  </si>
  <si>
    <t>宝鹰股份</t>
  </si>
  <si>
    <t>www.lixinger.com/analytics/company/sz/002047/2047/detail</t>
  </si>
  <si>
    <t>中控技术</t>
  </si>
  <si>
    <t>www.lixinger.com/analytics/company/sh/688777/688777/detail</t>
  </si>
  <si>
    <t>远达环保</t>
  </si>
  <si>
    <t>www.lixinger.com/analytics/company/sh/600292/600292/detail</t>
  </si>
  <si>
    <t>泸天化</t>
  </si>
  <si>
    <t>www.lixinger.com/analytics/company/sz/000912/912/detail</t>
  </si>
  <si>
    <t>石基信息</t>
  </si>
  <si>
    <t>www.lixinger.com/analytics/company/sz/002153/2153/detail</t>
  </si>
  <si>
    <t>中国海防</t>
  </si>
  <si>
    <t>www.lixinger.com/analytics/company/sh/600764/600764/detail</t>
  </si>
  <si>
    <t>佳都科技</t>
  </si>
  <si>
    <t>www.lixinger.com/analytics/company/sh/600728/600728/detail</t>
  </si>
  <si>
    <t>广西广电</t>
  </si>
  <si>
    <t>www.lixinger.com/analytics/company/sh/600936/600936/detail</t>
  </si>
  <si>
    <t>氯碱化工</t>
  </si>
  <si>
    <t>www.lixinger.com/analytics/company/sh/600618/600618/detail</t>
  </si>
  <si>
    <t>高新发展</t>
  </si>
  <si>
    <t>www.lixinger.com/analytics/company/sz/000628/628/detail</t>
  </si>
  <si>
    <t>甬金股份</t>
  </si>
  <si>
    <t>www.lixinger.com/analytics/company/sh/603995/603995/detail</t>
  </si>
  <si>
    <t>德赛电池</t>
  </si>
  <si>
    <t>www.lixinger.com/analytics/company/sz/000049/49/detail</t>
  </si>
  <si>
    <t>富煌钢构</t>
  </si>
  <si>
    <t>www.lixinger.com/analytics/company/sz/002743/2743/detail</t>
  </si>
  <si>
    <t>东富龙</t>
  </si>
  <si>
    <t>www.lixinger.com/analytics/company/sz/300171/300171/detail</t>
  </si>
  <si>
    <t>宗申动力</t>
  </si>
  <si>
    <t>www.lixinger.com/analytics/company/sz/001696/1696/detail</t>
  </si>
  <si>
    <t>振东制药</t>
  </si>
  <si>
    <t>www.lixinger.com/analytics/company/sz/300158/300158/detail</t>
  </si>
  <si>
    <t>聚光科技</t>
  </si>
  <si>
    <t>www.lixinger.com/analytics/company/sz/300203/300203/detail</t>
  </si>
  <si>
    <t>万里扬</t>
  </si>
  <si>
    <t>www.lixinger.com/analytics/company/sz/002434/2434/detail</t>
  </si>
  <si>
    <t>森麒麟</t>
  </si>
  <si>
    <t>www.lixinger.com/analytics/company/sz/002984/2984/detail</t>
  </si>
  <si>
    <t>联泰环保</t>
  </si>
  <si>
    <t>www.lixinger.com/analytics/company/sh/603797/603797/detail</t>
  </si>
  <si>
    <t>华设集团</t>
  </si>
  <si>
    <t>www.lixinger.com/analytics/company/sh/603018/603018/detail</t>
  </si>
  <si>
    <t>罗欣药业</t>
  </si>
  <si>
    <t>www.lixinger.com/analytics/company/sz/002793/2793/detail</t>
  </si>
  <si>
    <t>华电重工</t>
  </si>
  <si>
    <t>www.lixinger.com/analytics/company/sh/601226/601226/detail</t>
  </si>
  <si>
    <t>中国软件</t>
  </si>
  <si>
    <t>www.lixinger.com/analytics/company/sh/600536/600536/detail</t>
  </si>
  <si>
    <t>光迅科技</t>
  </si>
  <si>
    <t>www.lixinger.com/analytics/company/sz/002281/2281/detail</t>
  </si>
  <si>
    <t>普洛药业</t>
  </si>
  <si>
    <t>www.lixinger.com/analytics/company/sz/000739/739/detail</t>
  </si>
  <si>
    <t>博天环境</t>
  </si>
  <si>
    <t>www.lixinger.com/analytics/company/sh/603603/603603/detail</t>
  </si>
  <si>
    <t>汇顶科技</t>
  </si>
  <si>
    <t>模拟芯片设计</t>
  </si>
  <si>
    <t>www.lixinger.com/analytics/company/sh/603160/603160/detail</t>
  </si>
  <si>
    <t>云南能投</t>
  </si>
  <si>
    <t>www.lixinger.com/analytics/company/sz/002053/2053/detail</t>
  </si>
  <si>
    <t>二三四五</t>
  </si>
  <si>
    <t>www.lixinger.com/analytics/company/sz/002195/2195/detail</t>
  </si>
  <si>
    <t>ST宏图</t>
  </si>
  <si>
    <t>www.lixinger.com/analytics/company/sh/600122/600122/detail</t>
  </si>
  <si>
    <t>润建股份</t>
  </si>
  <si>
    <t>通信工程及服务</t>
  </si>
  <si>
    <t>www.lixinger.com/analytics/company/sz/002929/2929/detail</t>
  </si>
  <si>
    <t>石头科技</t>
  </si>
  <si>
    <t>www.lixinger.com/analytics/company/sh/688169/688169/detail</t>
  </si>
  <si>
    <t>起帆电缆</t>
  </si>
  <si>
    <t>www.lixinger.com/analytics/company/sh/605222/605222/detail</t>
  </si>
  <si>
    <t>东华科技</t>
  </si>
  <si>
    <t>www.lixinger.com/analytics/company/sz/002140/2140/detail</t>
  </si>
  <si>
    <t>航天彩虹</t>
  </si>
  <si>
    <t>www.lixinger.com/analytics/company/sz/002389/2389/detail</t>
  </si>
  <si>
    <t>美晨生态</t>
  </si>
  <si>
    <t>www.lixinger.com/analytics/company/sz/300237/300237/detail</t>
  </si>
  <si>
    <t>成大生物</t>
  </si>
  <si>
    <t>www.lixinger.com/analytics/company/sh/688739/688739/detail</t>
  </si>
  <si>
    <t>ST红太阳</t>
  </si>
  <si>
    <t>www.lixinger.com/analytics/company/sz/000525/525/detail</t>
  </si>
  <si>
    <t>连云港</t>
  </si>
  <si>
    <t>www.lixinger.com/analytics/company/sh/601008/601008/detail</t>
  </si>
  <si>
    <t>深信服</t>
  </si>
  <si>
    <t>www.lixinger.com/analytics/company/sz/300454/300454/detail</t>
  </si>
  <si>
    <t>共进股份</t>
  </si>
  <si>
    <t>www.lixinger.com/analytics/company/sh/603118/603118/detail</t>
  </si>
  <si>
    <t>广安爱众</t>
  </si>
  <si>
    <t>www.lixinger.com/analytics/company/sh/600979/600979/detail</t>
  </si>
  <si>
    <t>海印股份</t>
  </si>
  <si>
    <t>www.lixinger.com/analytics/company/sz/000861/861/detail</t>
  </si>
  <si>
    <t>高鸿股份</t>
  </si>
  <si>
    <t>www.lixinger.com/analytics/company/sz/000851/851/detail</t>
  </si>
  <si>
    <t>赣能股份</t>
  </si>
  <si>
    <t>www.lixinger.com/analytics/company/sz/000899/899/detail</t>
  </si>
  <si>
    <t>盛新锂能</t>
  </si>
  <si>
    <t>www.lixinger.com/analytics/company/sz/002240/2240/detail</t>
  </si>
  <si>
    <t>贵州燃气</t>
  </si>
  <si>
    <t>www.lixinger.com/analytics/company/sh/600903/600903/detail</t>
  </si>
  <si>
    <t>宋城演艺</t>
  </si>
  <si>
    <t>www.lixinger.com/analytics/company/sz/300144/300144/detail</t>
  </si>
  <si>
    <t>申达股份</t>
  </si>
  <si>
    <t>www.lixinger.com/analytics/company/sh/600626/600626/detail</t>
  </si>
  <si>
    <t>信立泰</t>
  </si>
  <si>
    <t>www.lixinger.com/analytics/company/sz/002294/2294/detail</t>
  </si>
  <si>
    <t>水晶光电</t>
  </si>
  <si>
    <t>www.lixinger.com/analytics/company/sz/002273/2273/detail</t>
  </si>
  <si>
    <t>金力永磁</t>
  </si>
  <si>
    <t>www.lixinger.com/analytics/company/sz/300748/300748/detail</t>
  </si>
  <si>
    <t>创世纪</t>
  </si>
  <si>
    <t>www.lixinger.com/analytics/company/sz/300083/300083/detail</t>
  </si>
  <si>
    <t>万业企业</t>
  </si>
  <si>
    <t>www.lixinger.com/analytics/company/sh/600641/600641/detail</t>
  </si>
  <si>
    <t>五洲交通</t>
  </si>
  <si>
    <t>www.lixinger.com/analytics/company/sh/600368/600368/detail</t>
  </si>
  <si>
    <t>拓邦股份</t>
  </si>
  <si>
    <t>www.lixinger.com/analytics/company/sz/002139/2139/detail</t>
  </si>
  <si>
    <t>安图生物</t>
  </si>
  <si>
    <t>www.lixinger.com/analytics/company/sh/603658/603658/detail</t>
  </si>
  <si>
    <t>浙江鼎力</t>
  </si>
  <si>
    <t>www.lixinger.com/analytics/company/sh/603338/603338/detail</t>
  </si>
  <si>
    <t>美克家居</t>
  </si>
  <si>
    <t>www.lixinger.com/analytics/company/sh/600337/600337/detail</t>
  </si>
  <si>
    <t>航天电器</t>
  </si>
  <si>
    <t>www.lixinger.com/analytics/company/sz/002025/2025/detail</t>
  </si>
  <si>
    <t>信邦制药</t>
  </si>
  <si>
    <t>www.lixinger.com/analytics/company/sz/002390/2390/detail</t>
  </si>
  <si>
    <t>长青集团</t>
  </si>
  <si>
    <t>其他能源发电</t>
  </si>
  <si>
    <t>www.lixinger.com/analytics/company/sz/002616/2616/detail</t>
  </si>
  <si>
    <t>ST冠福</t>
  </si>
  <si>
    <t>www.lixinger.com/analytics/company/sz/002102/2102/detail</t>
  </si>
  <si>
    <t>爱康科技</t>
  </si>
  <si>
    <t>www.lixinger.com/analytics/company/sz/002610/2610/detail</t>
  </si>
  <si>
    <t>维远股份</t>
  </si>
  <si>
    <t>其他化学原料</t>
  </si>
  <si>
    <t>www.lixinger.com/analytics/company/sh/600955/600955/detail</t>
  </si>
  <si>
    <t>得润电子</t>
  </si>
  <si>
    <t>www.lixinger.com/analytics/company/sz/002055/2055/detail</t>
  </si>
  <si>
    <t>楚天科技</t>
  </si>
  <si>
    <t>www.lixinger.com/analytics/company/sz/300358/300358/detail</t>
  </si>
  <si>
    <t>石化机械</t>
  </si>
  <si>
    <t>www.lixinger.com/analytics/company/sz/000852/852/detail</t>
  </si>
  <si>
    <t>浙江永强</t>
  </si>
  <si>
    <t>www.lixinger.com/analytics/company/sz/002489/2489/detail</t>
  </si>
  <si>
    <t>东风科技</t>
  </si>
  <si>
    <t>www.lixinger.com/analytics/company/sh/600081/600081/detail</t>
  </si>
  <si>
    <t>顺发恒业</t>
  </si>
  <si>
    <t>www.lixinger.com/analytics/company/sz/000631/631/detail</t>
  </si>
  <si>
    <t>中通客车</t>
  </si>
  <si>
    <t>www.lixinger.com/analytics/company/sz/000957/957/detail</t>
  </si>
  <si>
    <t>广联达</t>
  </si>
  <si>
    <t>www.lixinger.com/analytics/company/sz/002410/2410/detail</t>
  </si>
  <si>
    <t>莱克电气</t>
  </si>
  <si>
    <t>www.lixinger.com/analytics/company/sh/603355/603355/detail</t>
  </si>
  <si>
    <t>东珠生态</t>
  </si>
  <si>
    <t>www.lixinger.com/analytics/company/sh/603359/603359/detail</t>
  </si>
  <si>
    <t>铁龙物流</t>
  </si>
  <si>
    <t>www.lixinger.com/analytics/company/sh/600125/600125/detail</t>
  </si>
  <si>
    <t>鹏辉能源</t>
  </si>
  <si>
    <t>www.lixinger.com/analytics/company/sz/300438/300438/detail</t>
  </si>
  <si>
    <t>深粮B</t>
  </si>
  <si>
    <t>www.lixinger.com/analytics/company/sz/200019/200019/detail</t>
  </si>
  <si>
    <t>天能重工</t>
  </si>
  <si>
    <t>www.lixinger.com/analytics/company/sz/300569/300569/detail</t>
  </si>
  <si>
    <t>科华数据</t>
  </si>
  <si>
    <t>www.lixinger.com/analytics/company/sz/002335/2335/detail</t>
  </si>
  <si>
    <t>*ST中天</t>
  </si>
  <si>
    <t>www.lixinger.com/analytics/company/sh/600856/600856/detail</t>
  </si>
  <si>
    <t>澜起科技</t>
  </si>
  <si>
    <t>www.lixinger.com/analytics/company/sh/688008/688008/detail</t>
  </si>
  <si>
    <t>宁夏建材</t>
  </si>
  <si>
    <t>www.lixinger.com/analytics/company/sh/600449/600449/detail</t>
  </si>
  <si>
    <t>沈阳化工</t>
  </si>
  <si>
    <t>www.lixinger.com/analytics/company/sz/000698/698/detail</t>
  </si>
  <si>
    <t>广百股份</t>
  </si>
  <si>
    <t>www.lixinger.com/analytics/company/sz/002187/2187/detail</t>
  </si>
  <si>
    <t>天华超净</t>
  </si>
  <si>
    <t>www.lixinger.com/analytics/company/sz/300390/300390/detail</t>
  </si>
  <si>
    <t>中化岩土</t>
  </si>
  <si>
    <t>www.lixinger.com/analytics/company/sz/002542/2542/detail</t>
  </si>
  <si>
    <t>赞宇科技</t>
  </si>
  <si>
    <t>www.lixinger.com/analytics/company/sz/002637/2637/detail</t>
  </si>
  <si>
    <t>中科电气</t>
  </si>
  <si>
    <t>www.lixinger.com/analytics/company/sz/300035/300035/detail</t>
  </si>
  <si>
    <t>中新药业</t>
  </si>
  <si>
    <t>www.lixinger.com/analytics/company/sh/600329/600329/detail</t>
  </si>
  <si>
    <t>公元股份</t>
  </si>
  <si>
    <t>管材</t>
  </si>
  <si>
    <t>www.lixinger.com/analytics/company/sz/002641/2641/detail</t>
  </si>
  <si>
    <t>冠豪高新</t>
  </si>
  <si>
    <t>www.lixinger.com/analytics/company/sh/600433/600433/detail</t>
  </si>
  <si>
    <t>金禾实业</t>
  </si>
  <si>
    <t>www.lixinger.com/analytics/company/sz/002597/2597/detail</t>
  </si>
  <si>
    <t>大亚圣象</t>
  </si>
  <si>
    <t>www.lixinger.com/analytics/company/sz/000910/910/detail</t>
  </si>
  <si>
    <t>正平股份</t>
  </si>
  <si>
    <t>www.lixinger.com/analytics/company/sh/603843/603843/detail</t>
  </si>
  <si>
    <t>新乳业</t>
  </si>
  <si>
    <t>www.lixinger.com/analytics/company/sz/002946/2946/detail</t>
  </si>
  <si>
    <t>高德红外</t>
  </si>
  <si>
    <t>www.lixinger.com/analytics/company/sz/002414/2414/detail</t>
  </si>
  <si>
    <t>冰轮环境</t>
  </si>
  <si>
    <t>www.lixinger.com/analytics/company/sz/000811/811/detail</t>
  </si>
  <si>
    <t>华联控股</t>
  </si>
  <si>
    <t>www.lixinger.com/analytics/company/sz/000036/36/detail</t>
  </si>
  <si>
    <t>华策影视</t>
  </si>
  <si>
    <t>www.lixinger.com/analytics/company/sz/300133/300133/detail</t>
  </si>
  <si>
    <t>通宝能源</t>
  </si>
  <si>
    <t>www.lixinger.com/analytics/company/sh/600780/600780/detail</t>
  </si>
  <si>
    <t>太平鸟</t>
  </si>
  <si>
    <t>www.lixinger.com/analytics/company/sh/603877/603877/detail</t>
  </si>
  <si>
    <t>金诚信</t>
  </si>
  <si>
    <t>www.lixinger.com/analytics/company/sh/603979/603979/detail</t>
  </si>
  <si>
    <t>中公教育</t>
  </si>
  <si>
    <t>培训教育</t>
  </si>
  <si>
    <t>www.lixinger.com/analytics/company/sz/002607/2607/detail</t>
  </si>
  <si>
    <t>道氏技术</t>
  </si>
  <si>
    <t>www.lixinger.com/analytics/company/sz/300409/300409/detail</t>
  </si>
  <si>
    <t>梦百合</t>
  </si>
  <si>
    <t>www.lixinger.com/analytics/company/sh/603313/603313/detail</t>
  </si>
  <si>
    <t>重庆燃气</t>
  </si>
  <si>
    <t>www.lixinger.com/analytics/company/sh/600917/600917/detail</t>
  </si>
  <si>
    <t>富春环保</t>
  </si>
  <si>
    <t>www.lixinger.com/analytics/company/sz/002479/2479/detail</t>
  </si>
  <si>
    <t>合兴包装</t>
  </si>
  <si>
    <t>www.lixinger.com/analytics/company/sz/002228/2228/detail</t>
  </si>
  <si>
    <t>胜利精密</t>
  </si>
  <si>
    <t>www.lixinger.com/analytics/company/sz/002426/2426/detail</t>
  </si>
  <si>
    <t>九洲集团</t>
  </si>
  <si>
    <t>www.lixinger.com/analytics/company/sz/300040/300040/detail</t>
  </si>
  <si>
    <t>卓胜微</t>
  </si>
  <si>
    <t>www.lixinger.com/analytics/company/sz/300782/300782/detail</t>
  </si>
  <si>
    <t>悦达投资</t>
  </si>
  <si>
    <t>www.lixinger.com/analytics/company/sh/600805/600805/detail</t>
  </si>
  <si>
    <t>迎驾贡酒</t>
  </si>
  <si>
    <t>www.lixinger.com/analytics/company/sh/603198/603198/detail</t>
  </si>
  <si>
    <t>万泰生物</t>
  </si>
  <si>
    <t>www.lixinger.com/analytics/company/sh/603392/603392/detail</t>
  </si>
  <si>
    <t>露笑科技</t>
  </si>
  <si>
    <t>www.lixinger.com/analytics/company/sz/002617/2617/detail</t>
  </si>
  <si>
    <t>西部超导</t>
  </si>
  <si>
    <t>www.lixinger.com/analytics/company/sh/688122/688122/detail</t>
  </si>
  <si>
    <t>坚朗五金</t>
  </si>
  <si>
    <t>www.lixinger.com/analytics/company/sz/002791/2791/detail</t>
  </si>
  <si>
    <t>奥佳华</t>
  </si>
  <si>
    <t>其他家电</t>
  </si>
  <si>
    <t>www.lixinger.com/analytics/company/sz/002614/2614/detail</t>
  </si>
  <si>
    <t>通用股份</t>
  </si>
  <si>
    <t>www.lixinger.com/analytics/company/sh/601500/601500/detail</t>
  </si>
  <si>
    <t>杭电股份</t>
  </si>
  <si>
    <t>www.lixinger.com/analytics/company/sh/603618/603618/detail</t>
  </si>
  <si>
    <t>九丰能源</t>
  </si>
  <si>
    <t>www.lixinger.com/analytics/company/sh/605090/605090/detail</t>
  </si>
  <si>
    <t>昆药集团</t>
  </si>
  <si>
    <t>www.lixinger.com/analytics/company/sh/600422/600422/detail</t>
  </si>
  <si>
    <t>光启技术</t>
  </si>
  <si>
    <t>www.lixinger.com/analytics/company/sz/002625/2625/detail</t>
  </si>
  <si>
    <t>轻纺城</t>
  </si>
  <si>
    <t>www.lixinger.com/analytics/company/sh/600790/600790/detail</t>
  </si>
  <si>
    <t>兴业矿业</t>
  </si>
  <si>
    <t>www.lixinger.com/analytics/company/sz/000426/426/detail</t>
  </si>
  <si>
    <t>汉缆股份</t>
  </si>
  <si>
    <t>www.lixinger.com/analytics/company/sz/002498/2498/detail</t>
  </si>
  <si>
    <t>鹏欣资源</t>
  </si>
  <si>
    <t>www.lixinger.com/analytics/company/sh/600490/600490/detail</t>
  </si>
  <si>
    <t>史丹利</t>
  </si>
  <si>
    <t>www.lixinger.com/analytics/company/sz/002588/2588/detail</t>
  </si>
  <si>
    <t>润邦股份</t>
  </si>
  <si>
    <t>www.lixinger.com/analytics/company/sz/002483/2483/detail</t>
  </si>
  <si>
    <t>昭衍新药</t>
  </si>
  <si>
    <t>www.lixinger.com/analytics/company/sh/603127/603127/detail</t>
  </si>
  <si>
    <t>东鹏饮料</t>
  </si>
  <si>
    <t>www.lixinger.com/analytics/company/sh/605499/605499/detail</t>
  </si>
  <si>
    <t>招商南油</t>
  </si>
  <si>
    <t>www.lixinger.com/analytics/company/sh/601975/601975/detail</t>
  </si>
  <si>
    <t>中装建设</t>
  </si>
  <si>
    <t>www.lixinger.com/analytics/company/sz/002822/2822/detail</t>
  </si>
  <si>
    <t>苏盐井神</t>
  </si>
  <si>
    <t>www.lixinger.com/analytics/company/sh/603299/603299/detail</t>
  </si>
  <si>
    <t>京蓝科技</t>
  </si>
  <si>
    <t>www.lixinger.com/analytics/company/sz/000711/711/detail</t>
  </si>
  <si>
    <t>协鑫集成</t>
  </si>
  <si>
    <t>www.lixinger.com/analytics/company/sz/002506/2506/detail</t>
  </si>
  <si>
    <t>洪涛股份</t>
  </si>
  <si>
    <t>www.lixinger.com/analytics/company/sz/002325/2325/detail</t>
  </si>
  <si>
    <t>大中矿业</t>
  </si>
  <si>
    <t>www.lixinger.com/analytics/company/sz/001203/1203/detail</t>
  </si>
  <si>
    <t>全筑股份</t>
  </si>
  <si>
    <t>www.lixinger.com/analytics/company/sh/603030/603030/detail</t>
  </si>
  <si>
    <t>电科数字</t>
  </si>
  <si>
    <t>www.lixinger.com/analytics/company/sh/600850/600850/detail</t>
  </si>
  <si>
    <t>杭州解百</t>
  </si>
  <si>
    <t>www.lixinger.com/analytics/company/sh/600814/600814/detail</t>
  </si>
  <si>
    <t>同兴达</t>
  </si>
  <si>
    <t>www.lixinger.com/analytics/company/sz/002845/2845/detail</t>
  </si>
  <si>
    <t>崇达技术</t>
  </si>
  <si>
    <t>www.lixinger.com/analytics/company/sz/002815/2815/detail</t>
  </si>
  <si>
    <t>洛阳玻璃</t>
  </si>
  <si>
    <t>www.lixinger.com/analytics/company/sh/600876/600876/detail</t>
  </si>
  <si>
    <t>华宝股份</t>
  </si>
  <si>
    <t>www.lixinger.com/analytics/company/sz/300741/300741/detail</t>
  </si>
  <si>
    <t>华润材料</t>
  </si>
  <si>
    <t>www.lixinger.com/analytics/company/sz/301090/301090/detail</t>
  </si>
  <si>
    <t>健友股份</t>
  </si>
  <si>
    <t>www.lixinger.com/analytics/company/sh/603707/603707/detail</t>
  </si>
  <si>
    <t>兴森科技</t>
  </si>
  <si>
    <t>www.lixinger.com/analytics/company/sz/002436/2436/detail</t>
  </si>
  <si>
    <t>寒锐钴业</t>
  </si>
  <si>
    <t>www.lixinger.com/analytics/company/sz/300618/300618/detail</t>
  </si>
  <si>
    <t>万润股份</t>
  </si>
  <si>
    <t>电子化学品</t>
  </si>
  <si>
    <t>www.lixinger.com/analytics/company/sz/002643/2643/detail</t>
  </si>
  <si>
    <t>翱捷科技</t>
  </si>
  <si>
    <t>www.lixinger.com/analytics/company/sh/688220/688220/detail</t>
  </si>
  <si>
    <t>舍得酒业</t>
  </si>
  <si>
    <t>www.lixinger.com/analytics/company/sh/600702/600702/detail</t>
  </si>
  <si>
    <t>移远通信</t>
  </si>
  <si>
    <t>www.lixinger.com/analytics/company/sh/603236/603236/detail</t>
  </si>
  <si>
    <t>金一文化</t>
  </si>
  <si>
    <t>www.lixinger.com/analytics/company/sz/002721/2721/detail</t>
  </si>
  <si>
    <t>东方电缆</t>
  </si>
  <si>
    <t>www.lixinger.com/analytics/company/sh/603606/603606/detail</t>
  </si>
  <si>
    <t>宝钢包装</t>
  </si>
  <si>
    <t>www.lixinger.com/analytics/company/sh/601968/601968/detail</t>
  </si>
  <si>
    <t>七一二</t>
  </si>
  <si>
    <t>www.lixinger.com/analytics/company/sh/603712/603712/detail</t>
  </si>
  <si>
    <t>华胜天成</t>
  </si>
  <si>
    <t>www.lixinger.com/analytics/company/sh/600410/600410/detail</t>
  </si>
  <si>
    <t>德才股份</t>
  </si>
  <si>
    <t>www.lixinger.com/analytics/company/sh/605287/605287/detail</t>
  </si>
  <si>
    <t>朗新科技</t>
  </si>
  <si>
    <t>www.lixinger.com/analytics/company/sz/300682/300682/detail</t>
  </si>
  <si>
    <t>杰赛科技</t>
  </si>
  <si>
    <t>www.lixinger.com/analytics/company/sz/002544/2544/detail</t>
  </si>
  <si>
    <t>亚盛集团</t>
  </si>
  <si>
    <t>www.lixinger.com/analytics/company/sh/600108/600108/detail</t>
  </si>
  <si>
    <t>华峰超纤</t>
  </si>
  <si>
    <t>其他塑料制品</t>
  </si>
  <si>
    <t>www.lixinger.com/analytics/company/sz/300180/300180/detail</t>
  </si>
  <si>
    <t>中信国安</t>
  </si>
  <si>
    <t>www.lixinger.com/analytics/company/sz/000839/839/detail</t>
  </si>
  <si>
    <t>龙蟠科技</t>
  </si>
  <si>
    <t>www.lixinger.com/analytics/company/sh/603906/603906/detail</t>
  </si>
  <si>
    <t>迪阿股份</t>
  </si>
  <si>
    <t>www.lixinger.com/analytics/company/sz/301177/301177/detail</t>
  </si>
  <si>
    <t>锦浪科技</t>
  </si>
  <si>
    <t>www.lixinger.com/analytics/company/sz/300763/300763/detail</t>
  </si>
  <si>
    <t>华塑股份</t>
  </si>
  <si>
    <t>www.lixinger.com/analytics/company/sh/600935/600935/detail</t>
  </si>
  <si>
    <t>*ST新光</t>
  </si>
  <si>
    <t>www.lixinger.com/analytics/company/sz/002147/2147/detail</t>
  </si>
  <si>
    <t>天禾股份</t>
  </si>
  <si>
    <t>www.lixinger.com/analytics/company/sz/002999/2999/detail</t>
  </si>
  <si>
    <t>云海金属</t>
  </si>
  <si>
    <t>www.lixinger.com/analytics/company/sz/002182/2182/detail</t>
  </si>
  <si>
    <t>达实智能</t>
  </si>
  <si>
    <t>www.lixinger.com/analytics/company/sz/002421/2421/detail</t>
  </si>
  <si>
    <t>老白干酒</t>
  </si>
  <si>
    <t>www.lixinger.com/analytics/company/sh/600559/600559/detail</t>
  </si>
  <si>
    <t>国电南自</t>
  </si>
  <si>
    <t>www.lixinger.com/analytics/company/sh/600268/600268/detail</t>
  </si>
  <si>
    <t>启明星辰</t>
  </si>
  <si>
    <t>www.lixinger.com/analytics/company/sz/002439/2439/detail</t>
  </si>
  <si>
    <t>华昌化工</t>
  </si>
  <si>
    <t>www.lixinger.com/analytics/company/sz/002274/2274/detail</t>
  </si>
  <si>
    <t>渤海汽车</t>
  </si>
  <si>
    <t>www.lixinger.com/analytics/company/sh/600960/600960/detail</t>
  </si>
  <si>
    <t>世联行</t>
  </si>
  <si>
    <t>www.lixinger.com/analytics/company/sz/002285/2285/detail</t>
  </si>
  <si>
    <t>百川股份</t>
  </si>
  <si>
    <t>www.lixinger.com/analytics/company/sz/002455/2455/detail</t>
  </si>
  <si>
    <t>远大控股</t>
  </si>
  <si>
    <t>www.lixinger.com/analytics/company/sz/000626/626/detail</t>
  </si>
  <si>
    <t>龙大美食</t>
  </si>
  <si>
    <t>www.lixinger.com/analytics/company/sz/002726/2726/detail</t>
  </si>
  <si>
    <t>华宇软件</t>
  </si>
  <si>
    <t>www.lixinger.com/analytics/company/sz/300271/300271/detail</t>
  </si>
  <si>
    <t>天润工业</t>
  </si>
  <si>
    <t>www.lixinger.com/analytics/company/sz/002283/2283/detail</t>
  </si>
  <si>
    <t>天壕环境</t>
  </si>
  <si>
    <t>www.lixinger.com/analytics/company/sz/300332/300332/detail</t>
  </si>
  <si>
    <t>齐心集团</t>
  </si>
  <si>
    <t>www.lixinger.com/analytics/company/sz/002301/2301/detail</t>
  </si>
  <si>
    <t>青松建化</t>
  </si>
  <si>
    <t>www.lixinger.com/analytics/company/sh/600425/600425/detail</t>
  </si>
  <si>
    <t>ST鹏博士</t>
  </si>
  <si>
    <t>www.lixinger.com/analytics/company/sh/600804/600804/detail</t>
  </si>
  <si>
    <t>九阳股份</t>
  </si>
  <si>
    <t>www.lixinger.com/analytics/company/sz/002242/2242/detail</t>
  </si>
  <si>
    <t>旭升股份</t>
  </si>
  <si>
    <t>www.lixinger.com/analytics/company/sh/603305/603305/detail</t>
  </si>
  <si>
    <t>模塑科技</t>
  </si>
  <si>
    <t>www.lixinger.com/analytics/company/sz/000700/700/detail</t>
  </si>
  <si>
    <t>广大特材</t>
  </si>
  <si>
    <t>www.lixinger.com/analytics/company/sh/688186/688186/detail</t>
  </si>
  <si>
    <t>安克创新</t>
  </si>
  <si>
    <t>www.lixinger.com/analytics/company/sz/300866/300866/detail</t>
  </si>
  <si>
    <t>宁波韵升</t>
  </si>
  <si>
    <t>www.lixinger.com/analytics/company/sh/600366/600366/detail</t>
  </si>
  <si>
    <t>漳州发展</t>
  </si>
  <si>
    <t>www.lixinger.com/analytics/company/sz/000753/753/detail</t>
  </si>
  <si>
    <t>孚日股份</t>
  </si>
  <si>
    <t>www.lixinger.com/analytics/company/sz/002083/2083/detail</t>
  </si>
  <si>
    <t>亿晶光电</t>
  </si>
  <si>
    <t>www.lixinger.com/analytics/company/sh/600537/600537/detail</t>
  </si>
  <si>
    <t>渝开发</t>
  </si>
  <si>
    <t>www.lixinger.com/analytics/company/sz/000514/514/detail</t>
  </si>
  <si>
    <t>东安动力</t>
  </si>
  <si>
    <t>www.lixinger.com/analytics/company/sh/600178/600178/detail</t>
  </si>
  <si>
    <t>泰和新材</t>
  </si>
  <si>
    <t>www.lixinger.com/analytics/company/sz/002254/2254/detail</t>
  </si>
  <si>
    <t>大东方</t>
  </si>
  <si>
    <t>www.lixinger.com/analytics/company/sh/600327/600327/detail</t>
  </si>
  <si>
    <t>特发信息</t>
  </si>
  <si>
    <t>www.lixinger.com/analytics/company/sz/000070/70/detail</t>
  </si>
  <si>
    <t>今创集团</t>
  </si>
  <si>
    <t>www.lixinger.com/analytics/company/sh/603680/603680/detail</t>
  </si>
  <si>
    <t>扬杰科技</t>
  </si>
  <si>
    <t>www.lixinger.com/analytics/company/sz/300373/300373/detail</t>
  </si>
  <si>
    <t>雪天盐业</t>
  </si>
  <si>
    <t>www.lixinger.com/analytics/company/sh/600929/600929/detail</t>
  </si>
  <si>
    <t>诺普信</t>
  </si>
  <si>
    <t>www.lixinger.com/analytics/company/sz/002215/2215/detail</t>
  </si>
  <si>
    <t>科陆电子</t>
  </si>
  <si>
    <t>www.lixinger.com/analytics/company/sz/002121/2121/detail</t>
  </si>
  <si>
    <t>北方铜业</t>
  </si>
  <si>
    <t>www.lixinger.com/analytics/company/sz/000737/737/detail</t>
  </si>
  <si>
    <t>盈趣科技</t>
  </si>
  <si>
    <t>www.lixinger.com/analytics/company/sz/002925/2925/detail</t>
  </si>
  <si>
    <t>东方国信</t>
  </si>
  <si>
    <t>www.lixinger.com/analytics/company/sz/300166/300166/detail</t>
  </si>
  <si>
    <t>诺力股份</t>
  </si>
  <si>
    <t>www.lixinger.com/analytics/company/sh/603611/603611/detail</t>
  </si>
  <si>
    <t>东方电子</t>
  </si>
  <si>
    <t>www.lixinger.com/analytics/company/sz/000682/682/detail</t>
  </si>
  <si>
    <t>春风动力</t>
  </si>
  <si>
    <t>www.lixinger.com/analytics/company/sh/603129/603129/detail</t>
  </si>
  <si>
    <t>首华燃气</t>
  </si>
  <si>
    <t>www.lixinger.com/analytics/company/sz/300483/300483/detail</t>
  </si>
  <si>
    <t>万顺新材</t>
  </si>
  <si>
    <t>www.lixinger.com/analytics/company/sz/300057/300057/detail</t>
  </si>
  <si>
    <t>科达利</t>
  </si>
  <si>
    <t>www.lixinger.com/analytics/company/sz/002850/2850/detail</t>
  </si>
  <si>
    <t>宏川智慧</t>
  </si>
  <si>
    <t>www.lixinger.com/analytics/company/sz/002930/2930/detail</t>
  </si>
  <si>
    <t>秦川机床</t>
  </si>
  <si>
    <t>机床工具</t>
  </si>
  <si>
    <t>www.lixinger.com/analytics/company/sz/000837/837/detail</t>
  </si>
  <si>
    <t>交运股份</t>
  </si>
  <si>
    <t>www.lixinger.com/analytics/company/sh/600676/600676/detail</t>
  </si>
  <si>
    <t>涪陵榨菜</t>
  </si>
  <si>
    <t>www.lixinger.com/analytics/company/sz/002507/2507/detail</t>
  </si>
  <si>
    <t>海南海药</t>
  </si>
  <si>
    <t>www.lixinger.com/analytics/company/sz/000566/566/detail</t>
  </si>
  <si>
    <t>久立特材</t>
  </si>
  <si>
    <t>www.lixinger.com/analytics/company/sz/002318/2318/detail</t>
  </si>
  <si>
    <t>欧普照明</t>
  </si>
  <si>
    <t>www.lixinger.com/analytics/company/sh/603515/603515/detail</t>
  </si>
  <si>
    <t>*ST围海</t>
  </si>
  <si>
    <t>www.lixinger.com/analytics/company/sz/002586/2586/detail</t>
  </si>
  <si>
    <t>喜临门</t>
  </si>
  <si>
    <t>www.lixinger.com/analytics/company/sh/603008/603008/detail</t>
  </si>
  <si>
    <t>天通股份</t>
  </si>
  <si>
    <t>www.lixinger.com/analytics/company/sh/600330/600330/detail</t>
  </si>
  <si>
    <t>百川能源</t>
  </si>
  <si>
    <t>www.lixinger.com/analytics/company/sh/600681/600681/detail</t>
  </si>
  <si>
    <t>东风股份</t>
  </si>
  <si>
    <t>www.lixinger.com/analytics/company/sh/601515/601515/detail</t>
  </si>
  <si>
    <t>超声电子</t>
  </si>
  <si>
    <t>www.lixinger.com/analytics/company/sz/000823/823/detail</t>
  </si>
  <si>
    <t>ST方科</t>
  </si>
  <si>
    <t>www.lixinger.com/analytics/company/sh/600601/600601/detail</t>
  </si>
  <si>
    <t>航民股份</t>
  </si>
  <si>
    <t>www.lixinger.com/analytics/company/sh/600987/600987/detail</t>
  </si>
  <si>
    <t>川恒股份</t>
  </si>
  <si>
    <t>www.lixinger.com/analytics/company/sz/002895/2895/detail</t>
  </si>
  <si>
    <t>白云电器</t>
  </si>
  <si>
    <t>www.lixinger.com/analytics/company/sh/603861/603861/detail</t>
  </si>
  <si>
    <t>中船科技</t>
  </si>
  <si>
    <t>www.lixinger.com/analytics/company/sh/600072/600072/detail</t>
  </si>
  <si>
    <t>孩子王</t>
  </si>
  <si>
    <t>www.lixinger.com/analytics/company/sz/301078/301078/detail</t>
  </si>
  <si>
    <t>圣元环保</t>
  </si>
  <si>
    <t>www.lixinger.com/analytics/company/sz/300867/300867/detail</t>
  </si>
  <si>
    <t>迈克生物</t>
  </si>
  <si>
    <t>www.lixinger.com/analytics/company/sz/300463/300463/detail</t>
  </si>
  <si>
    <t>中电兴发</t>
  </si>
  <si>
    <t>www.lixinger.com/analytics/company/sz/002298/2298/detail</t>
  </si>
  <si>
    <t>大族数控</t>
  </si>
  <si>
    <t>www.lixinger.com/analytics/company/sz/301200/301200/detail</t>
  </si>
  <si>
    <t>海翔药业</t>
  </si>
  <si>
    <t>www.lixinger.com/analytics/company/sz/002099/2099/detail</t>
  </si>
  <si>
    <t>鲁抗医药</t>
  </si>
  <si>
    <t>www.lixinger.com/analytics/company/sh/600789/600789/detail</t>
  </si>
  <si>
    <t>龙腾光电</t>
  </si>
  <si>
    <t>www.lixinger.com/analytics/company/sh/688055/688055/detail</t>
  </si>
  <si>
    <t>京山轻机</t>
  </si>
  <si>
    <t>印刷包装机械</t>
  </si>
  <si>
    <t>www.lixinger.com/analytics/company/sz/000821/821/detail</t>
  </si>
  <si>
    <t>数据港</t>
  </si>
  <si>
    <t>www.lixinger.com/analytics/company/sh/603881/603881/detail</t>
  </si>
  <si>
    <t>星源材质</t>
  </si>
  <si>
    <t>www.lixinger.com/analytics/company/sz/300568/300568/detail</t>
  </si>
  <si>
    <t>至纯科技</t>
  </si>
  <si>
    <t>www.lixinger.com/analytics/company/sh/603690/603690/detail</t>
  </si>
  <si>
    <t>广东鸿图</t>
  </si>
  <si>
    <t>www.lixinger.com/analytics/company/sz/002101/2101/detail</t>
  </si>
  <si>
    <t>焦作万方</t>
  </si>
  <si>
    <t>www.lixinger.com/analytics/company/sz/000612/612/detail</t>
  </si>
  <si>
    <t>中矿资源</t>
  </si>
  <si>
    <t>www.lixinger.com/analytics/company/sz/002738/2738/detail</t>
  </si>
  <si>
    <t>景兴纸业</t>
  </si>
  <si>
    <t>www.lixinger.com/analytics/company/sz/002067/2067/detail</t>
  </si>
  <si>
    <t>密尔克卫</t>
  </si>
  <si>
    <t>www.lixinger.com/analytics/company/sh/603713/603713/detail</t>
  </si>
  <si>
    <t>锌业股份</t>
  </si>
  <si>
    <t>www.lixinger.com/analytics/company/sz/000751/751/detail</t>
  </si>
  <si>
    <t>华扬联众</t>
  </si>
  <si>
    <t>www.lixinger.com/analytics/company/sh/603825/603825/detail</t>
  </si>
  <si>
    <t>沃尔核材</t>
  </si>
  <si>
    <t>www.lixinger.com/analytics/company/sz/002130/2130/detail</t>
  </si>
  <si>
    <t>万和电气</t>
  </si>
  <si>
    <t>卫浴电器</t>
  </si>
  <si>
    <t>www.lixinger.com/analytics/company/sz/002543/2543/detail</t>
  </si>
  <si>
    <t>曲美家居</t>
  </si>
  <si>
    <t>www.lixinger.com/analytics/company/sh/603818/603818/detail</t>
  </si>
  <si>
    <t>新华百货</t>
  </si>
  <si>
    <t>www.lixinger.com/analytics/company/sh/600785/600785/detail</t>
  </si>
  <si>
    <t>亚光科技</t>
  </si>
  <si>
    <t>www.lixinger.com/analytics/company/sz/300123/300123/detail</t>
  </si>
  <si>
    <t>中金环境</t>
  </si>
  <si>
    <t>www.lixinger.com/analytics/company/sz/300145/300145/detail</t>
  </si>
  <si>
    <t>杰克股份</t>
  </si>
  <si>
    <t>www.lixinger.com/analytics/company/sh/603337/603337/detail</t>
  </si>
  <si>
    <t>浙文互联</t>
  </si>
  <si>
    <t>www.lixinger.com/analytics/company/sh/600986/600986/detail</t>
  </si>
  <si>
    <t>中航高科</t>
  </si>
  <si>
    <t>www.lixinger.com/analytics/company/sh/600862/600862/detail</t>
  </si>
  <si>
    <t>东诚药业</t>
  </si>
  <si>
    <t>www.lixinger.com/analytics/company/sz/002675/2675/detail</t>
  </si>
  <si>
    <t>圣湘生物</t>
  </si>
  <si>
    <t>www.lixinger.com/analytics/company/sh/688289/688289/detail</t>
  </si>
  <si>
    <t>黑猫股份</t>
  </si>
  <si>
    <t>炭黑</t>
  </si>
  <si>
    <t>www.lixinger.com/analytics/company/sz/002068/2068/detail</t>
  </si>
  <si>
    <t>中牧股份</t>
  </si>
  <si>
    <t>动物保健</t>
  </si>
  <si>
    <t>www.lixinger.com/analytics/company/sh/600195/600195/detail</t>
  </si>
  <si>
    <t>国邦医药</t>
  </si>
  <si>
    <t>www.lixinger.com/analytics/company/sh/605507/605507/detail</t>
  </si>
  <si>
    <t>安洁科技</t>
  </si>
  <si>
    <t>www.lixinger.com/analytics/company/sz/002635/2635/detail</t>
  </si>
  <si>
    <t>康欣新材</t>
  </si>
  <si>
    <t>www.lixinger.com/analytics/company/sh/600076/600076/detail</t>
  </si>
  <si>
    <t>康冠科技</t>
  </si>
  <si>
    <t>www.lixinger.com/analytics/company/sz/001308/1308/detail</t>
  </si>
  <si>
    <t>恒星科技</t>
  </si>
  <si>
    <t>www.lixinger.com/analytics/company/sz/002132/2132/detail</t>
  </si>
  <si>
    <t>首航高科</t>
  </si>
  <si>
    <t>www.lixinger.com/analytics/company/sz/002665/2665/detail</t>
  </si>
  <si>
    <t>新泉股份</t>
  </si>
  <si>
    <t>www.lixinger.com/analytics/company/sh/603179/603179/detail</t>
  </si>
  <si>
    <t>华铁股份</t>
  </si>
  <si>
    <t>www.lixinger.com/analytics/company/sz/000976/976/detail</t>
  </si>
  <si>
    <t>恒林股份</t>
  </si>
  <si>
    <t>www.lixinger.com/analytics/company/sh/603661/603661/detail</t>
  </si>
  <si>
    <t>西王食品</t>
  </si>
  <si>
    <t>www.lixinger.com/analytics/company/sz/000639/639/detail</t>
  </si>
  <si>
    <t>*ST众泰</t>
  </si>
  <si>
    <t>www.lixinger.com/analytics/company/sz/000980/980/detail</t>
  </si>
  <si>
    <t>京粮B</t>
  </si>
  <si>
    <t>www.lixinger.com/analytics/company/sz/200505/200505/detail</t>
  </si>
  <si>
    <t>博雅生物</t>
  </si>
  <si>
    <t>www.lixinger.com/analytics/company/sz/300294/300294/detail</t>
  </si>
  <si>
    <t>新华制药</t>
  </si>
  <si>
    <t>www.lixinger.com/analytics/company/sz/000756/756/detail</t>
  </si>
  <si>
    <t>九号公司</t>
  </si>
  <si>
    <t>www.lixinger.com/analytics/company/sh/689009/689009/detail</t>
  </si>
  <si>
    <t>海联金汇</t>
  </si>
  <si>
    <t>www.lixinger.com/analytics/company/sz/002537/2537/detail</t>
  </si>
  <si>
    <t>常铝股份</t>
  </si>
  <si>
    <t>www.lixinger.com/analytics/company/sz/002160/2160/detail</t>
  </si>
  <si>
    <t>成都路桥</t>
  </si>
  <si>
    <t>www.lixinger.com/analytics/company/sz/002628/2628/detail</t>
  </si>
  <si>
    <t>城地香江</t>
  </si>
  <si>
    <t>www.lixinger.com/analytics/company/sh/603887/603887/detail</t>
  </si>
  <si>
    <t>深粮控股</t>
  </si>
  <si>
    <t>www.lixinger.com/analytics/company/sz/000019/19/detail</t>
  </si>
  <si>
    <t>华统股份</t>
  </si>
  <si>
    <t>www.lixinger.com/analytics/company/sz/002840/2840/detail</t>
  </si>
  <si>
    <t>洽洽食品</t>
  </si>
  <si>
    <t>零食</t>
  </si>
  <si>
    <t>www.lixinger.com/analytics/company/sz/002557/2557/detail</t>
  </si>
  <si>
    <t>昇辉科技</t>
  </si>
  <si>
    <t>www.lixinger.com/analytics/company/sz/300423/300423/detail</t>
  </si>
  <si>
    <t>渤海股份</t>
  </si>
  <si>
    <t>www.lixinger.com/analytics/company/sz/000605/605/detail</t>
  </si>
  <si>
    <t>豪迈科技</t>
  </si>
  <si>
    <t>www.lixinger.com/analytics/company/sz/002595/2595/detail</t>
  </si>
  <si>
    <t>海利得</t>
  </si>
  <si>
    <t>www.lixinger.com/analytics/company/sz/002206/2206/detail</t>
  </si>
  <si>
    <t>安旭生物</t>
  </si>
  <si>
    <t>www.lixinger.com/analytics/company/sh/688075/688075/detail</t>
  </si>
  <si>
    <t>盾安环境</t>
  </si>
  <si>
    <t>www.lixinger.com/analytics/company/sz/002011/2011/detail</t>
  </si>
  <si>
    <t>常熟汽饰</t>
  </si>
  <si>
    <t>www.lixinger.com/analytics/company/sh/603035/603035/detail</t>
  </si>
  <si>
    <t>龙洲股份</t>
  </si>
  <si>
    <t>www.lixinger.com/analytics/company/sz/002682/2682/detail</t>
  </si>
  <si>
    <t>永鼎股份</t>
  </si>
  <si>
    <t>www.lixinger.com/analytics/company/sh/600105/600105/detail</t>
  </si>
  <si>
    <t>博腾股份</t>
  </si>
  <si>
    <t>www.lixinger.com/analytics/company/sz/300363/300363/detail</t>
  </si>
  <si>
    <t>九洲药业</t>
  </si>
  <si>
    <t>www.lixinger.com/analytics/company/sh/603456/603456/detail</t>
  </si>
  <si>
    <t>雅克科技</t>
  </si>
  <si>
    <t>www.lixinger.com/analytics/company/sz/002409/2409/detail</t>
  </si>
  <si>
    <t>昇兴股份</t>
  </si>
  <si>
    <t>www.lixinger.com/analytics/company/sz/002752/2752/detail</t>
  </si>
  <si>
    <t>飞乐音响</t>
  </si>
  <si>
    <t>www.lixinger.com/analytics/company/sh/600651/600651/detail</t>
  </si>
  <si>
    <t>江苏索普</t>
  </si>
  <si>
    <t>www.lixinger.com/analytics/company/sh/600746/600746/detail</t>
  </si>
  <si>
    <t>澳柯玛</t>
  </si>
  <si>
    <t>www.lixinger.com/analytics/company/sh/600336/600336/detail</t>
  </si>
  <si>
    <t>国瓷材料</t>
  </si>
  <si>
    <t>www.lixinger.com/analytics/company/sz/300285/300285/detail</t>
  </si>
  <si>
    <t>冠农股份</t>
  </si>
  <si>
    <t>果蔬加工</t>
  </si>
  <si>
    <t>www.lixinger.com/analytics/company/sh/600251/600251/detail</t>
  </si>
  <si>
    <t>美盈森</t>
  </si>
  <si>
    <t>www.lixinger.com/analytics/company/sz/002303/2303/detail</t>
  </si>
  <si>
    <t>翠微股份</t>
  </si>
  <si>
    <t>www.lixinger.com/analytics/company/sh/603123/603123/detail</t>
  </si>
  <si>
    <t>尚品宅配</t>
  </si>
  <si>
    <t>www.lixinger.com/analytics/company/sz/300616/300616/detail</t>
  </si>
  <si>
    <t>富临精工</t>
  </si>
  <si>
    <t>www.lixinger.com/analytics/company/sz/300432/300432/detail</t>
  </si>
  <si>
    <t>*ST澄星</t>
  </si>
  <si>
    <t>www.lixinger.com/analytics/company/sh/600078/600078/detail</t>
  </si>
  <si>
    <t>军信股份</t>
  </si>
  <si>
    <t>www.lixinger.com/analytics/company/sz/301109/301109/detail</t>
  </si>
  <si>
    <t>航天科技</t>
  </si>
  <si>
    <t>www.lixinger.com/analytics/company/sz/000901/901/detail</t>
  </si>
  <si>
    <t>金杯电工</t>
  </si>
  <si>
    <t>www.lixinger.com/analytics/company/sz/002533/2533/detail</t>
  </si>
  <si>
    <t>同花顺</t>
  </si>
  <si>
    <t>www.lixinger.com/analytics/company/sz/300033/300033/detail</t>
  </si>
  <si>
    <t>沧州大化</t>
  </si>
  <si>
    <t>www.lixinger.com/analytics/company/sh/600230/600230/detail</t>
  </si>
  <si>
    <t>乾照光电</t>
  </si>
  <si>
    <t>www.lixinger.com/analytics/company/sz/300102/300102/detail</t>
  </si>
  <si>
    <t>吉比特</t>
  </si>
  <si>
    <t>www.lixinger.com/analytics/company/sh/603444/603444/detail</t>
  </si>
  <si>
    <t>卫宁健康</t>
  </si>
  <si>
    <t>www.lixinger.com/analytics/company/sz/300253/300253/detail</t>
  </si>
  <si>
    <t>安源煤业</t>
  </si>
  <si>
    <t>www.lixinger.com/analytics/company/sh/600397/600397/detail</t>
  </si>
  <si>
    <t>湖南黄金</t>
  </si>
  <si>
    <t>www.lixinger.com/analytics/company/sz/002155/2155/detail</t>
  </si>
  <si>
    <t>红旗连锁</t>
  </si>
  <si>
    <t>www.lixinger.com/analytics/company/sz/002697/2697/detail</t>
  </si>
  <si>
    <t>富森美</t>
  </si>
  <si>
    <t>www.lixinger.com/analytics/company/sz/002818/2818/detail</t>
  </si>
  <si>
    <t>海马汽车</t>
  </si>
  <si>
    <t>www.lixinger.com/analytics/company/sz/000572/572/detail</t>
  </si>
  <si>
    <t>南宁糖业</t>
  </si>
  <si>
    <t>www.lixinger.com/analytics/company/sz/000911/911/detail</t>
  </si>
  <si>
    <t>永兴材料</t>
  </si>
  <si>
    <t>www.lixinger.com/analytics/company/sz/002756/2756/detail</t>
  </si>
  <si>
    <t>中科创达</t>
  </si>
  <si>
    <t>www.lixinger.com/analytics/company/sz/300496/300496/detail</t>
  </si>
  <si>
    <t>华熙生物</t>
  </si>
  <si>
    <t>医美耗材</t>
  </si>
  <si>
    <t>www.lixinger.com/analytics/company/sh/688363/688363/detail</t>
  </si>
  <si>
    <t>绝味食品</t>
  </si>
  <si>
    <t>熟食</t>
  </si>
  <si>
    <t>www.lixinger.com/analytics/company/sh/603517/603517/detail</t>
  </si>
  <si>
    <t>卧龙地产</t>
  </si>
  <si>
    <t>www.lixinger.com/analytics/company/sh/600173/600173/detail</t>
  </si>
  <si>
    <t>奥士康</t>
  </si>
  <si>
    <t>www.lixinger.com/analytics/company/sz/002913/2913/detail</t>
  </si>
  <si>
    <t>司尔特</t>
  </si>
  <si>
    <t>www.lixinger.com/analytics/company/sz/002538/2538/detail</t>
  </si>
  <si>
    <t>日海智能</t>
  </si>
  <si>
    <t>www.lixinger.com/analytics/company/sz/002313/2313/detail</t>
  </si>
  <si>
    <t>交建股份</t>
  </si>
  <si>
    <t>www.lixinger.com/analytics/company/sh/603815/603815/detail</t>
  </si>
  <si>
    <t>四方股份</t>
  </si>
  <si>
    <t>www.lixinger.com/analytics/company/sh/601126/601126/detail</t>
  </si>
  <si>
    <t>亿联网络</t>
  </si>
  <si>
    <t>www.lixinger.com/analytics/company/sz/300628/300628/detail</t>
  </si>
  <si>
    <t>银星能源</t>
  </si>
  <si>
    <t>www.lixinger.com/analytics/company/sz/000862/862/detail</t>
  </si>
  <si>
    <t>国睿科技</t>
  </si>
  <si>
    <t>www.lixinger.com/analytics/company/sh/600562/600562/detail</t>
  </si>
  <si>
    <t>时代出版</t>
  </si>
  <si>
    <t>www.lixinger.com/analytics/company/sh/600551/600551/detail</t>
  </si>
  <si>
    <t>文峰股份</t>
  </si>
  <si>
    <t>www.lixinger.com/analytics/company/sh/601010/601010/detail</t>
  </si>
  <si>
    <t>海兴电力</t>
  </si>
  <si>
    <t>www.lixinger.com/analytics/company/sh/603556/603556/detail</t>
  </si>
  <si>
    <t>众合科技</t>
  </si>
  <si>
    <t>www.lixinger.com/analytics/company/sz/000925/925/detail</t>
  </si>
  <si>
    <t>海峡股份</t>
  </si>
  <si>
    <t>www.lixinger.com/analytics/company/sz/002320/2320/detail</t>
  </si>
  <si>
    <t>中顺洁柔</t>
  </si>
  <si>
    <t>www.lixinger.com/analytics/company/sz/002511/2511/detail</t>
  </si>
  <si>
    <t>苏博特</t>
  </si>
  <si>
    <t>www.lixinger.com/analytics/company/sh/603916/603916/detail</t>
  </si>
  <si>
    <t>通化东宝</t>
  </si>
  <si>
    <t>www.lixinger.com/analytics/company/sh/600867/600867/detail</t>
  </si>
  <si>
    <t>康弘药业</t>
  </si>
  <si>
    <t>www.lixinger.com/analytics/company/sz/002773/2773/detail</t>
  </si>
  <si>
    <t>重庆路桥</t>
  </si>
  <si>
    <t>www.lixinger.com/analytics/company/sh/600106/600106/detail</t>
  </si>
  <si>
    <t>凯盛科技</t>
  </si>
  <si>
    <t>www.lixinger.com/analytics/company/sh/600552/600552/detail</t>
  </si>
  <si>
    <t>津滨发展</t>
  </si>
  <si>
    <t>www.lixinger.com/analytics/company/sz/000897/897/detail</t>
  </si>
  <si>
    <t>四创电子</t>
  </si>
  <si>
    <t>www.lixinger.com/analytics/company/sh/600990/600990/detail</t>
  </si>
  <si>
    <t>台华新材</t>
  </si>
  <si>
    <t>其他纺织</t>
  </si>
  <si>
    <t>www.lixinger.com/analytics/company/sh/603055/603055/detail</t>
  </si>
  <si>
    <t>鲁北化工</t>
  </si>
  <si>
    <t>www.lixinger.com/analytics/company/sh/600727/600727/detail</t>
  </si>
  <si>
    <t>长江健康</t>
  </si>
  <si>
    <t>www.lixinger.com/analytics/company/sz/002435/2435/detail</t>
  </si>
  <si>
    <t>火炬电子</t>
  </si>
  <si>
    <t>www.lixinger.com/analytics/company/sh/603678/603678/detail</t>
  </si>
  <si>
    <t>中复神鹰</t>
  </si>
  <si>
    <t>www.lixinger.com/analytics/company/sh/688295/688295/detail</t>
  </si>
  <si>
    <t>拓日新能</t>
  </si>
  <si>
    <t>www.lixinger.com/analytics/company/sz/002218/2218/detail</t>
  </si>
  <si>
    <t>利民股份</t>
  </si>
  <si>
    <t>www.lixinger.com/analytics/company/sz/002734/2734/detail</t>
  </si>
  <si>
    <t>周大生</t>
  </si>
  <si>
    <t>www.lixinger.com/analytics/company/sz/002867/2867/detail</t>
  </si>
  <si>
    <t>风神股份</t>
  </si>
  <si>
    <t>www.lixinger.com/analytics/company/sh/600469/600469/detail</t>
  </si>
  <si>
    <t>派林生物</t>
  </si>
  <si>
    <t>www.lixinger.com/analytics/company/sz/000403/403/detail</t>
  </si>
  <si>
    <t>振华新材</t>
  </si>
  <si>
    <t>www.lixinger.com/analytics/company/sh/688707/688707/detail</t>
  </si>
  <si>
    <t>埃斯顿</t>
  </si>
  <si>
    <t>www.lixinger.com/analytics/company/sz/002747/2747/detail</t>
  </si>
  <si>
    <t>鲁信创投</t>
  </si>
  <si>
    <t>www.lixinger.com/analytics/company/sh/600783/600783/detail</t>
  </si>
  <si>
    <t>维业股份</t>
  </si>
  <si>
    <t>www.lixinger.com/analytics/company/sz/300621/300621/detail</t>
  </si>
  <si>
    <t>和而泰</t>
  </si>
  <si>
    <t>www.lixinger.com/analytics/company/sz/002402/2402/detail</t>
  </si>
  <si>
    <t>中红医疗</t>
  </si>
  <si>
    <t>www.lixinger.com/analytics/company/sz/300981/300981/detail</t>
  </si>
  <si>
    <t>耀皮玻璃</t>
  </si>
  <si>
    <t>www.lixinger.com/analytics/company/sh/600819/600819/detail</t>
  </si>
  <si>
    <t>成飞集成</t>
  </si>
  <si>
    <t>www.lixinger.com/analytics/company/sz/002190/2190/detail</t>
  </si>
  <si>
    <t>省广集团</t>
  </si>
  <si>
    <t>www.lixinger.com/analytics/company/sz/002400/2400/detail</t>
  </si>
  <si>
    <t>文投控股</t>
  </si>
  <si>
    <t>www.lixinger.com/analytics/company/sh/600715/600715/detail</t>
  </si>
  <si>
    <t>星期六</t>
  </si>
  <si>
    <t>www.lixinger.com/analytics/company/sz/002291/2291/detail</t>
  </si>
  <si>
    <t>三湘印象</t>
  </si>
  <si>
    <t>www.lixinger.com/analytics/company/sz/000863/863/detail</t>
  </si>
  <si>
    <t>宁波海运</t>
  </si>
  <si>
    <t>www.lixinger.com/analytics/company/sh/600798/600798/detail</t>
  </si>
  <si>
    <t>濮耐股份</t>
  </si>
  <si>
    <t>耐火材料</t>
  </si>
  <si>
    <t>www.lixinger.com/analytics/company/sz/002225/2225/detail</t>
  </si>
  <si>
    <t>万邦达</t>
  </si>
  <si>
    <t>www.lixinger.com/analytics/company/sz/300055/300055/detail</t>
  </si>
  <si>
    <t>鹏鹞环保</t>
  </si>
  <si>
    <t>www.lixinger.com/analytics/company/sz/300664/300664/detail</t>
  </si>
  <si>
    <t>大丰实业</t>
  </si>
  <si>
    <t>www.lixinger.com/analytics/company/sh/603081/603081/detail</t>
  </si>
  <si>
    <t>海德股份</t>
  </si>
  <si>
    <t>资产管理</t>
  </si>
  <si>
    <t>www.lixinger.com/analytics/company/sz/000567/567/detail</t>
  </si>
  <si>
    <t>中国汽研</t>
  </si>
  <si>
    <t>汽车综合服务</t>
  </si>
  <si>
    <t>www.lixinger.com/analytics/company/sh/601965/601965/detail</t>
  </si>
  <si>
    <t>勘设股份</t>
  </si>
  <si>
    <t>www.lixinger.com/analytics/company/sh/603458/603458/detail</t>
  </si>
  <si>
    <t>常宝股份</t>
  </si>
  <si>
    <t>www.lixinger.com/analytics/company/sz/002478/2478/detail</t>
  </si>
  <si>
    <t>日发精机</t>
  </si>
  <si>
    <t>www.lixinger.com/analytics/company/sz/002520/2520/detail</t>
  </si>
  <si>
    <t>ST奥马</t>
  </si>
  <si>
    <t>www.lixinger.com/analytics/company/sz/002668/2668/detail</t>
  </si>
  <si>
    <t>长青股份</t>
  </si>
  <si>
    <t>www.lixinger.com/analytics/company/sz/002391/2391/detail</t>
  </si>
  <si>
    <t>华茂股份</t>
  </si>
  <si>
    <t>www.lixinger.com/analytics/company/sz/000850/850/detail</t>
  </si>
  <si>
    <t>仁和药业</t>
  </si>
  <si>
    <t>www.lixinger.com/analytics/company/sz/000650/650/detail</t>
  </si>
  <si>
    <t>深深房Ｂ</t>
  </si>
  <si>
    <t>www.lixinger.com/analytics/company/sz/200029/200029/detail</t>
  </si>
  <si>
    <t>万达信息</t>
  </si>
  <si>
    <t>www.lixinger.com/analytics/company/sz/300168/300168/detail</t>
  </si>
  <si>
    <t>英利汽车</t>
  </si>
  <si>
    <t>www.lixinger.com/analytics/company/sh/601279/601279/detail</t>
  </si>
  <si>
    <t>中再资环</t>
  </si>
  <si>
    <t>www.lixinger.com/analytics/company/sh/600217/600217/detail</t>
  </si>
  <si>
    <t>长鹰信质</t>
  </si>
  <si>
    <t>www.lixinger.com/analytics/company/sz/002664/2664/detail</t>
  </si>
  <si>
    <t>卓然股份</t>
  </si>
  <si>
    <t>www.lixinger.com/analytics/company/sh/688121/688121/detail</t>
  </si>
  <si>
    <t>尖峰集团</t>
  </si>
  <si>
    <t>www.lixinger.com/analytics/company/sh/600668/600668/detail</t>
  </si>
  <si>
    <t>广晟有色</t>
  </si>
  <si>
    <t>www.lixinger.com/analytics/company/sh/600259/600259/detail</t>
  </si>
  <si>
    <t>北斗星通</t>
  </si>
  <si>
    <t>www.lixinger.com/analytics/company/sz/002151/2151/detail</t>
  </si>
  <si>
    <t>凤凰股份</t>
  </si>
  <si>
    <t>www.lixinger.com/analytics/company/sh/600716/600716/detail</t>
  </si>
  <si>
    <t>胜利股份</t>
  </si>
  <si>
    <t>www.lixinger.com/analytics/company/sz/000407/407/detail</t>
  </si>
  <si>
    <t>当代文体</t>
  </si>
  <si>
    <t>体育</t>
  </si>
  <si>
    <t>www.lixinger.com/analytics/company/sh/600136/600136/detail</t>
  </si>
  <si>
    <t>深赛格B</t>
  </si>
  <si>
    <t>www.lixinger.com/analytics/company/sz/200058/200058/detail</t>
  </si>
  <si>
    <t>华微电子</t>
  </si>
  <si>
    <t>www.lixinger.com/analytics/company/sh/600360/600360/detail</t>
  </si>
  <si>
    <t>众业达</t>
  </si>
  <si>
    <t>www.lixinger.com/analytics/company/sz/002441/2441/detail</t>
  </si>
  <si>
    <t>凯龙股份</t>
  </si>
  <si>
    <t>www.lixinger.com/analytics/company/sz/002783/2783/detail</t>
  </si>
  <si>
    <t>爱柯迪</t>
  </si>
  <si>
    <t>www.lixinger.com/analytics/company/sh/600933/600933/detail</t>
  </si>
  <si>
    <t>冰山B</t>
  </si>
  <si>
    <t>www.lixinger.com/analytics/company/sz/200530/200530/detail</t>
  </si>
  <si>
    <t>深纺织Ｂ</t>
  </si>
  <si>
    <t>www.lixinger.com/analytics/company/sz/200045/200045/detail</t>
  </si>
  <si>
    <t>赛微电子</t>
  </si>
  <si>
    <t>www.lixinger.com/analytics/company/sz/300456/300456/detail</t>
  </si>
  <si>
    <t>北京利尔</t>
  </si>
  <si>
    <t>www.lixinger.com/analytics/company/sz/002392/2392/detail</t>
  </si>
  <si>
    <t>奥克股份</t>
  </si>
  <si>
    <t>www.lixinger.com/analytics/company/sz/300082/300082/detail</t>
  </si>
  <si>
    <t>金通灵</t>
  </si>
  <si>
    <t>www.lixinger.com/analytics/company/sz/300091/300091/detail</t>
  </si>
  <si>
    <t>中京电子</t>
  </si>
  <si>
    <t>www.lixinger.com/analytics/company/sz/002579/2579/detail</t>
  </si>
  <si>
    <t>昊海生科</t>
  </si>
  <si>
    <t>www.lixinger.com/analytics/company/sh/688366/688366/detail</t>
  </si>
  <si>
    <t>成都燃气</t>
  </si>
  <si>
    <t>www.lixinger.com/analytics/company/sh/603053/603053/detail</t>
  </si>
  <si>
    <t>华谊兄弟</t>
  </si>
  <si>
    <t>www.lixinger.com/analytics/company/sz/300027/300027/detail</t>
  </si>
  <si>
    <t>仙琚制药</t>
  </si>
  <si>
    <t>www.lixinger.com/analytics/company/sz/002332/2332/detail</t>
  </si>
  <si>
    <t>菲达环保</t>
  </si>
  <si>
    <t>www.lixinger.com/analytics/company/sh/600526/600526/detail</t>
  </si>
  <si>
    <t>钧达股份</t>
  </si>
  <si>
    <t>www.lixinger.com/analytics/company/sz/002865/2865/detail</t>
  </si>
  <si>
    <t>东材科技</t>
  </si>
  <si>
    <t>www.lixinger.com/analytics/company/sh/601208/601208/detail</t>
  </si>
  <si>
    <t>好当家</t>
  </si>
  <si>
    <t>水产养殖</t>
  </si>
  <si>
    <t>www.lixinger.com/analytics/company/sh/600467/600467/detail</t>
  </si>
  <si>
    <t>济南高新</t>
  </si>
  <si>
    <t>www.lixinger.com/analytics/company/sh/600807/600807/detail</t>
  </si>
  <si>
    <t>亚士创能</t>
  </si>
  <si>
    <t>www.lixinger.com/analytics/company/sh/603378/603378/detail</t>
  </si>
  <si>
    <t>*ST恒康</t>
  </si>
  <si>
    <t>www.lixinger.com/analytics/company/sz/002219/2219/detail</t>
  </si>
  <si>
    <t>云煤能源</t>
  </si>
  <si>
    <t>www.lixinger.com/analytics/company/sh/600792/600792/detail</t>
  </si>
  <si>
    <t>康力电梯</t>
  </si>
  <si>
    <t>www.lixinger.com/analytics/company/sz/002367/2367/detail</t>
  </si>
  <si>
    <t>松芝股份</t>
  </si>
  <si>
    <t>www.lixinger.com/analytics/company/sz/002454/2454/detail</t>
  </si>
  <si>
    <t>汤姆猫</t>
  </si>
  <si>
    <t>www.lixinger.com/analytics/company/sz/300459/300459/detail</t>
  </si>
  <si>
    <t>华兰疫苗</t>
  </si>
  <si>
    <t>www.lixinger.com/analytics/company/sz/301207/301207/detail</t>
  </si>
  <si>
    <t>众兴菌业</t>
  </si>
  <si>
    <t>食用菌</t>
  </si>
  <si>
    <t>www.lixinger.com/analytics/company/sz/002772/2772/detail</t>
  </si>
  <si>
    <t>南天信息</t>
  </si>
  <si>
    <t>www.lixinger.com/analytics/company/sz/000948/948/detail</t>
  </si>
  <si>
    <t>妙可蓝多</t>
  </si>
  <si>
    <t>www.lixinger.com/analytics/company/sh/600882/600882/detail</t>
  </si>
  <si>
    <t>捷昌驱动</t>
  </si>
  <si>
    <t>www.lixinger.com/analytics/company/sh/603583/603583/detail</t>
  </si>
  <si>
    <t>云赛智联</t>
  </si>
  <si>
    <t>www.lixinger.com/analytics/company/sh/600602/600602/detail</t>
  </si>
  <si>
    <t>长荣股份</t>
  </si>
  <si>
    <t>www.lixinger.com/analytics/company/sz/300195/300195/detail</t>
  </si>
  <si>
    <t>生物股份</t>
  </si>
  <si>
    <t>www.lixinger.com/analytics/company/sh/600201/600201/detail</t>
  </si>
  <si>
    <t>人民同泰</t>
  </si>
  <si>
    <t>www.lixinger.com/analytics/company/sh/600829/600829/detail</t>
  </si>
  <si>
    <t>新强联</t>
  </si>
  <si>
    <t>www.lixinger.com/analytics/company/sz/300850/300850/detail</t>
  </si>
  <si>
    <t>联创光电</t>
  </si>
  <si>
    <t>www.lixinger.com/analytics/company/sh/600363/600363/detail</t>
  </si>
  <si>
    <t>金固股份</t>
  </si>
  <si>
    <t>www.lixinger.com/analytics/company/sz/002488/2488/detail</t>
  </si>
  <si>
    <t>卫士通</t>
  </si>
  <si>
    <t>www.lixinger.com/analytics/company/sz/002268/2268/detail</t>
  </si>
  <si>
    <t>四川双马</t>
  </si>
  <si>
    <t>www.lixinger.com/analytics/company/sz/000935/935/detail</t>
  </si>
  <si>
    <t>钱江水利</t>
  </si>
  <si>
    <t>www.lixinger.com/analytics/company/sh/600283/600283/detail</t>
  </si>
  <si>
    <t>生益电子</t>
  </si>
  <si>
    <t>www.lixinger.com/analytics/company/sh/688183/688183/detail</t>
  </si>
  <si>
    <t>振德医疗</t>
  </si>
  <si>
    <t>www.lixinger.com/analytics/company/sh/603301/603301/detail</t>
  </si>
  <si>
    <t>吉林高速</t>
  </si>
  <si>
    <t>www.lixinger.com/analytics/company/sh/601518/601518/detail</t>
  </si>
  <si>
    <t>大业股份</t>
  </si>
  <si>
    <t>www.lixinger.com/analytics/company/sh/603278/603278/detail</t>
  </si>
  <si>
    <t>万孚生物</t>
  </si>
  <si>
    <t>www.lixinger.com/analytics/company/sz/300482/300482/detail</t>
  </si>
  <si>
    <t>游族网络</t>
  </si>
  <si>
    <t>www.lixinger.com/analytics/company/sz/002174/2174/detail</t>
  </si>
  <si>
    <t>雷科防务</t>
  </si>
  <si>
    <t>www.lixinger.com/analytics/company/sz/002413/2413/detail</t>
  </si>
  <si>
    <t>东岳硅材</t>
  </si>
  <si>
    <t>www.lixinger.com/analytics/company/sz/300821/300821/detail</t>
  </si>
  <si>
    <t>世荣兆业</t>
  </si>
  <si>
    <t>www.lixinger.com/analytics/company/sz/002016/2016/detail</t>
  </si>
  <si>
    <t>寒武纪</t>
  </si>
  <si>
    <t>www.lixinger.com/analytics/company/sh/688256/688256/detail</t>
  </si>
  <si>
    <t>中信海直</t>
  </si>
  <si>
    <t>www.lixinger.com/analytics/company/sz/000099/99/detail</t>
  </si>
  <si>
    <t>朗姿股份</t>
  </si>
  <si>
    <t>www.lixinger.com/analytics/company/sz/002612/2612/detail</t>
  </si>
  <si>
    <t>麦格米特</t>
  </si>
  <si>
    <t>www.lixinger.com/analytics/company/sz/002851/2851/detail</t>
  </si>
  <si>
    <t>海力风电</t>
  </si>
  <si>
    <t>www.lixinger.com/analytics/company/sz/301155/301155/detail</t>
  </si>
  <si>
    <t>海特高新</t>
  </si>
  <si>
    <t>www.lixinger.com/analytics/company/sz/002023/2023/detail</t>
  </si>
  <si>
    <t>华西股份</t>
  </si>
  <si>
    <t>www.lixinger.com/analytics/company/sz/000936/936/detail</t>
  </si>
  <si>
    <t>博敏电子</t>
  </si>
  <si>
    <t>www.lixinger.com/analytics/company/sh/603936/603936/detail</t>
  </si>
  <si>
    <t>贝达药业</t>
  </si>
  <si>
    <t>www.lixinger.com/analytics/company/sz/300558/300558/detail</t>
  </si>
  <si>
    <t>金安国纪</t>
  </si>
  <si>
    <t>www.lixinger.com/analytics/company/sz/002636/2636/detail</t>
  </si>
  <si>
    <t>东贝集团</t>
  </si>
  <si>
    <t>www.lixinger.com/analytics/company/sh/601956/601956/detail</t>
  </si>
  <si>
    <t>京新药业</t>
  </si>
  <si>
    <t>www.lixinger.com/analytics/company/sz/002020/2020/detail</t>
  </si>
  <si>
    <t>旋极信息</t>
  </si>
  <si>
    <t>www.lixinger.com/analytics/company/sz/300324/300324/detail</t>
  </si>
  <si>
    <t>证通电子</t>
  </si>
  <si>
    <t>www.lixinger.com/analytics/company/sz/002197/2197/detail</t>
  </si>
  <si>
    <t>金证股份</t>
  </si>
  <si>
    <t>www.lixinger.com/analytics/company/sh/600446/600446/detail</t>
  </si>
  <si>
    <t>铜冠铜箔</t>
  </si>
  <si>
    <t>www.lixinger.com/analytics/company/sz/301217/301217/detail</t>
  </si>
  <si>
    <t>涪陵电力</t>
  </si>
  <si>
    <t>www.lixinger.com/analytics/company/sh/600452/600452/detail</t>
  </si>
  <si>
    <t>拓斯达</t>
  </si>
  <si>
    <t>www.lixinger.com/analytics/company/sz/300607/300607/detail</t>
  </si>
  <si>
    <t>隆华科技</t>
  </si>
  <si>
    <t>www.lixinger.com/analytics/company/sz/300263/300263/detail</t>
  </si>
  <si>
    <t>盛美上海</t>
  </si>
  <si>
    <t>www.lixinger.com/analytics/company/sh/688082/688082/detail</t>
  </si>
  <si>
    <t>华闻集团</t>
  </si>
  <si>
    <t>www.lixinger.com/analytics/company/sz/000793/793/detail</t>
  </si>
  <si>
    <t>中科软</t>
  </si>
  <si>
    <t>www.lixinger.com/analytics/company/sh/603927/603927/detail</t>
  </si>
  <si>
    <t>垒知集团</t>
  </si>
  <si>
    <t>www.lixinger.com/analytics/company/sz/002398/2398/detail</t>
  </si>
  <si>
    <t>华帝股份</t>
  </si>
  <si>
    <t>www.lixinger.com/analytics/company/sz/002035/2035/detail</t>
  </si>
  <si>
    <t>银江技术</t>
  </si>
  <si>
    <t>www.lixinger.com/analytics/company/sz/300020/300020/detail</t>
  </si>
  <si>
    <t>莱宝高科</t>
  </si>
  <si>
    <t>www.lixinger.com/analytics/company/sz/002106/2106/detail</t>
  </si>
  <si>
    <t>禾迈股份</t>
  </si>
  <si>
    <t>www.lixinger.com/analytics/company/sh/688032/688032/detail</t>
  </si>
  <si>
    <t>香山股份</t>
  </si>
  <si>
    <t>仪器仪表</t>
  </si>
  <si>
    <t>www.lixinger.com/analytics/company/sz/002870/2870/detail</t>
  </si>
  <si>
    <t>科大智能</t>
  </si>
  <si>
    <t>www.lixinger.com/analytics/company/sz/300222/300222/detail</t>
  </si>
  <si>
    <t>山东药玻</t>
  </si>
  <si>
    <t>www.lixinger.com/analytics/company/sh/600529/600529/detail</t>
  </si>
  <si>
    <t>科力远</t>
  </si>
  <si>
    <t>www.lixinger.com/analytics/company/sh/600478/600478/detail</t>
  </si>
  <si>
    <t>川仪股份</t>
  </si>
  <si>
    <t>www.lixinger.com/analytics/company/sh/603100/603100/detail</t>
  </si>
  <si>
    <t>伟星新材</t>
  </si>
  <si>
    <t>www.lixinger.com/analytics/company/sz/002372/2372/detail</t>
  </si>
  <si>
    <t>大禹节水</t>
  </si>
  <si>
    <t>www.lixinger.com/analytics/company/sz/300021/300021/detail</t>
  </si>
  <si>
    <t>贵州百灵</t>
  </si>
  <si>
    <t>www.lixinger.com/analytics/company/sz/002424/2424/detail</t>
  </si>
  <si>
    <t>中国科传</t>
  </si>
  <si>
    <t>www.lixinger.com/analytics/company/sh/601858/601858/detail</t>
  </si>
  <si>
    <t>伯特利</t>
  </si>
  <si>
    <t>www.lixinger.com/analytics/company/sh/603596/603596/detail</t>
  </si>
  <si>
    <t>航发科技</t>
  </si>
  <si>
    <t>www.lixinger.com/analytics/company/sh/600391/600391/detail</t>
  </si>
  <si>
    <t>华致酒行</t>
  </si>
  <si>
    <t>www.lixinger.com/analytics/company/sz/300755/300755/detail</t>
  </si>
  <si>
    <t>天奇股份</t>
  </si>
  <si>
    <t>www.lixinger.com/analytics/company/sz/002009/2009/detail</t>
  </si>
  <si>
    <t>新产业</t>
  </si>
  <si>
    <t>www.lixinger.com/analytics/company/sz/300832/300832/detail</t>
  </si>
  <si>
    <t>天药股份</t>
  </si>
  <si>
    <t>www.lixinger.com/analytics/company/sh/600488/600488/detail</t>
  </si>
  <si>
    <t>钱江生化</t>
  </si>
  <si>
    <t>www.lixinger.com/analytics/company/sh/600796/600796/detail</t>
  </si>
  <si>
    <t>景津装备</t>
  </si>
  <si>
    <t>www.lixinger.com/analytics/company/sh/603279/603279/detail</t>
  </si>
  <si>
    <t>东睦股份</t>
  </si>
  <si>
    <t>www.lixinger.com/analytics/company/sh/600114/600114/detail</t>
  </si>
  <si>
    <t>华阳集团</t>
  </si>
  <si>
    <t>www.lixinger.com/analytics/company/sz/002906/2906/detail</t>
  </si>
  <si>
    <t>梦网科技</t>
  </si>
  <si>
    <t>通信应用增值服务</t>
  </si>
  <si>
    <t>www.lixinger.com/analytics/company/sz/002123/2123/detail</t>
  </si>
  <si>
    <t>全柴动力</t>
  </si>
  <si>
    <t>www.lixinger.com/analytics/company/sh/600218/600218/detail</t>
  </si>
  <si>
    <t>荣昌生物</t>
  </si>
  <si>
    <t>www.lixinger.com/analytics/company/sh/688331/688331/detail</t>
  </si>
  <si>
    <t>福然德</t>
  </si>
  <si>
    <t>www.lixinger.com/analytics/company/sh/605050/605050/detail</t>
  </si>
  <si>
    <t>义翘神州</t>
  </si>
  <si>
    <t>www.lixinger.com/analytics/company/sz/301047/301047/detail</t>
  </si>
  <si>
    <t>华测检测</t>
  </si>
  <si>
    <t>检测服务</t>
  </si>
  <si>
    <t>www.lixinger.com/analytics/company/sz/300012/300012/detail</t>
  </si>
  <si>
    <t>东方精工</t>
  </si>
  <si>
    <t>www.lixinger.com/analytics/company/sz/002611/2611/detail</t>
  </si>
  <si>
    <t>恒玄科技</t>
  </si>
  <si>
    <t>www.lixinger.com/analytics/company/sh/688608/688608/detail</t>
  </si>
  <si>
    <t>辰欣药业</t>
  </si>
  <si>
    <t>www.lixinger.com/analytics/company/sh/603367/603367/detail</t>
  </si>
  <si>
    <t>彤程新材</t>
  </si>
  <si>
    <t>橡胶助剂</t>
  </si>
  <si>
    <t>www.lixinger.com/analytics/company/sh/603650/603650/detail</t>
  </si>
  <si>
    <t>三全食品</t>
  </si>
  <si>
    <t>www.lixinger.com/analytics/company/sz/002216/2216/detail</t>
  </si>
  <si>
    <t>上海新阳</t>
  </si>
  <si>
    <t>www.lixinger.com/analytics/company/sz/300236/300236/detail</t>
  </si>
  <si>
    <t>新纶新材</t>
  </si>
  <si>
    <t>www.lixinger.com/analytics/company/sz/002341/2341/detail</t>
  </si>
  <si>
    <t>桃李面包</t>
  </si>
  <si>
    <t>烘焙食品</t>
  </si>
  <si>
    <t>www.lixinger.com/analytics/company/sh/603866/603866/detail</t>
  </si>
  <si>
    <t>三美股份</t>
  </si>
  <si>
    <t>www.lixinger.com/analytics/company/sh/603379/603379/detail</t>
  </si>
  <si>
    <t>新时达</t>
  </si>
  <si>
    <t>www.lixinger.com/analytics/company/sz/002527/2527/detail</t>
  </si>
  <si>
    <t>*ST松江</t>
  </si>
  <si>
    <t>www.lixinger.com/analytics/company/sh/600225/600225/detail</t>
  </si>
  <si>
    <t>新北洋</t>
  </si>
  <si>
    <t>www.lixinger.com/analytics/company/sz/002376/2376/detail</t>
  </si>
  <si>
    <t>盛泰集团</t>
  </si>
  <si>
    <t>www.lixinger.com/analytics/company/sh/605138/605138/detail</t>
  </si>
  <si>
    <t>江山股份</t>
  </si>
  <si>
    <t>www.lixinger.com/analytics/company/sh/600389/600389/detail</t>
  </si>
  <si>
    <t>大富科技</t>
  </si>
  <si>
    <t>www.lixinger.com/analytics/company/sz/300134/300134/detail</t>
  </si>
  <si>
    <t>罗莱生活</t>
  </si>
  <si>
    <t>家纺</t>
  </si>
  <si>
    <t>www.lixinger.com/analytics/company/sz/002293/2293/detail</t>
  </si>
  <si>
    <t>京粮控股</t>
  </si>
  <si>
    <t>www.lixinger.com/analytics/company/sz/000505/505/detail</t>
  </si>
  <si>
    <t>亚太股份</t>
  </si>
  <si>
    <t>www.lixinger.com/analytics/company/sz/002284/2284/detail</t>
  </si>
  <si>
    <t>文灿股份</t>
  </si>
  <si>
    <t>www.lixinger.com/analytics/company/sh/603348/603348/detail</t>
  </si>
  <si>
    <t>利元亨</t>
  </si>
  <si>
    <t>www.lixinger.com/analytics/company/sh/688499/688499/detail</t>
  </si>
  <si>
    <t>今飞凯达</t>
  </si>
  <si>
    <t>www.lixinger.com/analytics/company/sz/002863/2863/detail</t>
  </si>
  <si>
    <t>亚普股份</t>
  </si>
  <si>
    <t>www.lixinger.com/analytics/company/sh/603013/603013/detail</t>
  </si>
  <si>
    <t>株冶集团</t>
  </si>
  <si>
    <t>www.lixinger.com/analytics/company/sh/600961/600961/detail</t>
  </si>
  <si>
    <t>亚太科技</t>
  </si>
  <si>
    <t>www.lixinger.com/analytics/company/sz/002540/2540/detail</t>
  </si>
  <si>
    <t>搜于特</t>
  </si>
  <si>
    <t>www.lixinger.com/analytics/company/sz/002503/2503/detail</t>
  </si>
  <si>
    <t>*ST蓝盾</t>
  </si>
  <si>
    <t>www.lixinger.com/analytics/company/sz/300297/300297/detail</t>
  </si>
  <si>
    <t>华峰铝业</t>
  </si>
  <si>
    <t>www.lixinger.com/analytics/company/sh/601702/601702/detail</t>
  </si>
  <si>
    <t>通鼎互联</t>
  </si>
  <si>
    <t>www.lixinger.com/analytics/company/sz/002491/2491/detail</t>
  </si>
  <si>
    <t>英飞拓</t>
  </si>
  <si>
    <t>www.lixinger.com/analytics/company/sz/002528/2528/detail</t>
  </si>
  <si>
    <t>晨光生物</t>
  </si>
  <si>
    <t>www.lixinger.com/analytics/company/sz/300138/300138/detail</t>
  </si>
  <si>
    <t>精测电子</t>
  </si>
  <si>
    <t>www.lixinger.com/analytics/company/sz/300567/300567/detail</t>
  </si>
  <si>
    <t>巨一科技</t>
  </si>
  <si>
    <t>www.lixinger.com/analytics/company/sh/688162/688162/detail</t>
  </si>
  <si>
    <t>惠达卫浴</t>
  </si>
  <si>
    <t>卫浴制品</t>
  </si>
  <si>
    <t>www.lixinger.com/analytics/company/sh/603385/603385/detail</t>
  </si>
  <si>
    <t>可孚医疗</t>
  </si>
  <si>
    <t>www.lixinger.com/analytics/company/sz/301087/301087/detail</t>
  </si>
  <si>
    <t>天源迪科</t>
  </si>
  <si>
    <t>www.lixinger.com/analytics/company/sz/300047/300047/detail</t>
  </si>
  <si>
    <t>捷捷微电</t>
  </si>
  <si>
    <t>www.lixinger.com/analytics/company/sz/300623/300623/detail</t>
  </si>
  <si>
    <t>飞凯材料</t>
  </si>
  <si>
    <t>www.lixinger.com/analytics/company/sz/300398/300398/detail</t>
  </si>
  <si>
    <t>新点软件</t>
  </si>
  <si>
    <t>www.lixinger.com/analytics/company/sh/688232/688232/detail</t>
  </si>
  <si>
    <t>创力集团</t>
  </si>
  <si>
    <t>www.lixinger.com/analytics/company/sh/603012/603012/detail</t>
  </si>
  <si>
    <t>水井坊</t>
  </si>
  <si>
    <t>www.lixinger.com/analytics/company/sh/600779/600779/detail</t>
  </si>
  <si>
    <t>日出东方</t>
  </si>
  <si>
    <t>www.lixinger.com/analytics/company/sh/603366/603366/detail</t>
  </si>
  <si>
    <t>天宇股份</t>
  </si>
  <si>
    <t>www.lixinger.com/analytics/company/sz/300702/300702/detail</t>
  </si>
  <si>
    <t>凯伦股份</t>
  </si>
  <si>
    <t>www.lixinger.com/analytics/company/sz/300715/300715/detail</t>
  </si>
  <si>
    <t>古越龙山</t>
  </si>
  <si>
    <t>www.lixinger.com/analytics/company/sh/600059/600059/detail</t>
  </si>
  <si>
    <t>南京熊猫</t>
  </si>
  <si>
    <t>www.lixinger.com/analytics/company/sh/600775/600775/detail</t>
  </si>
  <si>
    <t>江中药业</t>
  </si>
  <si>
    <t>www.lixinger.com/analytics/company/sh/600750/600750/detail</t>
  </si>
  <si>
    <t>健之佳</t>
  </si>
  <si>
    <t>www.lixinger.com/analytics/company/sh/605266/605266/detail</t>
  </si>
  <si>
    <t>宁波联合</t>
  </si>
  <si>
    <t>www.lixinger.com/analytics/company/sh/600051/600051/detail</t>
  </si>
  <si>
    <t>中曼石油</t>
  </si>
  <si>
    <t>www.lixinger.com/analytics/company/sh/603619/603619/detail</t>
  </si>
  <si>
    <t>光弘科技</t>
  </si>
  <si>
    <t>www.lixinger.com/analytics/company/sz/300735/300735/detail</t>
  </si>
  <si>
    <t>酒鬼酒</t>
  </si>
  <si>
    <t>www.lixinger.com/analytics/company/sz/000799/799/detail</t>
  </si>
  <si>
    <t>杭可科技</t>
  </si>
  <si>
    <t>www.lixinger.com/analytics/company/sh/688006/688006/detail</t>
  </si>
  <si>
    <t>报喜鸟</t>
  </si>
  <si>
    <t>www.lixinger.com/analytics/company/sz/002154/2154/detail</t>
  </si>
  <si>
    <t>恩华药业</t>
  </si>
  <si>
    <t>www.lixinger.com/analytics/company/sz/002262/2262/detail</t>
  </si>
  <si>
    <t>北方导航</t>
  </si>
  <si>
    <t>www.lixinger.com/analytics/company/sh/600435/600435/detail</t>
  </si>
  <si>
    <t>大金重工</t>
  </si>
  <si>
    <t>www.lixinger.com/analytics/company/sz/002487/2487/detail</t>
  </si>
  <si>
    <t>中科微至</t>
  </si>
  <si>
    <t>www.lixinger.com/analytics/company/sh/688211/688211/detail</t>
  </si>
  <si>
    <t>红宝丽</t>
  </si>
  <si>
    <t>www.lixinger.com/analytics/company/sz/002165/2165/detail</t>
  </si>
  <si>
    <t>嘉元科技</t>
  </si>
  <si>
    <t>www.lixinger.com/analytics/company/sh/688388/688388/detail</t>
  </si>
  <si>
    <t>国星光电</t>
  </si>
  <si>
    <t>www.lixinger.com/analytics/company/sz/002449/2449/detail</t>
  </si>
  <si>
    <t>新世界</t>
  </si>
  <si>
    <t>www.lixinger.com/analytics/company/sh/600628/600628/detail</t>
  </si>
  <si>
    <t>世运电路</t>
  </si>
  <si>
    <t>www.lixinger.com/analytics/company/sh/603920/603920/detail</t>
  </si>
  <si>
    <t>浙大网新</t>
  </si>
  <si>
    <t>www.lixinger.com/analytics/company/sh/600797/600797/detail</t>
  </si>
  <si>
    <t>六国化工</t>
  </si>
  <si>
    <t>www.lixinger.com/analytics/company/sh/600470/600470/detail</t>
  </si>
  <si>
    <t>科森科技</t>
  </si>
  <si>
    <t>www.lixinger.com/analytics/company/sh/603626/603626/detail</t>
  </si>
  <si>
    <t>雄韬股份</t>
  </si>
  <si>
    <t>www.lixinger.com/analytics/company/sz/002733/2733/detail</t>
  </si>
  <si>
    <t>ST森源</t>
  </si>
  <si>
    <t>www.lixinger.com/analytics/company/sz/002358/2358/detail</t>
  </si>
  <si>
    <t>安德利</t>
  </si>
  <si>
    <t>www.lixinger.com/analytics/company/sh/603031/603031/detail</t>
  </si>
  <si>
    <t>康缘药业</t>
  </si>
  <si>
    <t>www.lixinger.com/analytics/company/sh/600557/600557/detail</t>
  </si>
  <si>
    <t>苏常柴Ｂ</t>
  </si>
  <si>
    <t>www.lixinger.com/analytics/company/sz/200570/200570/detail</t>
  </si>
  <si>
    <t>亚钾国际</t>
  </si>
  <si>
    <t>www.lixinger.com/analytics/company/sz/000893/893/detail</t>
  </si>
  <si>
    <t>三维股份</t>
  </si>
  <si>
    <t>其他橡胶制品</t>
  </si>
  <si>
    <t>www.lixinger.com/analytics/company/sh/603033/603033/detail</t>
  </si>
  <si>
    <t>新筑股份</t>
  </si>
  <si>
    <t>www.lixinger.com/analytics/company/sz/002480/2480/detail</t>
  </si>
  <si>
    <t>锦泓集团</t>
  </si>
  <si>
    <t>www.lixinger.com/analytics/company/sh/603518/603518/detail</t>
  </si>
  <si>
    <t>*ST金刚</t>
  </si>
  <si>
    <t>www.lixinger.com/analytics/company/sz/300064/300064/detail</t>
  </si>
  <si>
    <t>江特电机</t>
  </si>
  <si>
    <t>www.lixinger.com/analytics/company/sz/002176/2176/detail</t>
  </si>
  <si>
    <t>电连技术</t>
  </si>
  <si>
    <t>www.lixinger.com/analytics/company/sz/300679/300679/detail</t>
  </si>
  <si>
    <t>汉威科技</t>
  </si>
  <si>
    <t>www.lixinger.com/analytics/company/sz/300007/300007/detail</t>
  </si>
  <si>
    <t>巨星农牧</t>
  </si>
  <si>
    <t>辅料</t>
  </si>
  <si>
    <t>www.lixinger.com/analytics/company/sh/603477/603477/detail</t>
  </si>
  <si>
    <t>春兴精工</t>
  </si>
  <si>
    <t>www.lixinger.com/analytics/company/sz/002547/2547/detail</t>
  </si>
  <si>
    <t>德美化工</t>
  </si>
  <si>
    <t>www.lixinger.com/analytics/company/sz/002054/2054/detail</t>
  </si>
  <si>
    <t>正海磁材</t>
  </si>
  <si>
    <t>www.lixinger.com/analytics/company/sz/300224/300224/detail</t>
  </si>
  <si>
    <t>安宁股份</t>
  </si>
  <si>
    <t>www.lixinger.com/analytics/company/sz/002978/2978/detail</t>
  </si>
  <si>
    <t>利安隆</t>
  </si>
  <si>
    <t>www.lixinger.com/analytics/company/sz/300596/300596/detail</t>
  </si>
  <si>
    <t>海目星</t>
  </si>
  <si>
    <t>www.lixinger.com/analytics/company/sh/688559/688559/detail</t>
  </si>
  <si>
    <t>锦和商业</t>
  </si>
  <si>
    <t>www.lixinger.com/analytics/company/sh/603682/603682/detail</t>
  </si>
  <si>
    <t>华达科技</t>
  </si>
  <si>
    <t>www.lixinger.com/analytics/company/sh/603358/603358/detail</t>
  </si>
  <si>
    <t>ST华鼎</t>
  </si>
  <si>
    <t>www.lixinger.com/analytics/company/sh/601113/601113/detail</t>
  </si>
  <si>
    <t>阳光照明</t>
  </si>
  <si>
    <t>www.lixinger.com/analytics/company/sh/600261/600261/detail</t>
  </si>
  <si>
    <t>凯撒文化</t>
  </si>
  <si>
    <t>www.lixinger.com/analytics/company/sz/002425/2425/detail</t>
  </si>
  <si>
    <t>皇氏集团</t>
  </si>
  <si>
    <t>www.lixinger.com/analytics/company/sz/002329/2329/detail</t>
  </si>
  <si>
    <t>西部创业</t>
  </si>
  <si>
    <t>www.lixinger.com/analytics/company/sz/000557/557/detail</t>
  </si>
  <si>
    <t>九牧王</t>
  </si>
  <si>
    <t>www.lixinger.com/analytics/company/sh/601566/601566/detail</t>
  </si>
  <si>
    <t>航天晨光</t>
  </si>
  <si>
    <t>www.lixinger.com/analytics/company/sh/600501/600501/detail</t>
  </si>
  <si>
    <t>中体产业</t>
  </si>
  <si>
    <t>www.lixinger.com/analytics/company/sh/600158/600158/detail</t>
  </si>
  <si>
    <t>设研院</t>
  </si>
  <si>
    <t>www.lixinger.com/analytics/company/sz/300732/300732/detail</t>
  </si>
  <si>
    <t>德展健康</t>
  </si>
  <si>
    <t>www.lixinger.com/analytics/company/sz/000813/813/detail</t>
  </si>
  <si>
    <t>西部材料</t>
  </si>
  <si>
    <t>www.lixinger.com/analytics/company/sz/002149/2149/detail</t>
  </si>
  <si>
    <t>长春燃气</t>
  </si>
  <si>
    <t>www.lixinger.com/analytics/company/sh/600333/600333/detail</t>
  </si>
  <si>
    <t>中炬高新</t>
  </si>
  <si>
    <t>www.lixinger.com/analytics/company/sh/600872/600872/detail</t>
  </si>
  <si>
    <t>山东海化</t>
  </si>
  <si>
    <t>www.lixinger.com/analytics/company/sz/000822/822/detail</t>
  </si>
  <si>
    <t>新朋股份</t>
  </si>
  <si>
    <t>www.lixinger.com/analytics/company/sz/002328/2328/detail</t>
  </si>
  <si>
    <t>双鹭药业</t>
  </si>
  <si>
    <t>www.lixinger.com/analytics/company/sz/002038/2038/detail</t>
  </si>
  <si>
    <t>智光电气</t>
  </si>
  <si>
    <t>www.lixinger.com/analytics/company/sz/002169/2169/detail</t>
  </si>
  <si>
    <t>东方电热</t>
  </si>
  <si>
    <t>www.lixinger.com/analytics/company/sz/300217/300217/detail</t>
  </si>
  <si>
    <t>仙坛股份</t>
  </si>
  <si>
    <t>www.lixinger.com/analytics/company/sz/002746/2746/detail</t>
  </si>
  <si>
    <t>新五丰</t>
  </si>
  <si>
    <t>www.lixinger.com/analytics/company/sh/600975/600975/detail</t>
  </si>
  <si>
    <t>立达信</t>
  </si>
  <si>
    <t>www.lixinger.com/analytics/company/sh/605365/605365/detail</t>
  </si>
  <si>
    <t>金新农</t>
  </si>
  <si>
    <t>www.lixinger.com/analytics/company/sz/002548/2548/detail</t>
  </si>
  <si>
    <t>江海股份</t>
  </si>
  <si>
    <t>www.lixinger.com/analytics/company/sz/002484/2484/detail</t>
  </si>
  <si>
    <t>天岳先进</t>
  </si>
  <si>
    <t>www.lixinger.com/analytics/company/sh/688234/688234/detail</t>
  </si>
  <si>
    <t>豪美新材</t>
  </si>
  <si>
    <t>www.lixinger.com/analytics/company/sz/002988/2988/detail</t>
  </si>
  <si>
    <t>侨银股份</t>
  </si>
  <si>
    <t>www.lixinger.com/analytics/company/sz/002973/2973/detail</t>
  </si>
  <si>
    <t>综艺股份</t>
  </si>
  <si>
    <t>www.lixinger.com/analytics/company/sh/600770/600770/detail</t>
  </si>
  <si>
    <t>潮宏基</t>
  </si>
  <si>
    <t>www.lixinger.com/analytics/company/sz/002345/2345/detail</t>
  </si>
  <si>
    <t>中超控股</t>
  </si>
  <si>
    <t>www.lixinger.com/analytics/company/sz/002471/2471/detail</t>
  </si>
  <si>
    <t>新国脉</t>
  </si>
  <si>
    <t>www.lixinger.com/analytics/company/sh/600640/600640/detail</t>
  </si>
  <si>
    <t>葵花药业</t>
  </si>
  <si>
    <t>www.lixinger.com/analytics/company/sz/002737/2737/detail</t>
  </si>
  <si>
    <t>锦江在线</t>
  </si>
  <si>
    <t>www.lixinger.com/analytics/company/sh/600650/600650/detail</t>
  </si>
  <si>
    <t>斯达半导</t>
  </si>
  <si>
    <t>www.lixinger.com/analytics/company/sh/603290/603290/detail</t>
  </si>
  <si>
    <t>中农立华</t>
  </si>
  <si>
    <t>www.lixinger.com/analytics/company/sh/603970/603970/detail</t>
  </si>
  <si>
    <t>深深房Ａ</t>
  </si>
  <si>
    <t>www.lixinger.com/analytics/company/sz/000029/29/detail</t>
  </si>
  <si>
    <t>创业慧康</t>
  </si>
  <si>
    <t>www.lixinger.com/analytics/company/sz/300451/300451/detail</t>
  </si>
  <si>
    <t>兄弟科技</t>
  </si>
  <si>
    <t>www.lixinger.com/analytics/company/sz/002562/2562/detail</t>
  </si>
  <si>
    <t>金达威</t>
  </si>
  <si>
    <t>www.lixinger.com/analytics/company/sz/002626/2626/detail</t>
  </si>
  <si>
    <t>创元科技</t>
  </si>
  <si>
    <t>www.lixinger.com/analytics/company/sz/000551/551/detail</t>
  </si>
  <si>
    <t>双林股份</t>
  </si>
  <si>
    <t>www.lixinger.com/analytics/company/sz/300100/300100/detail</t>
  </si>
  <si>
    <t>惠而浦</t>
  </si>
  <si>
    <t>www.lixinger.com/analytics/company/sh/600983/600983/detail</t>
  </si>
  <si>
    <t>博众精工</t>
  </si>
  <si>
    <t>其他自动化设备</t>
  </si>
  <si>
    <t>www.lixinger.com/analytics/company/sh/688097/688097/detail</t>
  </si>
  <si>
    <t>康尼机电</t>
  </si>
  <si>
    <t>www.lixinger.com/analytics/company/sh/603111/603111/detail</t>
  </si>
  <si>
    <t>贝泰妮</t>
  </si>
  <si>
    <t>www.lixinger.com/analytics/company/sz/300957/300957/detail</t>
  </si>
  <si>
    <t>光威复材</t>
  </si>
  <si>
    <t>www.lixinger.com/analytics/company/sz/300699/300699/detail</t>
  </si>
  <si>
    <t>纽威股份</t>
  </si>
  <si>
    <t>www.lixinger.com/analytics/company/sh/603699/603699/detail</t>
  </si>
  <si>
    <t>泰胜风能</t>
  </si>
  <si>
    <t>www.lixinger.com/analytics/company/sz/300129/300129/detail</t>
  </si>
  <si>
    <t>百润股份</t>
  </si>
  <si>
    <t>www.lixinger.com/analytics/company/sz/002568/2568/detail</t>
  </si>
  <si>
    <t>新能泰山</t>
  </si>
  <si>
    <t>www.lixinger.com/analytics/company/sz/000720/720/detail</t>
  </si>
  <si>
    <t>江南水务</t>
  </si>
  <si>
    <t>www.lixinger.com/analytics/company/sh/601199/601199/detail</t>
  </si>
  <si>
    <t>悦康药业</t>
  </si>
  <si>
    <t>www.lixinger.com/analytics/company/sh/688658/688658/detail</t>
  </si>
  <si>
    <t>飞荣达</t>
  </si>
  <si>
    <t>www.lixinger.com/analytics/company/sz/300602/300602/detail</t>
  </si>
  <si>
    <t>青山纸业</t>
  </si>
  <si>
    <t>www.lixinger.com/analytics/company/sh/600103/600103/detail</t>
  </si>
  <si>
    <t>ST和佳</t>
  </si>
  <si>
    <t>www.lixinger.com/analytics/company/sz/300273/300273/detail</t>
  </si>
  <si>
    <t>深赛格</t>
  </si>
  <si>
    <t>www.lixinger.com/analytics/company/sz/000058/58/detail</t>
  </si>
  <si>
    <t>爱仕达</t>
  </si>
  <si>
    <t>www.lixinger.com/analytics/company/sz/002403/2403/detail</t>
  </si>
  <si>
    <t>皖天然气</t>
  </si>
  <si>
    <t>www.lixinger.com/analytics/company/sh/603689/603689/detail</t>
  </si>
  <si>
    <t>怡球资源</t>
  </si>
  <si>
    <t>www.lixinger.com/analytics/company/sh/601388/601388/detail</t>
  </si>
  <si>
    <t>高新兴</t>
  </si>
  <si>
    <t>www.lixinger.com/analytics/company/sz/300098/300098/detail</t>
  </si>
  <si>
    <t>冰山冷热</t>
  </si>
  <si>
    <t>www.lixinger.com/analytics/company/sz/000530/530/detail</t>
  </si>
  <si>
    <t>普邦股份</t>
  </si>
  <si>
    <t>www.lixinger.com/analytics/company/sz/002663/2663/detail</t>
  </si>
  <si>
    <t>瑞普生物</t>
  </si>
  <si>
    <t>www.lixinger.com/analytics/company/sz/300119/300119/detail</t>
  </si>
  <si>
    <t>沧州明珠</t>
  </si>
  <si>
    <t>www.lixinger.com/analytics/company/sz/002108/2108/detail</t>
  </si>
  <si>
    <t>深纺织Ａ</t>
  </si>
  <si>
    <t>www.lixinger.com/analytics/company/sz/000045/45/detail</t>
  </si>
  <si>
    <t>麦捷科技</t>
  </si>
  <si>
    <t>www.lixinger.com/analytics/company/sz/300319/300319/detail</t>
  </si>
  <si>
    <t>人人乐</t>
  </si>
  <si>
    <t>www.lixinger.com/analytics/company/sz/002336/2336/detail</t>
  </si>
  <si>
    <t>常山药业</t>
  </si>
  <si>
    <t>www.lixinger.com/analytics/company/sz/300255/300255/detail</t>
  </si>
  <si>
    <t>福安药业</t>
  </si>
  <si>
    <t>www.lixinger.com/analytics/company/sz/300194/300194/detail</t>
  </si>
  <si>
    <t>益生股份</t>
  </si>
  <si>
    <t>www.lixinger.com/analytics/company/sz/002458/2458/detail</t>
  </si>
  <si>
    <t>横店影视</t>
  </si>
  <si>
    <t>www.lixinger.com/analytics/company/sh/603103/603103/detail</t>
  </si>
  <si>
    <t>天马科技</t>
  </si>
  <si>
    <t>www.lixinger.com/analytics/company/sh/603668/603668/detail</t>
  </si>
  <si>
    <t>南极电商</t>
  </si>
  <si>
    <t>电商服务</t>
  </si>
  <si>
    <t>www.lixinger.com/analytics/company/sz/002127/2127/detail</t>
  </si>
  <si>
    <t>吉华集团</t>
  </si>
  <si>
    <t>www.lixinger.com/analytics/company/sh/603980/603980/detail</t>
  </si>
  <si>
    <t>艾华集团</t>
  </si>
  <si>
    <t>www.lixinger.com/analytics/company/sh/603989/603989/detail</t>
  </si>
  <si>
    <t>华天酒店</t>
  </si>
  <si>
    <t>www.lixinger.com/analytics/company/sz/000428/428/detail</t>
  </si>
  <si>
    <t>玉禾田</t>
  </si>
  <si>
    <t>www.lixinger.com/analytics/company/sz/300815/300815/detail</t>
  </si>
  <si>
    <t>爱美客</t>
  </si>
  <si>
    <t>www.lixinger.com/analytics/company/sz/300896/300896/detail</t>
  </si>
  <si>
    <t>顺博合金</t>
  </si>
  <si>
    <t>www.lixinger.com/analytics/company/sz/002996/2996/detail</t>
  </si>
  <si>
    <t>*ST美尚</t>
  </si>
  <si>
    <t>www.lixinger.com/analytics/company/sz/300495/300495/detail</t>
  </si>
  <si>
    <t>阳光股份</t>
  </si>
  <si>
    <t>www.lixinger.com/analytics/company/sz/000608/608/detail</t>
  </si>
  <si>
    <t>上工申贝</t>
  </si>
  <si>
    <t>www.lixinger.com/analytics/company/sh/600843/600843/detail</t>
  </si>
  <si>
    <t>海南瑞泽</t>
  </si>
  <si>
    <t>www.lixinger.com/analytics/company/sz/002596/2596/detail</t>
  </si>
  <si>
    <t>福龙马</t>
  </si>
  <si>
    <t>www.lixinger.com/analytics/company/sh/603686/603686/detail</t>
  </si>
  <si>
    <t>国城矿业</t>
  </si>
  <si>
    <t>www.lixinger.com/analytics/company/sz/000688/688/detail</t>
  </si>
  <si>
    <t>晋亿实业</t>
  </si>
  <si>
    <t>www.lixinger.com/analytics/company/sh/601002/601002/detail</t>
  </si>
  <si>
    <t>ST海投</t>
  </si>
  <si>
    <t>www.lixinger.com/analytics/company/sz/000616/616/detail</t>
  </si>
  <si>
    <t>九芝堂</t>
  </si>
  <si>
    <t>www.lixinger.com/analytics/company/sz/000989/989/detail</t>
  </si>
  <si>
    <t>联发股份</t>
  </si>
  <si>
    <t>www.lixinger.com/analytics/company/sz/002394/2394/detail</t>
  </si>
  <si>
    <t>兔宝宝</t>
  </si>
  <si>
    <t>www.lixinger.com/analytics/company/sz/002043/2043/detail</t>
  </si>
  <si>
    <t>威高骨科</t>
  </si>
  <si>
    <t>www.lixinger.com/analytics/company/sh/688161/688161/detail</t>
  </si>
  <si>
    <t>长久物流</t>
  </si>
  <si>
    <t>www.lixinger.com/analytics/company/sh/603569/603569/detail</t>
  </si>
  <si>
    <t>海陆重工</t>
  </si>
  <si>
    <t>www.lixinger.com/analytics/company/sz/002255/2255/detail</t>
  </si>
  <si>
    <t>海南发展</t>
  </si>
  <si>
    <t>www.lixinger.com/analytics/company/sz/002163/2163/detail</t>
  </si>
  <si>
    <t>宇信科技</t>
  </si>
  <si>
    <t>www.lixinger.com/analytics/company/sz/300674/300674/detail</t>
  </si>
  <si>
    <t>奇正藏药</t>
  </si>
  <si>
    <t>www.lixinger.com/analytics/company/sz/002287/2287/detail</t>
  </si>
  <si>
    <t>宝通科技</t>
  </si>
  <si>
    <t>www.lixinger.com/analytics/company/sz/300031/300031/detail</t>
  </si>
  <si>
    <t>海天股份</t>
  </si>
  <si>
    <t>www.lixinger.com/analytics/company/sh/603759/603759/detail</t>
  </si>
  <si>
    <t>通程控股</t>
  </si>
  <si>
    <t>www.lixinger.com/analytics/company/sz/000419/419/detail</t>
  </si>
  <si>
    <t>神州泰岳</t>
  </si>
  <si>
    <t>www.lixinger.com/analytics/company/sz/300002/300002/detail</t>
  </si>
  <si>
    <t>中环环保</t>
  </si>
  <si>
    <t>www.lixinger.com/analytics/company/sz/300692/300692/detail</t>
  </si>
  <si>
    <t>尔康制药</t>
  </si>
  <si>
    <t>www.lixinger.com/analytics/company/sz/300267/300267/detail</t>
  </si>
  <si>
    <t>奥飞娱乐</t>
  </si>
  <si>
    <t>www.lixinger.com/analytics/company/sz/002292/2292/detail</t>
  </si>
  <si>
    <t>诺唯赞</t>
  </si>
  <si>
    <t>www.lixinger.com/analytics/company/sh/688105/688105/detail</t>
  </si>
  <si>
    <t>四川九洲</t>
  </si>
  <si>
    <t>www.lixinger.com/analytics/company/sz/000801/801/detail</t>
  </si>
  <si>
    <t>奥飞数据</t>
  </si>
  <si>
    <t>www.lixinger.com/analytics/company/sz/300738/300738/detail</t>
  </si>
  <si>
    <t>青鸟消防</t>
  </si>
  <si>
    <t>www.lixinger.com/analytics/company/sz/002960/2960/detail</t>
  </si>
  <si>
    <t>金城医药</t>
  </si>
  <si>
    <t>www.lixinger.com/analytics/company/sz/300233/300233/detail</t>
  </si>
  <si>
    <t>岱美股份</t>
  </si>
  <si>
    <t>www.lixinger.com/analytics/company/sh/603730/603730/detail</t>
  </si>
  <si>
    <t>金徽股份</t>
  </si>
  <si>
    <t>www.lixinger.com/analytics/company/sh/603132/603132/detail</t>
  </si>
  <si>
    <t>华正新材</t>
  </si>
  <si>
    <t>www.lixinger.com/analytics/company/sh/603186/603186/detail</t>
  </si>
  <si>
    <t>漱玉平民</t>
  </si>
  <si>
    <t>www.lixinger.com/analytics/company/sz/301017/301017/detail</t>
  </si>
  <si>
    <t>金卡智能</t>
  </si>
  <si>
    <t>www.lixinger.com/analytics/company/sz/300349/300349/detail</t>
  </si>
  <si>
    <t>康德莱</t>
  </si>
  <si>
    <t>www.lixinger.com/analytics/company/sh/603987/603987/detail</t>
  </si>
  <si>
    <t>好想你</t>
  </si>
  <si>
    <t>www.lixinger.com/analytics/company/sz/002582/2582/detail</t>
  </si>
  <si>
    <t>合纵科技</t>
  </si>
  <si>
    <t>www.lixinger.com/analytics/company/sz/300477/300477/detail</t>
  </si>
  <si>
    <t>禾望电气</t>
  </si>
  <si>
    <t>www.lixinger.com/analytics/company/sh/603063/603063/detail</t>
  </si>
  <si>
    <t>广电计量</t>
  </si>
  <si>
    <t>www.lixinger.com/analytics/company/sz/002967/2967/detail</t>
  </si>
  <si>
    <t>华宏科技</t>
  </si>
  <si>
    <t>www.lixinger.com/analytics/company/sz/002645/2645/detail</t>
  </si>
  <si>
    <t>海利尔</t>
  </si>
  <si>
    <t>www.lixinger.com/analytics/company/sh/603639/603639/detail</t>
  </si>
  <si>
    <t>奥美医疗</t>
  </si>
  <si>
    <t>www.lixinger.com/analytics/company/sz/002950/2950/detail</t>
  </si>
  <si>
    <t>春秋电子</t>
  </si>
  <si>
    <t>www.lixinger.com/analytics/company/sh/603890/603890/detail</t>
  </si>
  <si>
    <t>保变电气</t>
  </si>
  <si>
    <t>www.lixinger.com/analytics/company/sh/600550/600550/detail</t>
  </si>
  <si>
    <t>会通股份</t>
  </si>
  <si>
    <t>www.lixinger.com/analytics/company/sh/688219/688219/detail</t>
  </si>
  <si>
    <t>华仁药业</t>
  </si>
  <si>
    <t>www.lixinger.com/analytics/company/sz/300110/300110/detail</t>
  </si>
  <si>
    <t>石大胜华</t>
  </si>
  <si>
    <t>www.lixinger.com/analytics/company/sh/603026/603026/detail</t>
  </si>
  <si>
    <t>粤传媒</t>
  </si>
  <si>
    <t>www.lixinger.com/analytics/company/sz/002181/2181/detail</t>
  </si>
  <si>
    <t>锐科激光</t>
  </si>
  <si>
    <t>www.lixinger.com/analytics/company/sz/300747/300747/detail</t>
  </si>
  <si>
    <t>汉得信息</t>
  </si>
  <si>
    <t>www.lixinger.com/analytics/company/sz/300170/300170/detail</t>
  </si>
  <si>
    <t>蓝天燃气</t>
  </si>
  <si>
    <t>www.lixinger.com/analytics/company/sh/605368/605368/detail</t>
  </si>
  <si>
    <t>金盘科技</t>
  </si>
  <si>
    <t>www.lixinger.com/analytics/company/sh/688676/688676/detail</t>
  </si>
  <si>
    <t>佳电股份</t>
  </si>
  <si>
    <t>www.lixinger.com/analytics/company/sz/000922/922/detail</t>
  </si>
  <si>
    <t>保隆科技</t>
  </si>
  <si>
    <t>www.lixinger.com/analytics/company/sh/603197/603197/detail</t>
  </si>
  <si>
    <t>ST安泰</t>
  </si>
  <si>
    <t>www.lixinger.com/analytics/company/sh/600408/600408/detail</t>
  </si>
  <si>
    <t>江西长运</t>
  </si>
  <si>
    <t>www.lixinger.com/analytics/company/sh/600561/600561/detail</t>
  </si>
  <si>
    <t>粤桂股份</t>
  </si>
  <si>
    <t>www.lixinger.com/analytics/company/sz/000833/833/detail</t>
  </si>
  <si>
    <t>力生制药</t>
  </si>
  <si>
    <t>www.lixinger.com/analytics/company/sz/002393/2393/detail</t>
  </si>
  <si>
    <t>明德生物</t>
  </si>
  <si>
    <t>www.lixinger.com/analytics/company/sz/002932/2932/detail</t>
  </si>
  <si>
    <t>风范股份</t>
  </si>
  <si>
    <t>www.lixinger.com/analytics/company/sh/601700/601700/detail</t>
  </si>
  <si>
    <t>德必集团</t>
  </si>
  <si>
    <t>www.lixinger.com/analytics/company/sz/300947/300947/detail</t>
  </si>
  <si>
    <t>金逸影视</t>
  </si>
  <si>
    <t>www.lixinger.com/analytics/company/sz/002905/2905/detail</t>
  </si>
  <si>
    <t>科华生物</t>
  </si>
  <si>
    <t>www.lixinger.com/analytics/company/sz/002022/2022/detail</t>
  </si>
  <si>
    <t>益佰制药</t>
  </si>
  <si>
    <t>www.lixinger.com/analytics/company/sh/600594/600594/detail</t>
  </si>
  <si>
    <t>力源信息</t>
  </si>
  <si>
    <t>www.lixinger.com/analytics/company/sz/300184/300184/detail</t>
  </si>
  <si>
    <t>华强科技</t>
  </si>
  <si>
    <t>www.lixinger.com/analytics/company/sh/688151/688151/detail</t>
  </si>
  <si>
    <t>好莱客</t>
  </si>
  <si>
    <t>www.lixinger.com/analytics/company/sh/603898/603898/detail</t>
  </si>
  <si>
    <t>菜百股份</t>
  </si>
  <si>
    <t>www.lixinger.com/analytics/company/sh/605599/605599/detail</t>
  </si>
  <si>
    <t>晶晨股份</t>
  </si>
  <si>
    <t>www.lixinger.com/analytics/company/sh/688099/688099/detail</t>
  </si>
  <si>
    <t>钱江摩托</t>
  </si>
  <si>
    <t>www.lixinger.com/analytics/company/sz/000913/913/detail</t>
  </si>
  <si>
    <t>航锦科技</t>
  </si>
  <si>
    <t>www.lixinger.com/analytics/company/sz/000818/818/detail</t>
  </si>
  <si>
    <t>渤海化学</t>
  </si>
  <si>
    <t>www.lixinger.com/analytics/company/sh/600800/600800/detail</t>
  </si>
  <si>
    <t>博迈科</t>
  </si>
  <si>
    <t>www.lixinger.com/analytics/company/sh/603727/603727/detail</t>
  </si>
  <si>
    <t>科瑞技术</t>
  </si>
  <si>
    <t>www.lixinger.com/analytics/company/sz/002957/2957/detail</t>
  </si>
  <si>
    <t>森特股份</t>
  </si>
  <si>
    <t>www.lixinger.com/analytics/company/sh/603098/603098/detail</t>
  </si>
  <si>
    <t>珠江钢琴</t>
  </si>
  <si>
    <t>娱乐用品</t>
  </si>
  <si>
    <t>www.lixinger.com/analytics/company/sz/002678/2678/detail</t>
  </si>
  <si>
    <t>众生药业</t>
  </si>
  <si>
    <t>www.lixinger.com/analytics/company/sz/002317/2317/detail</t>
  </si>
  <si>
    <t>金信诺</t>
  </si>
  <si>
    <t>www.lixinger.com/analytics/company/sz/300252/300252/detail</t>
  </si>
  <si>
    <t>有研新材</t>
  </si>
  <si>
    <t>www.lixinger.com/analytics/company/sh/600206/600206/detail</t>
  </si>
  <si>
    <t>极米科技</t>
  </si>
  <si>
    <t>www.lixinger.com/analytics/company/sh/688696/688696/detail</t>
  </si>
  <si>
    <t>鼎龙股份</t>
  </si>
  <si>
    <t>www.lixinger.com/analytics/company/sz/300054/300054/detail</t>
  </si>
  <si>
    <t>爱慕股份</t>
  </si>
  <si>
    <t>鞋帽及其他</t>
  </si>
  <si>
    <t>www.lixinger.com/analytics/company/sh/603511/603511/detail</t>
  </si>
  <si>
    <t>三和管桩</t>
  </si>
  <si>
    <t>www.lixinger.com/analytics/company/sz/003037/3037/detail</t>
  </si>
  <si>
    <t>交控科技</t>
  </si>
  <si>
    <t>www.lixinger.com/analytics/company/sh/688015/688015/detail</t>
  </si>
  <si>
    <t>东方中科</t>
  </si>
  <si>
    <t>www.lixinger.com/analytics/company/sz/002819/2819/detail</t>
  </si>
  <si>
    <t>盛达资源</t>
  </si>
  <si>
    <t>www.lixinger.com/analytics/company/sz/000603/603/detail</t>
  </si>
  <si>
    <t>海螺新材</t>
  </si>
  <si>
    <t>www.lixinger.com/analytics/company/sz/000619/619/detail</t>
  </si>
  <si>
    <t>博实股份</t>
  </si>
  <si>
    <t>www.lixinger.com/analytics/company/sz/002698/2698/detail</t>
  </si>
  <si>
    <t>天际股份</t>
  </si>
  <si>
    <t>www.lixinger.com/analytics/company/sz/002759/2759/detail</t>
  </si>
  <si>
    <t>睿创微纳</t>
  </si>
  <si>
    <t>www.lixinger.com/analytics/company/sh/688002/688002/detail</t>
  </si>
  <si>
    <t>海思科</t>
  </si>
  <si>
    <t>www.lixinger.com/analytics/company/sz/002653/2653/detail</t>
  </si>
  <si>
    <t>比音勒芬</t>
  </si>
  <si>
    <t>www.lixinger.com/analytics/company/sz/002832/2832/detail</t>
  </si>
  <si>
    <t>司太立</t>
  </si>
  <si>
    <t>www.lixinger.com/analytics/company/sh/603520/603520/detail</t>
  </si>
  <si>
    <t>钢研高纳</t>
  </si>
  <si>
    <t>www.lixinger.com/analytics/company/sz/300034/300034/detail</t>
  </si>
  <si>
    <t>中原内配</t>
  </si>
  <si>
    <t>www.lixinger.com/analytics/company/sz/002448/2448/detail</t>
  </si>
  <si>
    <t>国机精工</t>
  </si>
  <si>
    <t>www.lixinger.com/analytics/company/sz/002046/2046/detail</t>
  </si>
  <si>
    <t>国联水产</t>
  </si>
  <si>
    <t>www.lixinger.com/analytics/company/sz/300094/300094/detail</t>
  </si>
  <si>
    <t>奥海科技</t>
  </si>
  <si>
    <t>www.lixinger.com/analytics/company/sz/002993/2993/detail</t>
  </si>
  <si>
    <t>凯普生物</t>
  </si>
  <si>
    <t>www.lixinger.com/analytics/company/sz/300639/300639/detail</t>
  </si>
  <si>
    <t>华丽家族</t>
  </si>
  <si>
    <t>www.lixinger.com/analytics/company/sh/600503/600503/detail</t>
  </si>
  <si>
    <t>三元生物</t>
  </si>
  <si>
    <t>www.lixinger.com/analytics/company/sz/301206/301206/detail</t>
  </si>
  <si>
    <t>华兴源创</t>
  </si>
  <si>
    <t>www.lixinger.com/analytics/company/sh/688001/688001/detail</t>
  </si>
  <si>
    <t>恺英网络</t>
  </si>
  <si>
    <t>www.lixinger.com/analytics/company/sz/002517/2517/detail</t>
  </si>
  <si>
    <t>瑞贝卡</t>
  </si>
  <si>
    <t>其他饰品</t>
  </si>
  <si>
    <t>www.lixinger.com/analytics/company/sh/600439/600439/detail</t>
  </si>
  <si>
    <t>威海广泰</t>
  </si>
  <si>
    <t>www.lixinger.com/analytics/company/sz/002111/2111/detail</t>
  </si>
  <si>
    <t>奥泰生物</t>
  </si>
  <si>
    <t>www.lixinger.com/analytics/company/sh/688606/688606/detail</t>
  </si>
  <si>
    <t>依顿电子</t>
  </si>
  <si>
    <t>www.lixinger.com/analytics/company/sh/603328/603328/detail</t>
  </si>
  <si>
    <t>通策医疗</t>
  </si>
  <si>
    <t>www.lixinger.com/analytics/company/sh/600763/600763/detail</t>
  </si>
  <si>
    <t>东方时尚</t>
  </si>
  <si>
    <t>www.lixinger.com/analytics/company/sh/603377/603377/detail</t>
  </si>
  <si>
    <t>华自科技</t>
  </si>
  <si>
    <t>www.lixinger.com/analytics/company/sz/300490/300490/detail</t>
  </si>
  <si>
    <t>正源股份</t>
  </si>
  <si>
    <t>www.lixinger.com/analytics/company/sh/600321/600321/detail</t>
  </si>
  <si>
    <t>兴化股份</t>
  </si>
  <si>
    <t>www.lixinger.com/analytics/company/sz/002109/2109/detail</t>
  </si>
  <si>
    <t>健帆生物</t>
  </si>
  <si>
    <t>www.lixinger.com/analytics/company/sz/300529/300529/detail</t>
  </si>
  <si>
    <t>广弘控股</t>
  </si>
  <si>
    <t>www.lixinger.com/analytics/company/sz/000529/529/detail</t>
  </si>
  <si>
    <t>得邦照明</t>
  </si>
  <si>
    <t>www.lixinger.com/analytics/company/sh/603303/603303/detail</t>
  </si>
  <si>
    <t>天汽模</t>
  </si>
  <si>
    <t>www.lixinger.com/analytics/company/sz/002510/2510/detail</t>
  </si>
  <si>
    <t>振江股份</t>
  </si>
  <si>
    <t>www.lixinger.com/analytics/company/sh/603507/603507/detail</t>
  </si>
  <si>
    <t>万盛股份</t>
  </si>
  <si>
    <t>www.lixinger.com/analytics/company/sh/603010/603010/detail</t>
  </si>
  <si>
    <t>龙江交通</t>
  </si>
  <si>
    <t>www.lixinger.com/analytics/company/sh/601188/601188/detail</t>
  </si>
  <si>
    <t>宏达电子</t>
  </si>
  <si>
    <t>www.lixinger.com/analytics/company/sz/300726/300726/detail</t>
  </si>
  <si>
    <t>海欣股份</t>
  </si>
  <si>
    <t>www.lixinger.com/analytics/company/sh/600851/600851/detail</t>
  </si>
  <si>
    <t>五洲特纸</t>
  </si>
  <si>
    <t>www.lixinger.com/analytics/company/sh/605007/605007/detail</t>
  </si>
  <si>
    <t>永冠新材</t>
  </si>
  <si>
    <t>胶黏剂及胶带</t>
  </si>
  <si>
    <t>www.lixinger.com/analytics/company/sh/603681/603681/detail</t>
  </si>
  <si>
    <t>龙版传媒</t>
  </si>
  <si>
    <t>www.lixinger.com/analytics/company/sh/605577/605577/detail</t>
  </si>
  <si>
    <t>三江购物</t>
  </si>
  <si>
    <t>www.lixinger.com/analytics/company/sh/601116/601116/detail</t>
  </si>
  <si>
    <t>优刻得</t>
  </si>
  <si>
    <t>www.lixinger.com/analytics/company/sh/688158/688158/detail</t>
  </si>
  <si>
    <t>中源协和</t>
  </si>
  <si>
    <t>www.lixinger.com/analytics/company/sh/600645/600645/detail</t>
  </si>
  <si>
    <t>日上集团</t>
  </si>
  <si>
    <t>www.lixinger.com/analytics/company/sz/002593/2593/detail</t>
  </si>
  <si>
    <t>博彦科技</t>
  </si>
  <si>
    <t>www.lixinger.com/analytics/company/sz/002649/2649/detail</t>
  </si>
  <si>
    <t>意华股份</t>
  </si>
  <si>
    <t>www.lixinger.com/analytics/company/sz/002897/2897/detail</t>
  </si>
  <si>
    <t>人民网</t>
  </si>
  <si>
    <t>门户网站</t>
  </si>
  <si>
    <t>www.lixinger.com/analytics/company/sh/603000/603000/detail</t>
  </si>
  <si>
    <t>奥特维</t>
  </si>
  <si>
    <t>www.lixinger.com/analytics/company/sh/688516/688516/detail</t>
  </si>
  <si>
    <t>飞亚达Ｂ</t>
  </si>
  <si>
    <t>www.lixinger.com/analytics/company/sz/200026/200026/detail</t>
  </si>
  <si>
    <t>*ST广珠</t>
  </si>
  <si>
    <t>www.lixinger.com/analytics/company/sh/600382/600382/detail</t>
  </si>
  <si>
    <t>台海核电</t>
  </si>
  <si>
    <t>www.lixinger.com/analytics/company/sz/002366/2366/detail</t>
  </si>
  <si>
    <t>中国海诚</t>
  </si>
  <si>
    <t>www.lixinger.com/analytics/company/sz/002116/2116/detail</t>
  </si>
  <si>
    <t>长海股份</t>
  </si>
  <si>
    <t>www.lixinger.com/analytics/company/sz/300196/300196/detail</t>
  </si>
  <si>
    <t>新易盛</t>
  </si>
  <si>
    <t>www.lixinger.com/analytics/company/sz/300502/300502/detail</t>
  </si>
  <si>
    <t>均普智能</t>
  </si>
  <si>
    <t>www.lixinger.com/analytics/company/sh/688306/688306/detail</t>
  </si>
  <si>
    <t>安彩高科</t>
  </si>
  <si>
    <t>www.lixinger.com/analytics/company/sh/600207/600207/detail</t>
  </si>
  <si>
    <t>海峡环保</t>
  </si>
  <si>
    <t>www.lixinger.com/analytics/company/sh/603817/603817/detail</t>
  </si>
  <si>
    <t>精锻科技</t>
  </si>
  <si>
    <t>www.lixinger.com/analytics/company/sz/300258/300258/detail</t>
  </si>
  <si>
    <t>科士达</t>
  </si>
  <si>
    <t>www.lixinger.com/analytics/company/sz/002518/2518/detail</t>
  </si>
  <si>
    <t>泉阳泉</t>
  </si>
  <si>
    <t>www.lixinger.com/analytics/company/sh/600189/600189/detail</t>
  </si>
  <si>
    <t>哈工智能</t>
  </si>
  <si>
    <t>www.lixinger.com/analytics/company/sz/000584/584/detail</t>
  </si>
  <si>
    <t>法拉电子</t>
  </si>
  <si>
    <t>www.lixinger.com/analytics/company/sh/600563/600563/detail</t>
  </si>
  <si>
    <t>黄山旅游</t>
  </si>
  <si>
    <t>自然景区</t>
  </si>
  <si>
    <t>www.lixinger.com/analytics/company/sh/600054/600054/detail</t>
  </si>
  <si>
    <t>万东医疗</t>
  </si>
  <si>
    <t>www.lixinger.com/analytics/company/sh/600055/600055/detail</t>
  </si>
  <si>
    <t>渤海轮渡</t>
  </si>
  <si>
    <t>www.lixinger.com/analytics/company/sh/603167/603167/detail</t>
  </si>
  <si>
    <t>国光电器</t>
  </si>
  <si>
    <t>www.lixinger.com/analytics/company/sz/002045/2045/detail</t>
  </si>
  <si>
    <t>鼎信通讯</t>
  </si>
  <si>
    <t>www.lixinger.com/analytics/company/sh/603421/603421/detail</t>
  </si>
  <si>
    <t>海尔生物</t>
  </si>
  <si>
    <t>www.lixinger.com/analytics/company/sh/688139/688139/detail</t>
  </si>
  <si>
    <t>中钢天源</t>
  </si>
  <si>
    <t>www.lixinger.com/analytics/company/sz/002057/2057/detail</t>
  </si>
  <si>
    <t>伊之密</t>
  </si>
  <si>
    <t>www.lixinger.com/analytics/company/sz/300415/300415/detail</t>
  </si>
  <si>
    <t>新智认知</t>
  </si>
  <si>
    <t>www.lixinger.com/analytics/company/sh/603869/603869/detail</t>
  </si>
  <si>
    <t>富祥药业</t>
  </si>
  <si>
    <t>www.lixinger.com/analytics/company/sz/300497/300497/detail</t>
  </si>
  <si>
    <t>志邦家居</t>
  </si>
  <si>
    <t>www.lixinger.com/analytics/company/sh/603801/603801/detail</t>
  </si>
  <si>
    <t>普利制药</t>
  </si>
  <si>
    <t>www.lixinger.com/analytics/company/sz/300630/300630/detail</t>
  </si>
  <si>
    <t>山东墨龙</t>
  </si>
  <si>
    <t>www.lixinger.com/analytics/company/sz/002490/2490/detail</t>
  </si>
  <si>
    <t>普利特</t>
  </si>
  <si>
    <t>www.lixinger.com/analytics/company/sz/002324/2324/detail</t>
  </si>
  <si>
    <t>聚飞光电</t>
  </si>
  <si>
    <t>www.lixinger.com/analytics/company/sz/300303/300303/detail</t>
  </si>
  <si>
    <t>兰生股份</t>
  </si>
  <si>
    <t>会展服务</t>
  </si>
  <si>
    <t>www.lixinger.com/analytics/company/sh/600826/600826/detail</t>
  </si>
  <si>
    <t>地素时尚</t>
  </si>
  <si>
    <t>www.lixinger.com/analytics/company/sh/603587/603587/detail</t>
  </si>
  <si>
    <t>震裕科技</t>
  </si>
  <si>
    <t>www.lixinger.com/analytics/company/sz/300953/300953/detail</t>
  </si>
  <si>
    <t>合众思壮</t>
  </si>
  <si>
    <t>www.lixinger.com/analytics/company/sz/002383/2383/detail</t>
  </si>
  <si>
    <t>山东玻纤</t>
  </si>
  <si>
    <t>www.lixinger.com/analytics/company/sh/605006/605006/detail</t>
  </si>
  <si>
    <t>三达膜</t>
  </si>
  <si>
    <t>www.lixinger.com/analytics/company/sh/688101/688101/detail</t>
  </si>
  <si>
    <t>黑芝麻</t>
  </si>
  <si>
    <t>www.lixinger.com/analytics/company/sz/000716/716/detail</t>
  </si>
  <si>
    <t>柯利达</t>
  </si>
  <si>
    <t>www.lixinger.com/analytics/company/sh/603828/603828/detail</t>
  </si>
  <si>
    <t>弘业股份</t>
  </si>
  <si>
    <t>www.lixinger.com/analytics/company/sh/600128/600128/detail</t>
  </si>
  <si>
    <t>斯迪克</t>
  </si>
  <si>
    <t>www.lixinger.com/analytics/company/sz/300806/300806/detail</t>
  </si>
  <si>
    <t>中国电研</t>
  </si>
  <si>
    <t>www.lixinger.com/analytics/company/sh/688128/688128/detail</t>
  </si>
  <si>
    <t>ST华钰</t>
  </si>
  <si>
    <t>www.lixinger.com/analytics/company/sh/601020/601020/detail</t>
  </si>
  <si>
    <t>三峡旅游</t>
  </si>
  <si>
    <t>www.lixinger.com/analytics/company/sz/002627/2627/detail</t>
  </si>
  <si>
    <t>天下秀</t>
  </si>
  <si>
    <t>www.lixinger.com/analytics/company/sh/600556/600556/detail</t>
  </si>
  <si>
    <t>神农集团</t>
  </si>
  <si>
    <t>www.lixinger.com/analytics/company/sh/605296/605296/detail</t>
  </si>
  <si>
    <t>科博达</t>
  </si>
  <si>
    <t>www.lixinger.com/analytics/company/sh/603786/603786/detail</t>
  </si>
  <si>
    <t>伊力特</t>
  </si>
  <si>
    <t>www.lixinger.com/analytics/company/sh/600197/600197/detail</t>
  </si>
  <si>
    <t>科恒股份</t>
  </si>
  <si>
    <t>www.lixinger.com/analytics/company/sz/300340/300340/detail</t>
  </si>
  <si>
    <t>尚荣医疗</t>
  </si>
  <si>
    <t>www.lixinger.com/analytics/company/sz/002551/2551/detail</t>
  </si>
  <si>
    <t>江苏神通</t>
  </si>
  <si>
    <t>www.lixinger.com/analytics/company/sz/002438/2438/detail</t>
  </si>
  <si>
    <t>厦门空港</t>
  </si>
  <si>
    <t>www.lixinger.com/analytics/company/sh/600897/600897/detail</t>
  </si>
  <si>
    <t>三生国健</t>
  </si>
  <si>
    <t>www.lixinger.com/analytics/company/sh/688336/688336/detail</t>
  </si>
  <si>
    <t>华翔股份</t>
  </si>
  <si>
    <t>www.lixinger.com/analytics/company/sh/603112/603112/detail</t>
  </si>
  <si>
    <t>掌趣科技</t>
  </si>
  <si>
    <t>www.lixinger.com/analytics/company/sz/300315/300315/detail</t>
  </si>
  <si>
    <t>齐峰新材</t>
  </si>
  <si>
    <t>www.lixinger.com/analytics/company/sz/002521/2521/detail</t>
  </si>
  <si>
    <t>*ST数知</t>
  </si>
  <si>
    <t>www.lixinger.com/analytics/company/sz/300038/300038/detail</t>
  </si>
  <si>
    <t>珀莱雅</t>
  </si>
  <si>
    <t>www.lixinger.com/analytics/company/sh/603605/603605/detail</t>
  </si>
  <si>
    <t>赛伍技术</t>
  </si>
  <si>
    <t>www.lixinger.com/analytics/company/sh/603212/603212/detail</t>
  </si>
  <si>
    <t>南亚新材</t>
  </si>
  <si>
    <t>www.lixinger.com/analytics/company/sh/688519/688519/detail</t>
  </si>
  <si>
    <t>惠天热电</t>
  </si>
  <si>
    <t>www.lixinger.com/analytics/company/sz/000692/692/detail</t>
  </si>
  <si>
    <t>苏常柴Ａ</t>
  </si>
  <si>
    <t>www.lixinger.com/analytics/company/sz/000570/570/detail</t>
  </si>
  <si>
    <t>美畅股份</t>
  </si>
  <si>
    <t>www.lixinger.com/analytics/company/sz/300861/300861/detail</t>
  </si>
  <si>
    <t>派能科技</t>
  </si>
  <si>
    <t>www.lixinger.com/analytics/company/sh/688063/688063/detail</t>
  </si>
  <si>
    <t>中信博</t>
  </si>
  <si>
    <t>www.lixinger.com/analytics/company/sh/688408/688408/detail</t>
  </si>
  <si>
    <t>思创医惠</t>
  </si>
  <si>
    <t>www.lixinger.com/analytics/company/sz/300078/300078/detail</t>
  </si>
  <si>
    <t>苏利股份</t>
  </si>
  <si>
    <t>www.lixinger.com/analytics/company/sh/603585/603585/detail</t>
  </si>
  <si>
    <t>华旺科技</t>
  </si>
  <si>
    <t>www.lixinger.com/analytics/company/sh/605377/605377/detail</t>
  </si>
  <si>
    <t>智度股份</t>
  </si>
  <si>
    <t>www.lixinger.com/analytics/company/sz/000676/676/detail</t>
  </si>
  <si>
    <t>迈威生物</t>
  </si>
  <si>
    <t>www.lixinger.com/analytics/company/sh/688062/688062/detail</t>
  </si>
  <si>
    <t>江苏阳光</t>
  </si>
  <si>
    <t>www.lixinger.com/analytics/company/sh/600220/600220/detail</t>
  </si>
  <si>
    <t>如意集团</t>
  </si>
  <si>
    <t>www.lixinger.com/analytics/company/sz/002193/2193/detail</t>
  </si>
  <si>
    <t>国中水务</t>
  </si>
  <si>
    <t>www.lixinger.com/analytics/company/sh/600187/600187/detail</t>
  </si>
  <si>
    <t>福能东方</t>
  </si>
  <si>
    <t>www.lixinger.com/analytics/company/sz/300173/300173/detail</t>
  </si>
  <si>
    <t>圣济堂</t>
  </si>
  <si>
    <t>www.lixinger.com/analytics/company/sh/600227/600227/detail</t>
  </si>
  <si>
    <t>弘信电子</t>
  </si>
  <si>
    <t>www.lixinger.com/analytics/company/sz/300657/300657/detail</t>
  </si>
  <si>
    <t>数源科技</t>
  </si>
  <si>
    <t>www.lixinger.com/analytics/company/sz/000909/909/detail</t>
  </si>
  <si>
    <t>湘潭电化</t>
  </si>
  <si>
    <t>www.lixinger.com/analytics/company/sz/002125/2125/detail</t>
  </si>
  <si>
    <t>太阳电缆</t>
  </si>
  <si>
    <t>www.lixinger.com/analytics/company/sz/002300/2300/detail</t>
  </si>
  <si>
    <t>广和通</t>
  </si>
  <si>
    <t>www.lixinger.com/analytics/company/sz/300638/300638/detail</t>
  </si>
  <si>
    <t>永安行</t>
  </si>
  <si>
    <t>www.lixinger.com/analytics/company/sh/603776/603776/detail</t>
  </si>
  <si>
    <t>上海贝岭</t>
  </si>
  <si>
    <t>www.lixinger.com/analytics/company/sh/600171/600171/detail</t>
  </si>
  <si>
    <t>维维股份</t>
  </si>
  <si>
    <t>www.lixinger.com/analytics/company/sh/600300/600300/detail</t>
  </si>
  <si>
    <t>广州酒家</t>
  </si>
  <si>
    <t>www.lixinger.com/analytics/company/sh/603043/603043/detail</t>
  </si>
  <si>
    <t>雪榕生物</t>
  </si>
  <si>
    <t>www.lixinger.com/analytics/company/sz/300511/300511/detail</t>
  </si>
  <si>
    <t>汉钟精机</t>
  </si>
  <si>
    <t>www.lixinger.com/analytics/company/sz/002158/2158/detail</t>
  </si>
  <si>
    <t>中锐股份</t>
  </si>
  <si>
    <t>www.lixinger.com/analytics/company/sz/002374/2374/detail</t>
  </si>
  <si>
    <t>红豆股份</t>
  </si>
  <si>
    <t>www.lixinger.com/analytics/company/sh/600400/600400/detail</t>
  </si>
  <si>
    <t>超图软件</t>
  </si>
  <si>
    <t>www.lixinger.com/analytics/company/sz/300036/300036/detail</t>
  </si>
  <si>
    <t>江苏雷利</t>
  </si>
  <si>
    <t>www.lixinger.com/analytics/company/sz/300660/300660/detail</t>
  </si>
  <si>
    <t>亚玛顿</t>
  </si>
  <si>
    <t>www.lixinger.com/analytics/company/sz/002623/2623/detail</t>
  </si>
  <si>
    <t>香飘飘</t>
  </si>
  <si>
    <t>www.lixinger.com/analytics/company/sh/603711/603711/detail</t>
  </si>
  <si>
    <t>新华都</t>
  </si>
  <si>
    <t>www.lixinger.com/analytics/company/sz/002264/2264/detail</t>
  </si>
  <si>
    <t>友好集团</t>
  </si>
  <si>
    <t>www.lixinger.com/analytics/company/sh/600778/600778/detail</t>
  </si>
  <si>
    <t>西陇科学</t>
  </si>
  <si>
    <t>www.lixinger.com/analytics/company/sz/002584/2584/detail</t>
  </si>
  <si>
    <t>*ST猛狮</t>
  </si>
  <si>
    <t>www.lixinger.com/analytics/company/sz/002684/2684/detail</t>
  </si>
  <si>
    <t>英洛华</t>
  </si>
  <si>
    <t>www.lixinger.com/analytics/company/sz/000795/795/detail</t>
  </si>
  <si>
    <t>润和软件</t>
  </si>
  <si>
    <t>www.lixinger.com/analytics/company/sz/300339/300339/detail</t>
  </si>
  <si>
    <t>百洋医药</t>
  </si>
  <si>
    <t>www.lixinger.com/analytics/company/sz/301015/301015/detail</t>
  </si>
  <si>
    <t>长城科技</t>
  </si>
  <si>
    <t>www.lixinger.com/analytics/company/sh/603897/603897/detail</t>
  </si>
  <si>
    <t>永创智能</t>
  </si>
  <si>
    <t>www.lixinger.com/analytics/company/sh/603901/603901/detail</t>
  </si>
  <si>
    <t>富安娜</t>
  </si>
  <si>
    <t>www.lixinger.com/analytics/company/sz/002327/2327/detail</t>
  </si>
  <si>
    <t>新华网</t>
  </si>
  <si>
    <t>www.lixinger.com/analytics/company/sh/603888/603888/detail</t>
  </si>
  <si>
    <t>青岛金王</t>
  </si>
  <si>
    <t>www.lixinger.com/analytics/company/sz/002094/2094/detail</t>
  </si>
  <si>
    <t>山东威达</t>
  </si>
  <si>
    <t>www.lixinger.com/analytics/company/sz/002026/2026/detail</t>
  </si>
  <si>
    <t>京威股份</t>
  </si>
  <si>
    <t>www.lixinger.com/analytics/company/sz/002662/2662/detail</t>
  </si>
  <si>
    <t>瑞和股份</t>
  </si>
  <si>
    <t>www.lixinger.com/analytics/company/sz/002620/2620/detail</t>
  </si>
  <si>
    <t>德尔股份</t>
  </si>
  <si>
    <t>www.lixinger.com/analytics/company/sz/300473/300473/detail</t>
  </si>
  <si>
    <t>复旦微电</t>
  </si>
  <si>
    <t>www.lixinger.com/analytics/company/sh/688385/688385/detail</t>
  </si>
  <si>
    <t>南京港</t>
  </si>
  <si>
    <t>www.lixinger.com/analytics/company/sz/002040/2040/detail</t>
  </si>
  <si>
    <t>数码视讯</t>
  </si>
  <si>
    <t>www.lixinger.com/analytics/company/sz/300079/300079/detail</t>
  </si>
  <si>
    <t>嘉友国际</t>
  </si>
  <si>
    <t>www.lixinger.com/analytics/company/sh/603871/603871/detail</t>
  </si>
  <si>
    <t>乐歌股份</t>
  </si>
  <si>
    <t>www.lixinger.com/analytics/company/sz/300729/300729/detail</t>
  </si>
  <si>
    <t>通化金马</t>
  </si>
  <si>
    <t>www.lixinger.com/analytics/company/sz/000766/766/detail</t>
  </si>
  <si>
    <t>四川美丰</t>
  </si>
  <si>
    <t>www.lixinger.com/analytics/company/sz/000731/731/detail</t>
  </si>
  <si>
    <t>云南旅游</t>
  </si>
  <si>
    <t>www.lixinger.com/analytics/company/sz/002059/2059/detail</t>
  </si>
  <si>
    <t>雪人股份</t>
  </si>
  <si>
    <t>www.lixinger.com/analytics/company/sz/002639/2639/detail</t>
  </si>
  <si>
    <t>章源钨业</t>
  </si>
  <si>
    <t>www.lixinger.com/analytics/company/sz/002378/2378/detail</t>
  </si>
  <si>
    <t>思维列控</t>
  </si>
  <si>
    <t>www.lixinger.com/analytics/company/sh/603508/603508/detail</t>
  </si>
  <si>
    <t>正和生态</t>
  </si>
  <si>
    <t>www.lixinger.com/analytics/company/sh/605069/605069/detail</t>
  </si>
  <si>
    <t>ST海越</t>
  </si>
  <si>
    <t>www.lixinger.com/analytics/company/sh/600387/600387/detail</t>
  </si>
  <si>
    <t>拓维信息</t>
  </si>
  <si>
    <t>www.lixinger.com/analytics/company/sz/002261/2261/detail</t>
  </si>
  <si>
    <t>宇通重工</t>
  </si>
  <si>
    <t>www.lixinger.com/analytics/company/sh/600817/600817/detail</t>
  </si>
  <si>
    <t>风语筑</t>
  </si>
  <si>
    <t>其他数字媒体</t>
  </si>
  <si>
    <t>www.lixinger.com/analytics/company/sh/603466/603466/detail</t>
  </si>
  <si>
    <t>福建水泥</t>
  </si>
  <si>
    <t>www.lixinger.com/analytics/company/sh/600802/600802/detail</t>
  </si>
  <si>
    <t>潍柴重机</t>
  </si>
  <si>
    <t>www.lixinger.com/analytics/company/sz/000880/880/detail</t>
  </si>
  <si>
    <t>麒盛科技</t>
  </si>
  <si>
    <t>www.lixinger.com/analytics/company/sh/603610/603610/detail</t>
  </si>
  <si>
    <t>鸿远电子</t>
  </si>
  <si>
    <t>www.lixinger.com/analytics/company/sh/603267/603267/detail</t>
  </si>
  <si>
    <t>绿茵生态</t>
  </si>
  <si>
    <t>www.lixinger.com/analytics/company/sz/002887/2887/detail</t>
  </si>
  <si>
    <t>经纬恒润</t>
  </si>
  <si>
    <t>www.lixinger.com/analytics/company/sh/688326/688326/detail</t>
  </si>
  <si>
    <t>益客食品</t>
  </si>
  <si>
    <t>www.lixinger.com/analytics/company/sz/301116/301116/detail</t>
  </si>
  <si>
    <t>航天工程</t>
  </si>
  <si>
    <t>www.lixinger.com/analytics/company/sh/603698/603698/detail</t>
  </si>
  <si>
    <t>红蜻蜓</t>
  </si>
  <si>
    <t>www.lixinger.com/analytics/company/sh/603116/603116/detail</t>
  </si>
  <si>
    <t>海鸥住工</t>
  </si>
  <si>
    <t>www.lixinger.com/analytics/company/sz/002084/2084/detail</t>
  </si>
  <si>
    <t>良品铺子</t>
  </si>
  <si>
    <t>www.lixinger.com/analytics/company/sh/603719/603719/detail</t>
  </si>
  <si>
    <t>星辉娱乐</t>
  </si>
  <si>
    <t>www.lixinger.com/analytics/company/sz/300043/300043/detail</t>
  </si>
  <si>
    <t>溢多利</t>
  </si>
  <si>
    <t>www.lixinger.com/analytics/company/sz/300381/300381/detail</t>
  </si>
  <si>
    <t>艾迪精密</t>
  </si>
  <si>
    <t>www.lixinger.com/analytics/company/sh/603638/603638/detail</t>
  </si>
  <si>
    <t>长城电工</t>
  </si>
  <si>
    <t>www.lixinger.com/analytics/company/sh/600192/600192/detail</t>
  </si>
  <si>
    <t>回天新材</t>
  </si>
  <si>
    <t>www.lixinger.com/analytics/company/sz/300041/300041/detail</t>
  </si>
  <si>
    <t>之江生物</t>
  </si>
  <si>
    <t>www.lixinger.com/analytics/company/sh/688317/688317/detail</t>
  </si>
  <si>
    <t>联赢激光</t>
  </si>
  <si>
    <t>www.lixinger.com/analytics/company/sh/688518/688518/detail</t>
  </si>
  <si>
    <t>威奥股份</t>
  </si>
  <si>
    <t>www.lixinger.com/analytics/company/sh/605001/605001/detail</t>
  </si>
  <si>
    <t>誉衡药业</t>
  </si>
  <si>
    <t>www.lixinger.com/analytics/company/sz/002437/2437/detail</t>
  </si>
  <si>
    <t>道道全</t>
  </si>
  <si>
    <t>www.lixinger.com/analytics/company/sz/002852/2852/detail</t>
  </si>
  <si>
    <t>绿盟科技</t>
  </si>
  <si>
    <t>www.lixinger.com/analytics/company/sz/300369/300369/detail</t>
  </si>
  <si>
    <t>青松股份</t>
  </si>
  <si>
    <t>www.lixinger.com/analytics/company/sz/300132/300132/detail</t>
  </si>
  <si>
    <t>晶方科技</t>
  </si>
  <si>
    <t>www.lixinger.com/analytics/company/sh/603005/603005/detail</t>
  </si>
  <si>
    <t>杭齿前进</t>
  </si>
  <si>
    <t>www.lixinger.com/analytics/company/sh/601177/601177/detail</t>
  </si>
  <si>
    <t>巨轮智能</t>
  </si>
  <si>
    <t>www.lixinger.com/analytics/company/sz/002031/2031/detail</t>
  </si>
  <si>
    <t>华通线缆</t>
  </si>
  <si>
    <t>www.lixinger.com/analytics/company/sh/605196/605196/detail</t>
  </si>
  <si>
    <t>国茂股份</t>
  </si>
  <si>
    <t>www.lixinger.com/analytics/company/sh/603915/603915/detail</t>
  </si>
  <si>
    <t>塞力医疗</t>
  </si>
  <si>
    <t>www.lixinger.com/analytics/company/sh/603716/603716/detail</t>
  </si>
  <si>
    <t>鸿利智汇</t>
  </si>
  <si>
    <t>www.lixinger.com/analytics/company/sz/300219/300219/detail</t>
  </si>
  <si>
    <t>艾为电子</t>
  </si>
  <si>
    <t>www.lixinger.com/analytics/company/sh/688798/688798/detail</t>
  </si>
  <si>
    <t>蓝黛科技</t>
  </si>
  <si>
    <t>www.lixinger.com/analytics/company/sz/002765/2765/detail</t>
  </si>
  <si>
    <t>金洲管道</t>
  </si>
  <si>
    <t>www.lixinger.com/analytics/company/sz/002443/2443/detail</t>
  </si>
  <si>
    <t>嘉美包装</t>
  </si>
  <si>
    <t>www.lixinger.com/analytics/company/sz/002969/2969/detail</t>
  </si>
  <si>
    <t>安恒信息</t>
  </si>
  <si>
    <t>www.lixinger.com/analytics/company/sh/688023/688023/detail</t>
  </si>
  <si>
    <t>北化股份</t>
  </si>
  <si>
    <t>www.lixinger.com/analytics/company/sz/002246/2246/detail</t>
  </si>
  <si>
    <t>会稽山</t>
  </si>
  <si>
    <t>www.lixinger.com/analytics/company/sh/601579/601579/detail</t>
  </si>
  <si>
    <t>海优新材</t>
  </si>
  <si>
    <t>www.lixinger.com/analytics/company/sh/688680/688680/detail</t>
  </si>
  <si>
    <t>鲁银投资</t>
  </si>
  <si>
    <t>www.lixinger.com/analytics/company/sh/600784/600784/detail</t>
  </si>
  <si>
    <t>海程邦达</t>
  </si>
  <si>
    <t>www.lixinger.com/analytics/company/sh/603836/603836/detail</t>
  </si>
  <si>
    <t>德业股份</t>
  </si>
  <si>
    <t>www.lixinger.com/analytics/company/sh/605117/605117/detail</t>
  </si>
  <si>
    <t>文科园林</t>
  </si>
  <si>
    <t>www.lixinger.com/analytics/company/sz/002775/2775/detail</t>
  </si>
  <si>
    <t>鸿合科技</t>
  </si>
  <si>
    <t>www.lixinger.com/analytics/company/sz/002955/2955/detail</t>
  </si>
  <si>
    <t>美邦服饰</t>
  </si>
  <si>
    <t>www.lixinger.com/analytics/company/sz/002269/2269/detail</t>
  </si>
  <si>
    <t>歌力思</t>
  </si>
  <si>
    <t>www.lixinger.com/analytics/company/sh/603808/603808/detail</t>
  </si>
  <si>
    <t>金陵药业</t>
  </si>
  <si>
    <t>www.lixinger.com/analytics/company/sz/000919/919/detail</t>
  </si>
  <si>
    <t>平治信息</t>
  </si>
  <si>
    <t>www.lixinger.com/analytics/company/sz/300571/300571/detail</t>
  </si>
  <si>
    <t>嘉寓股份</t>
  </si>
  <si>
    <t>www.lixinger.com/analytics/company/sz/300117/300117/detail</t>
  </si>
  <si>
    <t>德联集团</t>
  </si>
  <si>
    <t>www.lixinger.com/analytics/company/sz/002666/2666/detail</t>
  </si>
  <si>
    <t>信濠光电</t>
  </si>
  <si>
    <t>www.lixinger.com/analytics/company/sz/301051/301051/detail</t>
  </si>
  <si>
    <t>美亚柏科</t>
  </si>
  <si>
    <t>www.lixinger.com/analytics/company/sz/300188/300188/detail</t>
  </si>
  <si>
    <t>飞龙股份</t>
  </si>
  <si>
    <t>www.lixinger.com/analytics/company/sz/002536/2536/detail</t>
  </si>
  <si>
    <t>中材节能</t>
  </si>
  <si>
    <t>www.lixinger.com/analytics/company/sh/603126/603126/detail</t>
  </si>
  <si>
    <t>三角防务</t>
  </si>
  <si>
    <t>www.lixinger.com/analytics/company/sz/300775/300775/detail</t>
  </si>
  <si>
    <t>新力金融</t>
  </si>
  <si>
    <t>www.lixinger.com/analytics/company/sh/600318/600318/detail</t>
  </si>
  <si>
    <t>远东传动</t>
  </si>
  <si>
    <t>www.lixinger.com/analytics/company/sz/002406/2406/detail</t>
  </si>
  <si>
    <t>闽东电力</t>
  </si>
  <si>
    <t>www.lixinger.com/analytics/company/sz/000993/993/detail</t>
  </si>
  <si>
    <t>光电股份</t>
  </si>
  <si>
    <t>www.lixinger.com/analytics/company/sh/600184/600184/detail</t>
  </si>
  <si>
    <t>曙光股份</t>
  </si>
  <si>
    <t>www.lixinger.com/analytics/company/sh/600303/600303/detail</t>
  </si>
  <si>
    <t>硕世生物</t>
  </si>
  <si>
    <t>www.lixinger.com/analytics/company/sh/688399/688399/detail</t>
  </si>
  <si>
    <t>大港股份</t>
  </si>
  <si>
    <t>www.lixinger.com/analytics/company/sz/002077/2077/detail</t>
  </si>
  <si>
    <t>ST中珠</t>
  </si>
  <si>
    <t>www.lixinger.com/analytics/company/sh/600568/600568/detail</t>
  </si>
  <si>
    <t>顺控发展</t>
  </si>
  <si>
    <t>www.lixinger.com/analytics/company/sz/003039/3039/detail</t>
  </si>
  <si>
    <t>奋达科技</t>
  </si>
  <si>
    <t>www.lixinger.com/analytics/company/sz/002681/2681/detail</t>
  </si>
  <si>
    <t>五洲新春</t>
  </si>
  <si>
    <t>www.lixinger.com/analytics/company/sh/603667/603667/detail</t>
  </si>
  <si>
    <t>宏昌电子</t>
  </si>
  <si>
    <t>www.lixinger.com/analytics/company/sh/603002/603002/detail</t>
  </si>
  <si>
    <t>天味食品</t>
  </si>
  <si>
    <t>www.lixinger.com/analytics/company/sh/603317/603317/detail</t>
  </si>
  <si>
    <t>宁波富达</t>
  </si>
  <si>
    <t>www.lixinger.com/analytics/company/sh/600724/600724/detail</t>
  </si>
  <si>
    <t>华明装备</t>
  </si>
  <si>
    <t>www.lixinger.com/analytics/company/sz/002270/2270/detail</t>
  </si>
  <si>
    <t>江山欧派</t>
  </si>
  <si>
    <t>www.lixinger.com/analytics/company/sh/603208/603208/detail</t>
  </si>
  <si>
    <t>地铁设计</t>
  </si>
  <si>
    <t>www.lixinger.com/analytics/company/sz/003013/3013/detail</t>
  </si>
  <si>
    <t>康跃科技</t>
  </si>
  <si>
    <t>www.lixinger.com/analytics/company/sz/300391/300391/detail</t>
  </si>
  <si>
    <t>南威软件</t>
  </si>
  <si>
    <t>www.lixinger.com/analytics/company/sh/603636/603636/detail</t>
  </si>
  <si>
    <t>数字政通</t>
  </si>
  <si>
    <t>www.lixinger.com/analytics/company/sz/300075/300075/detail</t>
  </si>
  <si>
    <t>西昌电力</t>
  </si>
  <si>
    <t>www.lixinger.com/analytics/company/sh/600505/600505/detail</t>
  </si>
  <si>
    <t>天桥起重</t>
  </si>
  <si>
    <t>www.lixinger.com/analytics/company/sz/002523/2523/detail</t>
  </si>
  <si>
    <t>瑞泰科技</t>
  </si>
  <si>
    <t>www.lixinger.com/analytics/company/sz/002066/2066/detail</t>
  </si>
  <si>
    <t>设计总院</t>
  </si>
  <si>
    <t>www.lixinger.com/analytics/company/sh/603357/603357/detail</t>
  </si>
  <si>
    <t>国泰集团</t>
  </si>
  <si>
    <t>www.lixinger.com/analytics/company/sh/603977/603977/detail</t>
  </si>
  <si>
    <t>*ST尤夫</t>
  </si>
  <si>
    <t>www.lixinger.com/analytics/company/sz/002427/2427/detail</t>
  </si>
  <si>
    <t>ST新城</t>
  </si>
  <si>
    <t>www.lixinger.com/analytics/company/sz/000809/809/detail</t>
  </si>
  <si>
    <t>金杯汽车</t>
  </si>
  <si>
    <t>www.lixinger.com/analytics/company/sh/600609/600609/detail</t>
  </si>
  <si>
    <t>华特达因</t>
  </si>
  <si>
    <t>www.lixinger.com/analytics/company/sz/000915/915/detail</t>
  </si>
  <si>
    <t>维科技术</t>
  </si>
  <si>
    <t>www.lixinger.com/analytics/company/sh/600152/600152/detail</t>
  </si>
  <si>
    <t>华录百纳</t>
  </si>
  <si>
    <t>www.lixinger.com/analytics/company/sz/300291/300291/detail</t>
  </si>
  <si>
    <t>明牌珠宝</t>
  </si>
  <si>
    <t>www.lixinger.com/analytics/company/sz/002574/2574/detail</t>
  </si>
  <si>
    <t>九强生物</t>
  </si>
  <si>
    <t>www.lixinger.com/analytics/company/sz/300406/300406/detail</t>
  </si>
  <si>
    <t>东芯股份</t>
  </si>
  <si>
    <t>www.lixinger.com/analytics/company/sh/688110/688110/detail</t>
  </si>
  <si>
    <t>南大光电</t>
  </si>
  <si>
    <t>www.lixinger.com/analytics/company/sz/300346/300346/detail</t>
  </si>
  <si>
    <t>金宏气体</t>
  </si>
  <si>
    <t>www.lixinger.com/analytics/company/sh/688106/688106/detail</t>
  </si>
  <si>
    <t>奥康国际</t>
  </si>
  <si>
    <t>www.lixinger.com/analytics/company/sh/603001/603001/detail</t>
  </si>
  <si>
    <t>神剑股份</t>
  </si>
  <si>
    <t>www.lixinger.com/analytics/company/sz/002361/2361/detail</t>
  </si>
  <si>
    <t>马应龙</t>
  </si>
  <si>
    <t>www.lixinger.com/analytics/company/sh/600993/600993/detail</t>
  </si>
  <si>
    <t>大唐电信</t>
  </si>
  <si>
    <t>www.lixinger.com/analytics/company/sh/600198/600198/detail</t>
  </si>
  <si>
    <t>祥鑫科技</t>
  </si>
  <si>
    <t>www.lixinger.com/analytics/company/sz/002965/2965/detail</t>
  </si>
  <si>
    <t>宜华健康</t>
  </si>
  <si>
    <t>www.lixinger.com/analytics/company/sz/000150/150/detail</t>
  </si>
  <si>
    <t>汇嘉时代</t>
  </si>
  <si>
    <t>www.lixinger.com/analytics/company/sh/603101/603101/detail</t>
  </si>
  <si>
    <t>亚威股份</t>
  </si>
  <si>
    <t>www.lixinger.com/analytics/company/sz/002559/2559/detail</t>
  </si>
  <si>
    <t>三维通信</t>
  </si>
  <si>
    <t>www.lixinger.com/analytics/company/sz/002115/2115/detail</t>
  </si>
  <si>
    <t>巨力索具</t>
  </si>
  <si>
    <t>www.lixinger.com/analytics/company/sz/002342/2342/detail</t>
  </si>
  <si>
    <t>龙宇燃油</t>
  </si>
  <si>
    <t>www.lixinger.com/analytics/company/sh/603003/603003/detail</t>
  </si>
  <si>
    <t>出版传媒</t>
  </si>
  <si>
    <t>www.lixinger.com/analytics/company/sh/601999/601999/detail</t>
  </si>
  <si>
    <t>三圣股份</t>
  </si>
  <si>
    <t>www.lixinger.com/analytics/company/sz/002742/2742/detail</t>
  </si>
  <si>
    <t>*ST吉艾</t>
  </si>
  <si>
    <t>www.lixinger.com/analytics/company/sz/300309/300309/detail</t>
  </si>
  <si>
    <t>北巴传媒</t>
  </si>
  <si>
    <t>www.lixinger.com/analytics/company/sh/600386/600386/detail</t>
  </si>
  <si>
    <t>道通科技</t>
  </si>
  <si>
    <t>www.lixinger.com/analytics/company/sh/688208/688208/detail</t>
  </si>
  <si>
    <t>汇宇制药</t>
  </si>
  <si>
    <t>www.lixinger.com/analytics/company/sh/688553/688553/detail</t>
  </si>
  <si>
    <t>谱尼测试</t>
  </si>
  <si>
    <t>www.lixinger.com/analytics/company/sz/300887/300887/detail</t>
  </si>
  <si>
    <t>香农芯创</t>
  </si>
  <si>
    <t>www.lixinger.com/analytics/company/sz/300475/300475/detail</t>
  </si>
  <si>
    <t>新华传媒</t>
  </si>
  <si>
    <t>www.lixinger.com/analytics/company/sh/600825/600825/detail</t>
  </si>
  <si>
    <t>银宝山新</t>
  </si>
  <si>
    <t>www.lixinger.com/analytics/company/sz/002786/2786/detail</t>
  </si>
  <si>
    <t>建霖家居</t>
  </si>
  <si>
    <t>www.lixinger.com/analytics/company/sh/603408/603408/detail</t>
  </si>
  <si>
    <t>青岛中程</t>
  </si>
  <si>
    <t>www.lixinger.com/analytics/company/sz/300208/300208/detail</t>
  </si>
  <si>
    <t>洁美科技</t>
  </si>
  <si>
    <t>www.lixinger.com/analytics/company/sz/002859/2859/detail</t>
  </si>
  <si>
    <t>美丽生态</t>
  </si>
  <si>
    <t>www.lixinger.com/analytics/company/sz/000010/10/detail</t>
  </si>
  <si>
    <t>睿智医药</t>
  </si>
  <si>
    <t>www.lixinger.com/analytics/company/sz/300149/300149/detail</t>
  </si>
  <si>
    <t>雪峰科技</t>
  </si>
  <si>
    <t>www.lixinger.com/analytics/company/sh/603227/603227/detail</t>
  </si>
  <si>
    <t>金河生物</t>
  </si>
  <si>
    <t>www.lixinger.com/analytics/company/sz/002688/2688/detail</t>
  </si>
  <si>
    <t>新媒股份</t>
  </si>
  <si>
    <t>www.lixinger.com/analytics/company/sz/300770/300770/detail</t>
  </si>
  <si>
    <t>千金药业</t>
  </si>
  <si>
    <t>www.lixinger.com/analytics/company/sh/600479/600479/detail</t>
  </si>
  <si>
    <t>桂林三金</t>
  </si>
  <si>
    <t>www.lixinger.com/analytics/company/sz/002275/2275/detail</t>
  </si>
  <si>
    <t>华控赛格</t>
  </si>
  <si>
    <t>www.lixinger.com/analytics/company/sz/000068/68/detail</t>
  </si>
  <si>
    <t>金贵银业</t>
  </si>
  <si>
    <t>www.lixinger.com/analytics/company/sz/002716/2716/detail</t>
  </si>
  <si>
    <t>万邦德</t>
  </si>
  <si>
    <t>www.lixinger.com/analytics/company/sz/002082/2082/detail</t>
  </si>
  <si>
    <t>美诺华</t>
  </si>
  <si>
    <t>www.lixinger.com/analytics/company/sh/603538/603538/detail</t>
  </si>
  <si>
    <t>亚星锚链</t>
  </si>
  <si>
    <t>www.lixinger.com/analytics/company/sh/601890/601890/detail</t>
  </si>
  <si>
    <t>德尔未来</t>
  </si>
  <si>
    <t>www.lixinger.com/analytics/company/sz/002631/2631/detail</t>
  </si>
  <si>
    <t>姚记科技</t>
  </si>
  <si>
    <t>www.lixinger.com/analytics/company/sz/002605/2605/detail</t>
  </si>
  <si>
    <t>中海达</t>
  </si>
  <si>
    <t>www.lixinger.com/analytics/company/sz/300177/300177/detail</t>
  </si>
  <si>
    <t>国脉科技</t>
  </si>
  <si>
    <t>www.lixinger.com/analytics/company/sz/002093/2093/detail</t>
  </si>
  <si>
    <t>常青股份</t>
  </si>
  <si>
    <t>www.lixinger.com/analytics/company/sh/603768/603768/detail</t>
  </si>
  <si>
    <t>天铁股份</t>
  </si>
  <si>
    <t>www.lixinger.com/analytics/company/sz/300587/300587/detail</t>
  </si>
  <si>
    <t>中船应急</t>
  </si>
  <si>
    <t>www.lixinger.com/analytics/company/sz/300527/300527/detail</t>
  </si>
  <si>
    <t>玉龙股份</t>
  </si>
  <si>
    <t>www.lixinger.com/analytics/company/sh/601028/601028/detail</t>
  </si>
  <si>
    <t>海天精工</t>
  </si>
  <si>
    <t>www.lixinger.com/analytics/company/sh/601882/601882/detail</t>
  </si>
  <si>
    <t>浪潮软件</t>
  </si>
  <si>
    <t>www.lixinger.com/analytics/company/sh/600756/600756/detail</t>
  </si>
  <si>
    <t>金牌厨柜</t>
  </si>
  <si>
    <t>www.lixinger.com/analytics/company/sh/603180/603180/detail</t>
  </si>
  <si>
    <t>百克生物</t>
  </si>
  <si>
    <t>www.lixinger.com/analytics/company/sh/688276/688276/detail</t>
  </si>
  <si>
    <t>豪能股份</t>
  </si>
  <si>
    <t>www.lixinger.com/analytics/company/sh/603809/603809/detail</t>
  </si>
  <si>
    <t>平潭发展</t>
  </si>
  <si>
    <t>林业</t>
  </si>
  <si>
    <t>www.lixinger.com/analytics/company/sz/000592/592/detail</t>
  </si>
  <si>
    <t>*ST华英</t>
  </si>
  <si>
    <t>www.lixinger.com/analytics/company/sz/002321/2321/detail</t>
  </si>
  <si>
    <t>航天长峰</t>
  </si>
  <si>
    <t>www.lixinger.com/analytics/company/sh/600855/600855/detail</t>
  </si>
  <si>
    <t>东方通信</t>
  </si>
  <si>
    <t>其他通信设备</t>
  </si>
  <si>
    <t>www.lixinger.com/analytics/company/sh/600776/600776/detail</t>
  </si>
  <si>
    <t>乐山电力</t>
  </si>
  <si>
    <t>www.lixinger.com/analytics/company/sh/600644/600644/detail</t>
  </si>
  <si>
    <t>南侨食品</t>
  </si>
  <si>
    <t>www.lixinger.com/analytics/company/sh/605339/605339/detail</t>
  </si>
  <si>
    <t>瓦轴B</t>
  </si>
  <si>
    <t>www.lixinger.com/analytics/company/sz/200706/200706/detail</t>
  </si>
  <si>
    <t>三诺生物</t>
  </si>
  <si>
    <t>www.lixinger.com/analytics/company/sz/300298/300298/detail</t>
  </si>
  <si>
    <t>贝因美</t>
  </si>
  <si>
    <t>www.lixinger.com/analytics/company/sz/002570/2570/detail</t>
  </si>
  <si>
    <t>北摩高科</t>
  </si>
  <si>
    <t>www.lixinger.com/analytics/company/sz/002985/2985/detail</t>
  </si>
  <si>
    <t>伟星股份</t>
  </si>
  <si>
    <t>www.lixinger.com/analytics/company/sz/002003/2003/detail</t>
  </si>
  <si>
    <t>*ST腾邦</t>
  </si>
  <si>
    <t>旅游综合</t>
  </si>
  <si>
    <t>www.lixinger.com/analytics/company/sz/300178/300178/detail</t>
  </si>
  <si>
    <t>新国都</t>
  </si>
  <si>
    <t>www.lixinger.com/analytics/company/sz/300130/300130/detail</t>
  </si>
  <si>
    <t>通达股份</t>
  </si>
  <si>
    <t>www.lixinger.com/analytics/company/sz/002560/2560/detail</t>
  </si>
  <si>
    <t>亚宝药业</t>
  </si>
  <si>
    <t>www.lixinger.com/analytics/company/sh/600351/600351/detail</t>
  </si>
  <si>
    <t>水发燃气</t>
  </si>
  <si>
    <t>www.lixinger.com/analytics/company/sh/603318/603318/detail</t>
  </si>
  <si>
    <t>久日新材</t>
  </si>
  <si>
    <t>www.lixinger.com/analytics/company/sh/688199/688199/detail</t>
  </si>
  <si>
    <t>经纬辉开</t>
  </si>
  <si>
    <t>www.lixinger.com/analytics/company/sz/300120/300120/detail</t>
  </si>
  <si>
    <t>金鹰重工</t>
  </si>
  <si>
    <t>www.lixinger.com/analytics/company/sz/301048/301048/detail</t>
  </si>
  <si>
    <t>达华智能</t>
  </si>
  <si>
    <t>www.lixinger.com/analytics/company/sz/002512/2512/detail</t>
  </si>
  <si>
    <t>光峰科技</t>
  </si>
  <si>
    <t>www.lixinger.com/analytics/company/sh/688007/688007/detail</t>
  </si>
  <si>
    <t>国统股份</t>
  </si>
  <si>
    <t>www.lixinger.com/analytics/company/sz/002205/2205/detail</t>
  </si>
  <si>
    <t>飞亚达</t>
  </si>
  <si>
    <t>www.lixinger.com/analytics/company/sz/000026/26/detail</t>
  </si>
  <si>
    <t>登海种业</t>
  </si>
  <si>
    <t>www.lixinger.com/analytics/company/sz/002041/2041/detail</t>
  </si>
  <si>
    <t>长城军工</t>
  </si>
  <si>
    <t>www.lixinger.com/analytics/company/sh/601606/601606/detail</t>
  </si>
  <si>
    <t>中泰股份</t>
  </si>
  <si>
    <t>www.lixinger.com/analytics/company/sz/300435/300435/detail</t>
  </si>
  <si>
    <t>大龙地产</t>
  </si>
  <si>
    <t>www.lixinger.com/analytics/company/sh/600159/600159/detail</t>
  </si>
  <si>
    <t>飞科电器</t>
  </si>
  <si>
    <t>个护小家电</t>
  </si>
  <si>
    <t>www.lixinger.com/analytics/company/sh/603868/603868/detail</t>
  </si>
  <si>
    <t>良信股份</t>
  </si>
  <si>
    <t>www.lixinger.com/analytics/company/sz/002706/2706/detail</t>
  </si>
  <si>
    <t>羚锐制药</t>
  </si>
  <si>
    <t>www.lixinger.com/analytics/company/sh/600285/600285/detail</t>
  </si>
  <si>
    <t>佛塑科技</t>
  </si>
  <si>
    <t>www.lixinger.com/analytics/company/sz/000973/973/detail</t>
  </si>
  <si>
    <t>旷达科技</t>
  </si>
  <si>
    <t>www.lixinger.com/analytics/company/sz/002516/2516/detail</t>
  </si>
  <si>
    <t>慈星股份</t>
  </si>
  <si>
    <t>www.lixinger.com/analytics/company/sz/300307/300307/detail</t>
  </si>
  <si>
    <t>华纺股份</t>
  </si>
  <si>
    <t>www.lixinger.com/analytics/company/sh/600448/600448/detail</t>
  </si>
  <si>
    <t>西藏药业</t>
  </si>
  <si>
    <t>www.lixinger.com/analytics/company/sh/600211/600211/detail</t>
  </si>
  <si>
    <t>ST天马</t>
  </si>
  <si>
    <t>www.lixinger.com/analytics/company/sz/002122/2122/detail</t>
  </si>
  <si>
    <t>新澳股份</t>
  </si>
  <si>
    <t>www.lixinger.com/analytics/company/sh/603889/603889/detail</t>
  </si>
  <si>
    <t>海容冷链</t>
  </si>
  <si>
    <t>www.lixinger.com/analytics/company/sh/603187/603187/detail</t>
  </si>
  <si>
    <t>王力安防</t>
  </si>
  <si>
    <t>www.lixinger.com/analytics/company/sh/605268/605268/detail</t>
  </si>
  <si>
    <t>丰原药业</t>
  </si>
  <si>
    <t>www.lixinger.com/analytics/company/sz/000153/153/detail</t>
  </si>
  <si>
    <t>克明食品</t>
  </si>
  <si>
    <t>www.lixinger.com/analytics/company/sz/002661/2661/detail</t>
  </si>
  <si>
    <t>五矿稀土</t>
  </si>
  <si>
    <t>www.lixinger.com/analytics/company/sz/000831/831/detail</t>
  </si>
  <si>
    <t>三丰智能</t>
  </si>
  <si>
    <t>www.lixinger.com/analytics/company/sz/300276/300276/detail</t>
  </si>
  <si>
    <t>西藏珠峰</t>
  </si>
  <si>
    <t>www.lixinger.com/analytics/company/sh/600338/600338/detail</t>
  </si>
  <si>
    <t>国科微</t>
  </si>
  <si>
    <t>www.lixinger.com/analytics/company/sz/300672/300672/detail</t>
  </si>
  <si>
    <t>奥园美谷</t>
  </si>
  <si>
    <t>医美服务</t>
  </si>
  <si>
    <t>www.lixinger.com/analytics/company/sz/000615/615/detail</t>
  </si>
  <si>
    <t>正帆科技</t>
  </si>
  <si>
    <t>www.lixinger.com/analytics/company/sh/688596/688596/detail</t>
  </si>
  <si>
    <t>金徽酒</t>
  </si>
  <si>
    <t>www.lixinger.com/analytics/company/sh/603919/603919/detail</t>
  </si>
  <si>
    <t>杭州热电</t>
  </si>
  <si>
    <t>www.lixinger.com/analytics/company/sh/605011/605011/detail</t>
  </si>
  <si>
    <t>万安科技</t>
  </si>
  <si>
    <t>www.lixinger.com/analytics/company/sz/002590/2590/detail</t>
  </si>
  <si>
    <t>甘咨询</t>
  </si>
  <si>
    <t>www.lixinger.com/analytics/company/sz/000779/779/detail</t>
  </si>
  <si>
    <t>东方嘉盛</t>
  </si>
  <si>
    <t>www.lixinger.com/analytics/company/sz/002889/2889/detail</t>
  </si>
  <si>
    <t>雅本化学</t>
  </si>
  <si>
    <t>www.lixinger.com/analytics/company/sz/300261/300261/detail</t>
  </si>
  <si>
    <t>华荣股份</t>
  </si>
  <si>
    <t>www.lixinger.com/analytics/company/sh/603855/603855/detail</t>
  </si>
  <si>
    <t>健盛集团</t>
  </si>
  <si>
    <t>www.lixinger.com/analytics/company/sh/603558/603558/detail</t>
  </si>
  <si>
    <t>一品红</t>
  </si>
  <si>
    <t>www.lixinger.com/analytics/company/sz/300723/300723/detail</t>
  </si>
  <si>
    <t>松霖科技</t>
  </si>
  <si>
    <t>www.lixinger.com/analytics/company/sh/603992/603992/detail</t>
  </si>
  <si>
    <t>粤海饲料</t>
  </si>
  <si>
    <t>www.lixinger.com/analytics/company/sz/001313/1313/detail</t>
  </si>
  <si>
    <t>ST华仪</t>
  </si>
  <si>
    <t>www.lixinger.com/analytics/company/sh/600290/600290/detail</t>
  </si>
  <si>
    <t>汇金股份</t>
  </si>
  <si>
    <t>www.lixinger.com/analytics/company/sz/300368/300368/detail</t>
  </si>
  <si>
    <t>锋尚文化</t>
  </si>
  <si>
    <t>www.lixinger.com/analytics/company/sz/300860/300860/detail</t>
  </si>
  <si>
    <t>吉鑫科技</t>
  </si>
  <si>
    <t>www.lixinger.com/analytics/company/sh/601218/601218/detail</t>
  </si>
  <si>
    <t>ST林重</t>
  </si>
  <si>
    <t>www.lixinger.com/analytics/company/sz/002535/2535/detail</t>
  </si>
  <si>
    <t>丰林集团</t>
  </si>
  <si>
    <t>www.lixinger.com/analytics/company/sh/601996/601996/detail</t>
  </si>
  <si>
    <t>普路通</t>
  </si>
  <si>
    <t>www.lixinger.com/analytics/company/sz/002769/2769/detail</t>
  </si>
  <si>
    <t>三峡新材</t>
  </si>
  <si>
    <t>www.lixinger.com/analytics/company/sh/600293/600293/detail</t>
  </si>
  <si>
    <t>宏力达</t>
  </si>
  <si>
    <t>www.lixinger.com/analytics/company/sh/688330/688330/detail</t>
  </si>
  <si>
    <t>爱普股份</t>
  </si>
  <si>
    <t>www.lixinger.com/analytics/company/sh/603020/603020/detail</t>
  </si>
  <si>
    <t>盛路通信</t>
  </si>
  <si>
    <t>www.lixinger.com/analytics/company/sz/002446/2446/detail</t>
  </si>
  <si>
    <t>ST凯乐</t>
  </si>
  <si>
    <t>www.lixinger.com/analytics/company/sh/600260/600260/detail</t>
  </si>
  <si>
    <t>博深股份</t>
  </si>
  <si>
    <t>www.lixinger.com/analytics/company/sz/002282/2282/detail</t>
  </si>
  <si>
    <t>中持股份</t>
  </si>
  <si>
    <t>www.lixinger.com/analytics/company/sh/603903/603903/detail</t>
  </si>
  <si>
    <t>永和股份</t>
  </si>
  <si>
    <t>www.lixinger.com/analytics/company/sh/605020/605020/detail</t>
  </si>
  <si>
    <t>热景生物</t>
  </si>
  <si>
    <t>www.lixinger.com/analytics/company/sh/688068/688068/detail</t>
  </si>
  <si>
    <t>安科生物</t>
  </si>
  <si>
    <t>www.lixinger.com/analytics/company/sz/300009/300009/detail</t>
  </si>
  <si>
    <t>华东重机</t>
  </si>
  <si>
    <t>www.lixinger.com/analytics/company/sz/002685/2685/detail</t>
  </si>
  <si>
    <t>红相股份</t>
  </si>
  <si>
    <t>www.lixinger.com/analytics/company/sz/300427/300427/detail</t>
  </si>
  <si>
    <t>江苏舜天</t>
  </si>
  <si>
    <t>www.lixinger.com/analytics/company/sh/600287/600287/detail</t>
  </si>
  <si>
    <t>电科院</t>
  </si>
  <si>
    <t>www.lixinger.com/analytics/company/sz/300215/300215/detail</t>
  </si>
  <si>
    <t>视觉中国</t>
  </si>
  <si>
    <t>图片媒体</t>
  </si>
  <si>
    <t>www.lixinger.com/analytics/company/sz/000681/681/detail</t>
  </si>
  <si>
    <t>东瑞股份</t>
  </si>
  <si>
    <t>www.lixinger.com/analytics/company/sz/001201/1201/detail</t>
  </si>
  <si>
    <t>金陵饭店</t>
  </si>
  <si>
    <t>www.lixinger.com/analytics/company/sh/601007/601007/detail</t>
  </si>
  <si>
    <t>恒润股份</t>
  </si>
  <si>
    <t>www.lixinger.com/analytics/company/sh/603985/603985/detail</t>
  </si>
  <si>
    <t>固德威</t>
  </si>
  <si>
    <t>www.lixinger.com/analytics/company/sh/688390/688390/detail</t>
  </si>
  <si>
    <t>民和股份</t>
  </si>
  <si>
    <t>www.lixinger.com/analytics/company/sz/002234/2234/detail</t>
  </si>
  <si>
    <t>*ST跨境</t>
  </si>
  <si>
    <t>www.lixinger.com/analytics/company/sz/002640/2640/detail</t>
  </si>
  <si>
    <t>科林电气</t>
  </si>
  <si>
    <t>www.lixinger.com/analytics/company/sh/603050/603050/detail</t>
  </si>
  <si>
    <t>ST中安</t>
  </si>
  <si>
    <t>www.lixinger.com/analytics/company/sh/600654/600654/detail</t>
  </si>
  <si>
    <t>花园生物</t>
  </si>
  <si>
    <t>www.lixinger.com/analytics/company/sz/300401/300401/detail</t>
  </si>
  <si>
    <t>聚合顺</t>
  </si>
  <si>
    <t>www.lixinger.com/analytics/company/sh/605166/605166/detail</t>
  </si>
  <si>
    <t>聚石化学</t>
  </si>
  <si>
    <t>www.lixinger.com/analytics/company/sh/688669/688669/detail</t>
  </si>
  <si>
    <t>城市传媒</t>
  </si>
  <si>
    <t>www.lixinger.com/analytics/company/sh/600229/600229/detail</t>
  </si>
  <si>
    <t>康达新材</t>
  </si>
  <si>
    <t>www.lixinger.com/analytics/company/sz/002669/2669/detail</t>
  </si>
  <si>
    <t>双塔食品</t>
  </si>
  <si>
    <t>www.lixinger.com/analytics/company/sz/002481/2481/detail</t>
  </si>
  <si>
    <t>丽尚国潮</t>
  </si>
  <si>
    <t>www.lixinger.com/analytics/company/sh/600738/600738/detail</t>
  </si>
  <si>
    <t>申华控股</t>
  </si>
  <si>
    <t>www.lixinger.com/analytics/company/sh/600653/600653/detail</t>
  </si>
  <si>
    <t>芯原股份</t>
  </si>
  <si>
    <t>www.lixinger.com/analytics/company/sh/688521/688521/detail</t>
  </si>
  <si>
    <t>五洋停车</t>
  </si>
  <si>
    <t>www.lixinger.com/analytics/company/sz/300420/300420/detail</t>
  </si>
  <si>
    <t>帝尔激光</t>
  </si>
  <si>
    <t>www.lixinger.com/analytics/company/sz/300776/300776/detail</t>
  </si>
  <si>
    <t>仙乐健康</t>
  </si>
  <si>
    <t>www.lixinger.com/analytics/company/sz/300791/300791/detail</t>
  </si>
  <si>
    <t>巴安水务</t>
  </si>
  <si>
    <t>www.lixinger.com/analytics/company/sz/300262/300262/detail</t>
  </si>
  <si>
    <t>华伍股份</t>
  </si>
  <si>
    <t>www.lixinger.com/analytics/company/sz/300095/300095/detail</t>
  </si>
  <si>
    <t>科华控股</t>
  </si>
  <si>
    <t>www.lixinger.com/analytics/company/sh/603161/603161/detail</t>
  </si>
  <si>
    <t>国检集团</t>
  </si>
  <si>
    <t>www.lixinger.com/analytics/company/sh/603060/603060/detail</t>
  </si>
  <si>
    <t>大博医疗</t>
  </si>
  <si>
    <t>www.lixinger.com/analytics/company/sz/002901/2901/detail</t>
  </si>
  <si>
    <t>瑞联新材</t>
  </si>
  <si>
    <t>www.lixinger.com/analytics/company/sh/688550/688550/detail</t>
  </si>
  <si>
    <t>欧比特</t>
  </si>
  <si>
    <t>www.lixinger.com/analytics/company/sz/300053/300053/detail</t>
  </si>
  <si>
    <t>药石科技</t>
  </si>
  <si>
    <t>www.lixinger.com/analytics/company/sz/300725/300725/detail</t>
  </si>
  <si>
    <t>剑桥科技</t>
  </si>
  <si>
    <t>www.lixinger.com/analytics/company/sh/603083/603083/detail</t>
  </si>
  <si>
    <t>长源东谷</t>
  </si>
  <si>
    <t>www.lixinger.com/analytics/company/sh/603950/603950/detail</t>
  </si>
  <si>
    <t>晋西车轴</t>
  </si>
  <si>
    <t>www.lixinger.com/analytics/company/sh/600495/600495/detail</t>
  </si>
  <si>
    <t>通宇通讯</t>
  </si>
  <si>
    <t>www.lixinger.com/analytics/company/sz/002792/2792/detail</t>
  </si>
  <si>
    <t>中建环能</t>
  </si>
  <si>
    <t>www.lixinger.com/analytics/company/sz/300425/300425/detail</t>
  </si>
  <si>
    <t>豪悦护理</t>
  </si>
  <si>
    <t>www.lixinger.com/analytics/company/sh/605009/605009/detail</t>
  </si>
  <si>
    <t>科前生物</t>
  </si>
  <si>
    <t>www.lixinger.com/analytics/company/sh/688526/688526/detail</t>
  </si>
  <si>
    <t>华达新材</t>
  </si>
  <si>
    <t>www.lixinger.com/analytics/company/sh/605158/605158/detail</t>
  </si>
  <si>
    <t>新开源</t>
  </si>
  <si>
    <t>www.lixinger.com/analytics/company/sz/300109/300109/detail</t>
  </si>
  <si>
    <t>青龙管业</t>
  </si>
  <si>
    <t>www.lixinger.com/analytics/company/sz/002457/2457/detail</t>
  </si>
  <si>
    <t>正元地信</t>
  </si>
  <si>
    <t>www.lixinger.com/analytics/company/sh/688509/688509/detail</t>
  </si>
  <si>
    <t>三只松鼠</t>
  </si>
  <si>
    <t>www.lixinger.com/analytics/company/sz/300783/300783/detail</t>
  </si>
  <si>
    <t>太龙药业</t>
  </si>
  <si>
    <t>www.lixinger.com/analytics/company/sh/600222/600222/detail</t>
  </si>
  <si>
    <t>烽火电子</t>
  </si>
  <si>
    <t>www.lixinger.com/analytics/company/sz/000561/561/detail</t>
  </si>
  <si>
    <t>华媒控股</t>
  </si>
  <si>
    <t>www.lixinger.com/analytics/company/sz/000607/607/detail</t>
  </si>
  <si>
    <t>翰宇药业</t>
  </si>
  <si>
    <t>www.lixinger.com/analytics/company/sz/300199/300199/detail</t>
  </si>
  <si>
    <t>惠博普</t>
  </si>
  <si>
    <t>www.lixinger.com/analytics/company/sz/002554/2554/detail</t>
  </si>
  <si>
    <t>博瑞传播</t>
  </si>
  <si>
    <t>学历教育</t>
  </si>
  <si>
    <t>www.lixinger.com/analytics/company/sh/600880/600880/detail</t>
  </si>
  <si>
    <t>万润科技</t>
  </si>
  <si>
    <t>www.lixinger.com/analytics/company/sz/002654/2654/detail</t>
  </si>
  <si>
    <t>博晖创新</t>
  </si>
  <si>
    <t>www.lixinger.com/analytics/company/sz/300318/300318/detail</t>
  </si>
  <si>
    <t>香溢融通</t>
  </si>
  <si>
    <t>www.lixinger.com/analytics/company/sh/600830/600830/detail</t>
  </si>
  <si>
    <t>威胜信息</t>
  </si>
  <si>
    <t>www.lixinger.com/analytics/company/sh/688100/688100/detail</t>
  </si>
  <si>
    <t>中创物流</t>
  </si>
  <si>
    <t>www.lixinger.com/analytics/company/sh/603967/603967/detail</t>
  </si>
  <si>
    <t>赛腾股份</t>
  </si>
  <si>
    <t>www.lixinger.com/analytics/company/sh/603283/603283/detail</t>
  </si>
  <si>
    <t>天宜上佳</t>
  </si>
  <si>
    <t>www.lixinger.com/analytics/company/sh/688033/688033/detail</t>
  </si>
  <si>
    <t>嘉欣丝绸</t>
  </si>
  <si>
    <t>www.lixinger.com/analytics/company/sz/002404/2404/detail</t>
  </si>
  <si>
    <t>丸美股份</t>
  </si>
  <si>
    <t>www.lixinger.com/analytics/company/sh/603983/603983/detail</t>
  </si>
  <si>
    <t>科翔股份</t>
  </si>
  <si>
    <t>www.lixinger.com/analytics/company/sz/300903/300903/detail</t>
  </si>
  <si>
    <t>永清环保</t>
  </si>
  <si>
    <t>www.lixinger.com/analytics/company/sz/300187/300187/detail</t>
  </si>
  <si>
    <t>奕瑞科技</t>
  </si>
  <si>
    <t>www.lixinger.com/analytics/company/sh/688301/688301/detail</t>
  </si>
  <si>
    <t>银邦股份</t>
  </si>
  <si>
    <t>www.lixinger.com/analytics/company/sz/300337/300337/detail</t>
  </si>
  <si>
    <t>ST辉丰</t>
  </si>
  <si>
    <t>www.lixinger.com/analytics/company/sz/002496/2496/detail</t>
  </si>
  <si>
    <t>道明光学</t>
  </si>
  <si>
    <t>www.lixinger.com/analytics/company/sz/002632/2632/detail</t>
  </si>
  <si>
    <t>紫天科技</t>
  </si>
  <si>
    <t>www.lixinger.com/analytics/company/sz/300280/300280/detail</t>
  </si>
  <si>
    <t>福达股份</t>
  </si>
  <si>
    <t>www.lixinger.com/analytics/company/sh/603166/603166/detail</t>
  </si>
  <si>
    <t>明星电力</t>
  </si>
  <si>
    <t>www.lixinger.com/analytics/company/sh/600101/600101/detail</t>
  </si>
  <si>
    <t>鲁阳节能</t>
  </si>
  <si>
    <t>www.lixinger.com/analytics/company/sz/002088/2088/detail</t>
  </si>
  <si>
    <t>东易日盛</t>
  </si>
  <si>
    <t>www.lixinger.com/analytics/company/sz/002713/2713/detail</t>
  </si>
  <si>
    <t>华秦科技</t>
  </si>
  <si>
    <t>www.lixinger.com/analytics/company/sh/688281/688281/detail</t>
  </si>
  <si>
    <t>智慧农业</t>
  </si>
  <si>
    <t>www.lixinger.com/analytics/company/sz/000816/816/detail</t>
  </si>
  <si>
    <t>三利谱</t>
  </si>
  <si>
    <t>www.lixinger.com/analytics/company/sz/002876/2876/detail</t>
  </si>
  <si>
    <t>飞力达</t>
  </si>
  <si>
    <t>www.lixinger.com/analytics/company/sz/300240/300240/detail</t>
  </si>
  <si>
    <t>长鸿高科</t>
  </si>
  <si>
    <t>www.lixinger.com/analytics/company/sh/605008/605008/detail</t>
  </si>
  <si>
    <t>超华科技</t>
  </si>
  <si>
    <t>www.lixinger.com/analytics/company/sz/002288/2288/detail</t>
  </si>
  <si>
    <t>拓尔思</t>
  </si>
  <si>
    <t>www.lixinger.com/analytics/company/sz/300229/300229/detail</t>
  </si>
  <si>
    <t>欣贺股份</t>
  </si>
  <si>
    <t>www.lixinger.com/analytics/company/sz/003016/3016/detail</t>
  </si>
  <si>
    <t>安凯客车</t>
  </si>
  <si>
    <t>www.lixinger.com/analytics/company/sz/000868/868/detail</t>
  </si>
  <si>
    <t>江苏吴中</t>
  </si>
  <si>
    <t>www.lixinger.com/analytics/company/sh/600200/600200/detail</t>
  </si>
  <si>
    <t>腾龙股份</t>
  </si>
  <si>
    <t>www.lixinger.com/analytics/company/sh/603158/603158/detail</t>
  </si>
  <si>
    <t>中贝通信</t>
  </si>
  <si>
    <t>www.lixinger.com/analytics/company/sh/603220/603220/detail</t>
  </si>
  <si>
    <t>安正时尚</t>
  </si>
  <si>
    <t>www.lixinger.com/analytics/company/sh/603839/603839/detail</t>
  </si>
  <si>
    <t>内蒙新华</t>
  </si>
  <si>
    <t>www.lixinger.com/analytics/company/sh/603230/603230/detail</t>
  </si>
  <si>
    <t>南岭民爆</t>
  </si>
  <si>
    <t>www.lixinger.com/analytics/company/sz/002096/2096/detail</t>
  </si>
  <si>
    <t>山东矿机</t>
  </si>
  <si>
    <t>www.lixinger.com/analytics/company/sz/002526/2526/detail</t>
  </si>
  <si>
    <t>小熊电器</t>
  </si>
  <si>
    <t>www.lixinger.com/analytics/company/sz/002959/2959/detail</t>
  </si>
  <si>
    <t>中关村</t>
  </si>
  <si>
    <t>www.lixinger.com/analytics/company/sz/000931/931/detail</t>
  </si>
  <si>
    <t>金达莱</t>
  </si>
  <si>
    <t>www.lixinger.com/analytics/company/sh/688057/688057/detail</t>
  </si>
  <si>
    <t>亚邦股份</t>
  </si>
  <si>
    <t>www.lixinger.com/analytics/company/sh/603188/603188/detail</t>
  </si>
  <si>
    <t>泉峰汽车</t>
  </si>
  <si>
    <t>www.lixinger.com/analytics/company/sh/603982/603982/detail</t>
  </si>
  <si>
    <t>汇金通</t>
  </si>
  <si>
    <t>www.lixinger.com/analytics/company/sh/603577/603577/detail</t>
  </si>
  <si>
    <t>保税科技</t>
  </si>
  <si>
    <t>www.lixinger.com/analytics/company/sh/600794/600794/detail</t>
  </si>
  <si>
    <t>金种子酒</t>
  </si>
  <si>
    <t>www.lixinger.com/analytics/company/sh/600199/600199/detail</t>
  </si>
  <si>
    <t>振华股份</t>
  </si>
  <si>
    <t>www.lixinger.com/analytics/company/sh/603067/603067/detail</t>
  </si>
  <si>
    <t>武进不锈</t>
  </si>
  <si>
    <t>www.lixinger.com/analytics/company/sh/603878/603878/detail</t>
  </si>
  <si>
    <t>航天动力</t>
  </si>
  <si>
    <t>www.lixinger.com/analytics/company/sh/600343/600343/detail</t>
  </si>
  <si>
    <t>奥赛康</t>
  </si>
  <si>
    <t>www.lixinger.com/analytics/company/sz/002755/2755/detail</t>
  </si>
  <si>
    <t>积成电子</t>
  </si>
  <si>
    <t>www.lixinger.com/analytics/company/sz/002339/2339/detail</t>
  </si>
  <si>
    <t>合锻智能</t>
  </si>
  <si>
    <t>www.lixinger.com/analytics/company/sh/603011/603011/detail</t>
  </si>
  <si>
    <t>陕西金叶</t>
  </si>
  <si>
    <t>www.lixinger.com/analytics/company/sz/000812/812/detail</t>
  </si>
  <si>
    <t>苏试试验</t>
  </si>
  <si>
    <t>www.lixinger.com/analytics/company/sz/300416/300416/detail</t>
  </si>
  <si>
    <t>天威视讯</t>
  </si>
  <si>
    <t>www.lixinger.com/analytics/company/sz/002238/2238/detail</t>
  </si>
  <si>
    <t>中粮工科</t>
  </si>
  <si>
    <t>www.lixinger.com/analytics/company/sz/301058/301058/detail</t>
  </si>
  <si>
    <t>曲江文旅</t>
  </si>
  <si>
    <t>www.lixinger.com/analytics/company/sh/600706/600706/detail</t>
  </si>
  <si>
    <t>四方新材</t>
  </si>
  <si>
    <t>www.lixinger.com/analytics/company/sh/605122/605122/detail</t>
  </si>
  <si>
    <t>德昌股份</t>
  </si>
  <si>
    <t>www.lixinger.com/analytics/company/sh/605555/605555/detail</t>
  </si>
  <si>
    <t>天域生态</t>
  </si>
  <si>
    <t>www.lixinger.com/analytics/company/sh/603717/603717/detail</t>
  </si>
  <si>
    <t>富瑞特装</t>
  </si>
  <si>
    <t>www.lixinger.com/analytics/company/sz/300228/300228/detail</t>
  </si>
  <si>
    <t>中天精装</t>
  </si>
  <si>
    <t>www.lixinger.com/analytics/company/sz/002989/2989/detail</t>
  </si>
  <si>
    <t>金雷股份</t>
  </si>
  <si>
    <t>www.lixinger.com/analytics/company/sz/300443/300443/detail</t>
  </si>
  <si>
    <t>ST北文</t>
  </si>
  <si>
    <t>www.lixinger.com/analytics/company/sz/000802/802/detail</t>
  </si>
  <si>
    <t>创意信息</t>
  </si>
  <si>
    <t>www.lixinger.com/analytics/company/sz/300366/300366/detail</t>
  </si>
  <si>
    <t>博瑞医药</t>
  </si>
  <si>
    <t>www.lixinger.com/analytics/company/sh/688166/688166/detail</t>
  </si>
  <si>
    <t>百利电气</t>
  </si>
  <si>
    <t>www.lixinger.com/analytics/company/sh/600468/600468/detail</t>
  </si>
  <si>
    <t>凯中精密</t>
  </si>
  <si>
    <t>www.lixinger.com/analytics/company/sz/002823/2823/detail</t>
  </si>
  <si>
    <t>亿嘉和</t>
  </si>
  <si>
    <t>www.lixinger.com/analytics/company/sh/603666/603666/detail</t>
  </si>
  <si>
    <t>上海凯宝</t>
  </si>
  <si>
    <t>www.lixinger.com/analytics/company/sz/300039/300039/detail</t>
  </si>
  <si>
    <t>奕东电子</t>
  </si>
  <si>
    <t>www.lixinger.com/analytics/company/sz/301123/301123/detail</t>
  </si>
  <si>
    <t>荣丰控股</t>
  </si>
  <si>
    <t>www.lixinger.com/analytics/company/sz/000668/668/detail</t>
  </si>
  <si>
    <t>迪普科技</t>
  </si>
  <si>
    <t>www.lixinger.com/analytics/company/sz/300768/300768/detail</t>
  </si>
  <si>
    <t>浙江众成</t>
  </si>
  <si>
    <t>www.lixinger.com/analytics/company/sz/002522/2522/detail</t>
  </si>
  <si>
    <t>海洋王</t>
  </si>
  <si>
    <t>www.lixinger.com/analytics/company/sz/002724/2724/detail</t>
  </si>
  <si>
    <t>八方股份</t>
  </si>
  <si>
    <t>www.lixinger.com/analytics/company/sh/603489/603489/detail</t>
  </si>
  <si>
    <t>南兴股份</t>
  </si>
  <si>
    <t>www.lixinger.com/analytics/company/sz/002757/2757/detail</t>
  </si>
  <si>
    <t>南微医学</t>
  </si>
  <si>
    <t>www.lixinger.com/analytics/company/sh/688029/688029/detail</t>
  </si>
  <si>
    <t>星辉环材</t>
  </si>
  <si>
    <t>www.lixinger.com/analytics/company/sz/300834/300834/detail</t>
  </si>
  <si>
    <t>东望时代</t>
  </si>
  <si>
    <t>www.lixinger.com/analytics/company/sh/600052/600052/detail</t>
  </si>
  <si>
    <t>精研科技</t>
  </si>
  <si>
    <t>www.lixinger.com/analytics/company/sz/300709/300709/detail</t>
  </si>
  <si>
    <t>科大国创</t>
  </si>
  <si>
    <t>www.lixinger.com/analytics/company/sz/300520/300520/detail</t>
  </si>
  <si>
    <t>浙文影业</t>
  </si>
  <si>
    <t>www.lixinger.com/analytics/company/sh/601599/601599/detail</t>
  </si>
  <si>
    <t>英威腾</t>
  </si>
  <si>
    <t>www.lixinger.com/analytics/company/sz/002334/2334/detail</t>
  </si>
  <si>
    <t>清水源</t>
  </si>
  <si>
    <t>www.lixinger.com/analytics/company/sz/300437/300437/detail</t>
  </si>
  <si>
    <t>芭田股份</t>
  </si>
  <si>
    <t>www.lixinger.com/analytics/company/sz/002170/2170/detail</t>
  </si>
  <si>
    <t>思瑞浦</t>
  </si>
  <si>
    <t>www.lixinger.com/analytics/company/sh/688536/688536/detail</t>
  </si>
  <si>
    <t>弘亚数控</t>
  </si>
  <si>
    <t>www.lixinger.com/analytics/company/sz/002833/2833/detail</t>
  </si>
  <si>
    <t>国际实业</t>
  </si>
  <si>
    <t>www.lixinger.com/analytics/company/sz/000159/159/detail</t>
  </si>
  <si>
    <t>长光华芯</t>
  </si>
  <si>
    <t>www.lixinger.com/analytics/company/sh/688048/688048/detail</t>
  </si>
  <si>
    <t>亿华通</t>
  </si>
  <si>
    <t>燃料电池</t>
  </si>
  <si>
    <t>www.lixinger.com/analytics/company/sh/688339/688339/detail</t>
  </si>
  <si>
    <t>强力新材</t>
  </si>
  <si>
    <t>www.lixinger.com/analytics/company/sz/300429/300429/detail</t>
  </si>
  <si>
    <t>基蛋生物</t>
  </si>
  <si>
    <t>www.lixinger.com/analytics/company/sh/603387/603387/detail</t>
  </si>
  <si>
    <t>恒实科技</t>
  </si>
  <si>
    <t>www.lixinger.com/analytics/company/sz/300513/300513/detail</t>
  </si>
  <si>
    <t>中简科技</t>
  </si>
  <si>
    <t>www.lixinger.com/analytics/company/sz/300777/300777/detail</t>
  </si>
  <si>
    <t>凯利泰</t>
  </si>
  <si>
    <t>www.lixinger.com/analytics/company/sz/300326/300326/detail</t>
  </si>
  <si>
    <t>益民集团</t>
  </si>
  <si>
    <t>www.lixinger.com/analytics/company/sh/600824/600824/detail</t>
  </si>
  <si>
    <t>激智科技</t>
  </si>
  <si>
    <t>www.lixinger.com/analytics/company/sz/300566/300566/detail</t>
  </si>
  <si>
    <t>蓝晓科技</t>
  </si>
  <si>
    <t>www.lixinger.com/analytics/company/sz/300487/300487/detail</t>
  </si>
  <si>
    <t>万林物流</t>
  </si>
  <si>
    <t>www.lixinger.com/analytics/company/sh/603117/603117/detail</t>
  </si>
  <si>
    <t>大千生态</t>
  </si>
  <si>
    <t>www.lixinger.com/analytics/company/sh/603955/603955/detail</t>
  </si>
  <si>
    <t>易尚展示</t>
  </si>
  <si>
    <t>www.lixinger.com/analytics/company/sz/002751/2751/detail</t>
  </si>
  <si>
    <t>尚纬股份</t>
  </si>
  <si>
    <t>www.lixinger.com/analytics/company/sh/603333/603333/detail</t>
  </si>
  <si>
    <t>仁东控股</t>
  </si>
  <si>
    <t>www.lixinger.com/analytics/company/sz/002647/2647/detail</t>
  </si>
  <si>
    <t>全志科技</t>
  </si>
  <si>
    <t>www.lixinger.com/analytics/company/sz/300458/300458/detail</t>
  </si>
  <si>
    <t>美康生物</t>
  </si>
  <si>
    <t>www.lixinger.com/analytics/company/sz/300439/300439/detail</t>
  </si>
  <si>
    <t>中成股份</t>
  </si>
  <si>
    <t>www.lixinger.com/analytics/company/sz/000151/151/detail</t>
  </si>
  <si>
    <t>长川科技</t>
  </si>
  <si>
    <t>www.lixinger.com/analytics/company/sz/300604/300604/detail</t>
  </si>
  <si>
    <t>鑫科材料</t>
  </si>
  <si>
    <t>www.lixinger.com/analytics/company/sh/600255/600255/detail</t>
  </si>
  <si>
    <t>苏大维格</t>
  </si>
  <si>
    <t>www.lixinger.com/analytics/company/sz/300331/300331/detail</t>
  </si>
  <si>
    <t>上海电影</t>
  </si>
  <si>
    <t>www.lixinger.com/analytics/company/sh/601595/601595/detail</t>
  </si>
  <si>
    <t>高测股份</t>
  </si>
  <si>
    <t>www.lixinger.com/analytics/company/sh/688556/688556/detail</t>
  </si>
  <si>
    <t>新联电子</t>
  </si>
  <si>
    <t>www.lixinger.com/analytics/company/sz/002546/2546/detail</t>
  </si>
  <si>
    <t>天奈科技</t>
  </si>
  <si>
    <t>www.lixinger.com/analytics/company/sh/688116/688116/detail</t>
  </si>
  <si>
    <t>纳川股份</t>
  </si>
  <si>
    <t>www.lixinger.com/analytics/company/sz/300198/300198/detail</t>
  </si>
  <si>
    <t>苏州科达</t>
  </si>
  <si>
    <t>www.lixinger.com/analytics/company/sh/603660/603660/detail</t>
  </si>
  <si>
    <t>梦洁股份</t>
  </si>
  <si>
    <t>www.lixinger.com/analytics/company/sz/002397/2397/detail</t>
  </si>
  <si>
    <t>大恒科技</t>
  </si>
  <si>
    <t>www.lixinger.com/analytics/company/sh/600288/600288/detail</t>
  </si>
  <si>
    <t>中光学</t>
  </si>
  <si>
    <t>www.lixinger.com/analytics/company/sz/002189/2189/detail</t>
  </si>
  <si>
    <t>华中数控</t>
  </si>
  <si>
    <t>www.lixinger.com/analytics/company/sz/300161/300161/detail</t>
  </si>
  <si>
    <t>天娱数科</t>
  </si>
  <si>
    <t>www.lixinger.com/analytics/company/sz/002354/2354/detail</t>
  </si>
  <si>
    <t>亚信安全</t>
  </si>
  <si>
    <t>www.lixinger.com/analytics/company/sh/688225/688225/detail</t>
  </si>
  <si>
    <t>开润股份</t>
  </si>
  <si>
    <t>www.lixinger.com/analytics/company/sz/300577/300577/detail</t>
  </si>
  <si>
    <t>华软科技</t>
  </si>
  <si>
    <t>www.lixinger.com/analytics/company/sz/002453/2453/detail</t>
  </si>
  <si>
    <t>赛升药业</t>
  </si>
  <si>
    <t>www.lixinger.com/analytics/company/sz/300485/300485/detail</t>
  </si>
  <si>
    <t>隆基机械</t>
  </si>
  <si>
    <t>www.lixinger.com/analytics/company/sz/002363/2363/detail</t>
  </si>
  <si>
    <t>湖南海利</t>
  </si>
  <si>
    <t>www.lixinger.com/analytics/company/sh/600731/600731/detail</t>
  </si>
  <si>
    <t>景嘉微</t>
  </si>
  <si>
    <t>www.lixinger.com/analytics/company/sz/300474/300474/detail</t>
  </si>
  <si>
    <t>百合花</t>
  </si>
  <si>
    <t>涂料油墨</t>
  </si>
  <si>
    <t>www.lixinger.com/analytics/company/sh/603823/603823/detail</t>
  </si>
  <si>
    <t>菲利华</t>
  </si>
  <si>
    <t>www.lixinger.com/analytics/company/sz/300395/300395/detail</t>
  </si>
  <si>
    <t>金岭矿业</t>
  </si>
  <si>
    <t>www.lixinger.com/analytics/company/sz/000655/655/detail</t>
  </si>
  <si>
    <t>峨眉山Ａ</t>
  </si>
  <si>
    <t>www.lixinger.com/analytics/company/sz/000888/888/detail</t>
  </si>
  <si>
    <t>传艺科技</t>
  </si>
  <si>
    <t>www.lixinger.com/analytics/company/sz/002866/2866/detail</t>
  </si>
  <si>
    <t>学大教育</t>
  </si>
  <si>
    <t>www.lixinger.com/analytics/company/sz/000526/526/detail</t>
  </si>
  <si>
    <t>江航装备</t>
  </si>
  <si>
    <t>www.lixinger.com/analytics/company/sh/688586/688586/detail</t>
  </si>
  <si>
    <t>航天宏图</t>
  </si>
  <si>
    <t>www.lixinger.com/analytics/company/sh/688066/688066/detail</t>
  </si>
  <si>
    <t>萃华珠宝</t>
  </si>
  <si>
    <t>www.lixinger.com/analytics/company/sz/002731/2731/detail</t>
  </si>
  <si>
    <t>飞利信</t>
  </si>
  <si>
    <t>www.lixinger.com/analytics/company/sz/300287/300287/detail</t>
  </si>
  <si>
    <t>豆神教育</t>
  </si>
  <si>
    <t>www.lixinger.com/analytics/company/sz/300010/300010/detail</t>
  </si>
  <si>
    <t>贝瑞基因</t>
  </si>
  <si>
    <t>www.lixinger.com/analytics/company/sz/000710/710/detail</t>
  </si>
  <si>
    <t>芯能科技</t>
  </si>
  <si>
    <t>www.lixinger.com/analytics/company/sh/603105/603105/detail</t>
  </si>
  <si>
    <t>雪迪龙</t>
  </si>
  <si>
    <t>www.lixinger.com/analytics/company/sz/002658/2658/detail</t>
  </si>
  <si>
    <t>掌阅科技</t>
  </si>
  <si>
    <t>文字媒体</t>
  </si>
  <si>
    <t>www.lixinger.com/analytics/company/sh/603533/603533/detail</t>
  </si>
  <si>
    <t>英唐智控</t>
  </si>
  <si>
    <t>www.lixinger.com/analytics/company/sz/300131/300131/detail</t>
  </si>
  <si>
    <t>凯撒旅业</t>
  </si>
  <si>
    <t>www.lixinger.com/analytics/company/sz/000796/796/detail</t>
  </si>
  <si>
    <t>天润乳业</t>
  </si>
  <si>
    <t>www.lixinger.com/analytics/company/sh/600419/600419/detail</t>
  </si>
  <si>
    <t>银都股份</t>
  </si>
  <si>
    <t>www.lixinger.com/analytics/company/sh/603277/603277/detail</t>
  </si>
  <si>
    <t>英维克</t>
  </si>
  <si>
    <t>www.lixinger.com/analytics/company/sz/002837/2837/detail</t>
  </si>
  <si>
    <t>瑞芯微</t>
  </si>
  <si>
    <t>www.lixinger.com/analytics/company/sh/603893/603893/detail</t>
  </si>
  <si>
    <t>阿尔特</t>
  </si>
  <si>
    <t>www.lixinger.com/analytics/company/sz/300825/300825/detail</t>
  </si>
  <si>
    <t>派斯林</t>
  </si>
  <si>
    <t>www.lixinger.com/analytics/company/sh/600215/600215/detail</t>
  </si>
  <si>
    <t>龙溪股份</t>
  </si>
  <si>
    <t>www.lixinger.com/analytics/company/sh/600592/600592/detail</t>
  </si>
  <si>
    <t>东宏股份</t>
  </si>
  <si>
    <t>www.lixinger.com/analytics/company/sh/603856/603856/detail</t>
  </si>
  <si>
    <t>水星家纺</t>
  </si>
  <si>
    <t>www.lixinger.com/analytics/company/sh/603365/603365/detail</t>
  </si>
  <si>
    <t>银河电子</t>
  </si>
  <si>
    <t>www.lixinger.com/analytics/company/sz/002519/2519/detail</t>
  </si>
  <si>
    <t>勤上股份</t>
  </si>
  <si>
    <t>www.lixinger.com/analytics/company/sz/002638/2638/detail</t>
  </si>
  <si>
    <t>雪浪环境</t>
  </si>
  <si>
    <t>www.lixinger.com/analytics/company/sz/300385/300385/detail</t>
  </si>
  <si>
    <t>天龙集团</t>
  </si>
  <si>
    <t>www.lixinger.com/analytics/company/sz/300063/300063/detail</t>
  </si>
  <si>
    <t>闽灿坤Ｂ</t>
  </si>
  <si>
    <t>www.lixinger.com/analytics/company/sz/200512/200512/detail</t>
  </si>
  <si>
    <t>远光软件</t>
  </si>
  <si>
    <t>www.lixinger.com/analytics/company/sz/002063/2063/detail</t>
  </si>
  <si>
    <t>三联虹普</t>
  </si>
  <si>
    <t>www.lixinger.com/analytics/company/sz/300384/300384/detail</t>
  </si>
  <si>
    <t>三人行</t>
  </si>
  <si>
    <t>www.lixinger.com/analytics/company/sh/605168/605168/detail</t>
  </si>
  <si>
    <t>天瑞仪器</t>
  </si>
  <si>
    <t>www.lixinger.com/analytics/company/sz/300165/300165/detail</t>
  </si>
  <si>
    <t>东软载波</t>
  </si>
  <si>
    <t>www.lixinger.com/analytics/company/sz/300183/300183/detail</t>
  </si>
  <si>
    <t>凯文教育</t>
  </si>
  <si>
    <t>www.lixinger.com/analytics/company/sz/002659/2659/detail</t>
  </si>
  <si>
    <t>尤安设计</t>
  </si>
  <si>
    <t>www.lixinger.com/analytics/company/sz/300983/300983/detail</t>
  </si>
  <si>
    <t>中旗股份</t>
  </si>
  <si>
    <t>www.lixinger.com/analytics/company/sz/300575/300575/detail</t>
  </si>
  <si>
    <t>长华股份</t>
  </si>
  <si>
    <t>www.lixinger.com/analytics/company/sh/605018/605018/detail</t>
  </si>
  <si>
    <t>SST佳通</t>
  </si>
  <si>
    <t>www.lixinger.com/analytics/company/sh/600182/600182/detail</t>
  </si>
  <si>
    <t>国风新材</t>
  </si>
  <si>
    <t>www.lixinger.com/analytics/company/sz/000859/859/detail</t>
  </si>
  <si>
    <t>鼎汉技术</t>
  </si>
  <si>
    <t>www.lixinger.com/analytics/company/sz/300011/300011/detail</t>
  </si>
  <si>
    <t>汉商集团</t>
  </si>
  <si>
    <t>www.lixinger.com/analytics/company/sh/600774/600774/detail</t>
  </si>
  <si>
    <t>农发种业</t>
  </si>
  <si>
    <t>www.lixinger.com/analytics/company/sh/600313/600313/detail</t>
  </si>
  <si>
    <t>明阳电路</t>
  </si>
  <si>
    <t>www.lixinger.com/analytics/company/sz/300739/300739/detail</t>
  </si>
  <si>
    <t>越剑智能</t>
  </si>
  <si>
    <t>www.lixinger.com/analytics/company/sh/603095/603095/detail</t>
  </si>
  <si>
    <t>北京科锐</t>
  </si>
  <si>
    <t>www.lixinger.com/analytics/company/sz/002350/2350/detail</t>
  </si>
  <si>
    <t>承德露露</t>
  </si>
  <si>
    <t>www.lixinger.com/analytics/company/sz/000848/848/detail</t>
  </si>
  <si>
    <t>税友股份</t>
  </si>
  <si>
    <t>www.lixinger.com/analytics/company/sh/603171/603171/detail</t>
  </si>
  <si>
    <t>元成股份</t>
  </si>
  <si>
    <t>www.lixinger.com/analytics/company/sh/603388/603388/detail</t>
  </si>
  <si>
    <t>双杰电气</t>
  </si>
  <si>
    <t>www.lixinger.com/analytics/company/sz/300444/300444/detail</t>
  </si>
  <si>
    <t>荣泰健康</t>
  </si>
  <si>
    <t>www.lixinger.com/analytics/company/sh/603579/603579/detail</t>
  </si>
  <si>
    <t>瑞丰光电</t>
  </si>
  <si>
    <t>www.lixinger.com/analytics/company/sz/300241/300241/detail</t>
  </si>
  <si>
    <t>康辰药业</t>
  </si>
  <si>
    <t>www.lixinger.com/analytics/company/sh/603590/603590/detail</t>
  </si>
  <si>
    <t>壹网壹创</t>
  </si>
  <si>
    <t>www.lixinger.com/analytics/company/sz/300792/300792/detail</t>
  </si>
  <si>
    <t>雪松发展</t>
  </si>
  <si>
    <t>www.lixinger.com/analytics/company/sz/002485/2485/detail</t>
  </si>
  <si>
    <t>欧陆通</t>
  </si>
  <si>
    <t>www.lixinger.com/analytics/company/sz/300870/300870/detail</t>
  </si>
  <si>
    <t>圣邦股份</t>
  </si>
  <si>
    <t>www.lixinger.com/analytics/company/sz/300661/300661/detail</t>
  </si>
  <si>
    <t>元力股份</t>
  </si>
  <si>
    <t>www.lixinger.com/analytics/company/sz/300174/300174/detail</t>
  </si>
  <si>
    <t>双箭股份</t>
  </si>
  <si>
    <t>www.lixinger.com/analytics/company/sz/002381/2381/detail</t>
  </si>
  <si>
    <t>柘中股份</t>
  </si>
  <si>
    <t>www.lixinger.com/analytics/company/sz/002346/2346/detail</t>
  </si>
  <si>
    <t>中恒电气</t>
  </si>
  <si>
    <t>www.lixinger.com/analytics/company/sz/002364/2364/detail</t>
  </si>
  <si>
    <t>贵航股份</t>
  </si>
  <si>
    <t>www.lixinger.com/analytics/company/sh/600523/600523/detail</t>
  </si>
  <si>
    <t>焦点科技</t>
  </si>
  <si>
    <t>www.lixinger.com/analytics/company/sz/002315/2315/detail</t>
  </si>
  <si>
    <t>九鼎投资</t>
  </si>
  <si>
    <t>www.lixinger.com/analytics/company/sh/600053/600053/detail</t>
  </si>
  <si>
    <t>新诺威</t>
  </si>
  <si>
    <t>www.lixinger.com/analytics/company/sz/300765/300765/detail</t>
  </si>
  <si>
    <t>康拓红外</t>
  </si>
  <si>
    <t>www.lixinger.com/analytics/company/sz/300455/300455/detail</t>
  </si>
  <si>
    <t>铭利达</t>
  </si>
  <si>
    <t>www.lixinger.com/analytics/company/sz/301268/301268/detail</t>
  </si>
  <si>
    <t>精进电动</t>
  </si>
  <si>
    <t>www.lixinger.com/analytics/company/sh/688280/688280/detail</t>
  </si>
  <si>
    <t>汇通集团</t>
  </si>
  <si>
    <t>www.lixinger.com/analytics/company/sh/603176/603176/detail</t>
  </si>
  <si>
    <t>西藏矿业</t>
  </si>
  <si>
    <t>www.lixinger.com/analytics/company/sz/000762/762/detail</t>
  </si>
  <si>
    <t>科锐国际</t>
  </si>
  <si>
    <t>人力资源服务</t>
  </si>
  <si>
    <t>www.lixinger.com/analytics/company/sz/300662/300662/detail</t>
  </si>
  <si>
    <t>金冠股份</t>
  </si>
  <si>
    <t>www.lixinger.com/analytics/company/sz/300510/300510/detail</t>
  </si>
  <si>
    <t>美达股份</t>
  </si>
  <si>
    <t>www.lixinger.com/analytics/company/sz/000782/782/detail</t>
  </si>
  <si>
    <t>辰安科技</t>
  </si>
  <si>
    <t>www.lixinger.com/analytics/company/sz/300523/300523/detail</t>
  </si>
  <si>
    <t>中信出版</t>
  </si>
  <si>
    <t>www.lixinger.com/analytics/company/sz/300788/300788/detail</t>
  </si>
  <si>
    <t>达瑞电子</t>
  </si>
  <si>
    <t>www.lixinger.com/analytics/company/sz/300976/300976/detail</t>
  </si>
  <si>
    <t>广东骏亚</t>
  </si>
  <si>
    <t>www.lixinger.com/analytics/company/sh/603386/603386/detail</t>
  </si>
  <si>
    <t>得利斯</t>
  </si>
  <si>
    <t>www.lixinger.com/analytics/company/sz/002330/2330/detail</t>
  </si>
  <si>
    <t>道恩股份</t>
  </si>
  <si>
    <t>www.lixinger.com/analytics/company/sz/002838/2838/detail</t>
  </si>
  <si>
    <t>炬华科技</t>
  </si>
  <si>
    <t>www.lixinger.com/analytics/company/sz/300360/300360/detail</t>
  </si>
  <si>
    <t>中远海科</t>
  </si>
  <si>
    <t>www.lixinger.com/analytics/company/sz/002401/2401/detail</t>
  </si>
  <si>
    <t>鸣志电器</t>
  </si>
  <si>
    <t>www.lixinger.com/analytics/company/sh/603728/603728/detail</t>
  </si>
  <si>
    <t>荃银高科</t>
  </si>
  <si>
    <t>www.lixinger.com/analytics/company/sz/300087/300087/detail</t>
  </si>
  <si>
    <t>中农联合</t>
  </si>
  <si>
    <t>www.lixinger.com/analytics/company/sz/003042/3042/detail</t>
  </si>
  <si>
    <t>科远智慧</t>
  </si>
  <si>
    <t>www.lixinger.com/analytics/company/sz/002380/2380/detail</t>
  </si>
  <si>
    <t>新天科技</t>
  </si>
  <si>
    <t>www.lixinger.com/analytics/company/sz/300259/300259/detail</t>
  </si>
  <si>
    <t>理工能科</t>
  </si>
  <si>
    <t>www.lixinger.com/analytics/company/sz/002322/2322/detail</t>
  </si>
  <si>
    <t>捷顺科技</t>
  </si>
  <si>
    <t>www.lixinger.com/analytics/company/sz/002609/2609/detail</t>
  </si>
  <si>
    <t>贵绳股份</t>
  </si>
  <si>
    <t>www.lixinger.com/analytics/company/sh/600992/600992/detail</t>
  </si>
  <si>
    <t>派克新材</t>
  </si>
  <si>
    <t>www.lixinger.com/analytics/company/sh/605123/605123/detail</t>
  </si>
  <si>
    <t>湖南发展</t>
  </si>
  <si>
    <t>www.lixinger.com/analytics/company/sz/000722/722/detail</t>
  </si>
  <si>
    <t>乐凯胶片</t>
  </si>
  <si>
    <t>www.lixinger.com/analytics/company/sh/600135/600135/detail</t>
  </si>
  <si>
    <t>华测导航</t>
  </si>
  <si>
    <t>www.lixinger.com/analytics/company/sz/300627/300627/detail</t>
  </si>
  <si>
    <t>财富趋势</t>
  </si>
  <si>
    <t>www.lixinger.com/analytics/company/sh/688318/688318/detail</t>
  </si>
  <si>
    <t>安靠智电</t>
  </si>
  <si>
    <t>www.lixinger.com/analytics/company/sz/300617/300617/detail</t>
  </si>
  <si>
    <t>新日恒力</t>
  </si>
  <si>
    <t>www.lixinger.com/analytics/company/sh/600165/600165/detail</t>
  </si>
  <si>
    <t>启迪设计</t>
  </si>
  <si>
    <t>www.lixinger.com/analytics/company/sz/300500/300500/detail</t>
  </si>
  <si>
    <t>方正电机</t>
  </si>
  <si>
    <t>www.lixinger.com/analytics/company/sz/002196/2196/detail</t>
  </si>
  <si>
    <t>美吉姆</t>
  </si>
  <si>
    <t>www.lixinger.com/analytics/company/sz/002621/2621/detail</t>
  </si>
  <si>
    <t>富满微</t>
  </si>
  <si>
    <t>www.lixinger.com/analytics/company/sz/300671/300671/detail</t>
  </si>
  <si>
    <t>ST新研</t>
  </si>
  <si>
    <t>www.lixinger.com/analytics/company/sz/300159/300159/detail</t>
  </si>
  <si>
    <t>雷电微力</t>
  </si>
  <si>
    <t>www.lixinger.com/analytics/company/sz/301050/301050/detail</t>
  </si>
  <si>
    <t>泛微网络</t>
  </si>
  <si>
    <t>www.lixinger.com/analytics/company/sh/603039/603039/detail</t>
  </si>
  <si>
    <t>鲍斯股份</t>
  </si>
  <si>
    <t>www.lixinger.com/analytics/company/sz/300441/300441/detail</t>
  </si>
  <si>
    <t>东尼电子</t>
  </si>
  <si>
    <t>www.lixinger.com/analytics/company/sh/603595/603595/detail</t>
  </si>
  <si>
    <t>哈三联</t>
  </si>
  <si>
    <t>www.lixinger.com/analytics/company/sz/002900/2900/detail</t>
  </si>
  <si>
    <t>兴业科技</t>
  </si>
  <si>
    <t>www.lixinger.com/analytics/company/sz/002674/2674/detail</t>
  </si>
  <si>
    <t>元利科技</t>
  </si>
  <si>
    <t>www.lixinger.com/analytics/company/sh/603217/603217/detail</t>
  </si>
  <si>
    <t>ST瀚叶</t>
  </si>
  <si>
    <t>www.lixinger.com/analytics/company/sh/600226/600226/detail</t>
  </si>
  <si>
    <t>铁科轨道</t>
  </si>
  <si>
    <t>www.lixinger.com/analytics/company/sh/688569/688569/detail</t>
  </si>
  <si>
    <t>来伊份</t>
  </si>
  <si>
    <t>www.lixinger.com/analytics/company/sh/603777/603777/detail</t>
  </si>
  <si>
    <t>宇瞳光学</t>
  </si>
  <si>
    <t>www.lixinger.com/analytics/company/sz/300790/300790/detail</t>
  </si>
  <si>
    <t>商络电子</t>
  </si>
  <si>
    <t>www.lixinger.com/analytics/company/sz/300975/300975/detail</t>
  </si>
  <si>
    <t>永利股份</t>
  </si>
  <si>
    <t>www.lixinger.com/analytics/company/sz/300230/300230/detail</t>
  </si>
  <si>
    <t>百利科技</t>
  </si>
  <si>
    <t>www.lixinger.com/analytics/company/sh/603959/603959/detail</t>
  </si>
  <si>
    <t>文山电力</t>
  </si>
  <si>
    <t>www.lixinger.com/analytics/company/sh/600995/600995/detail</t>
  </si>
  <si>
    <t>三维化学</t>
  </si>
  <si>
    <t>www.lixinger.com/analytics/company/sz/002469/2469/detail</t>
  </si>
  <si>
    <t>赢时胜</t>
  </si>
  <si>
    <t>www.lixinger.com/analytics/company/sz/300377/300377/detail</t>
  </si>
  <si>
    <t>皇马科技</t>
  </si>
  <si>
    <t>www.lixinger.com/analytics/company/sh/603181/603181/detail</t>
  </si>
  <si>
    <t>江丰电子</t>
  </si>
  <si>
    <t>www.lixinger.com/analytics/company/sz/300666/300666/detail</t>
  </si>
  <si>
    <t>坤彩科技</t>
  </si>
  <si>
    <t>www.lixinger.com/analytics/company/sh/603826/603826/detail</t>
  </si>
  <si>
    <t>万集科技</t>
  </si>
  <si>
    <t>www.lixinger.com/analytics/company/sz/300552/300552/detail</t>
  </si>
  <si>
    <t>中航电测</t>
  </si>
  <si>
    <t>www.lixinger.com/analytics/company/sz/300114/300114/detail</t>
  </si>
  <si>
    <t>山东华鹏</t>
  </si>
  <si>
    <t>www.lixinger.com/analytics/company/sh/603021/603021/detail</t>
  </si>
  <si>
    <t>华康股份</t>
  </si>
  <si>
    <t>www.lixinger.com/analytics/company/sh/605077/605077/detail</t>
  </si>
  <si>
    <t>兴民智通</t>
  </si>
  <si>
    <t>www.lixinger.com/analytics/company/sz/002355/2355/detail</t>
  </si>
  <si>
    <t>唯科科技</t>
  </si>
  <si>
    <t>www.lixinger.com/analytics/company/sz/301196/301196/detail</t>
  </si>
  <si>
    <t>柏楚电子</t>
  </si>
  <si>
    <t>www.lixinger.com/analytics/company/sh/688188/688188/detail</t>
  </si>
  <si>
    <t>神奇制药</t>
  </si>
  <si>
    <t>www.lixinger.com/analytics/company/sh/600613/600613/detail</t>
  </si>
  <si>
    <t>三雄极光</t>
  </si>
  <si>
    <t>www.lixinger.com/analytics/company/sz/300625/300625/detail</t>
  </si>
  <si>
    <t>新莱应材</t>
  </si>
  <si>
    <t>www.lixinger.com/analytics/company/sz/300260/300260/detail</t>
  </si>
  <si>
    <t>大西洋</t>
  </si>
  <si>
    <t>www.lixinger.com/analytics/company/sh/600558/600558/detail</t>
  </si>
  <si>
    <t>华懋科技</t>
  </si>
  <si>
    <t>www.lixinger.com/analytics/company/sh/603306/603306/detail</t>
  </si>
  <si>
    <t>炼石航空</t>
  </si>
  <si>
    <t>www.lixinger.com/analytics/company/sz/000697/697/detail</t>
  </si>
  <si>
    <t>兆讯传媒</t>
  </si>
  <si>
    <t>www.lixinger.com/analytics/company/sz/301102/301102/detail</t>
  </si>
  <si>
    <t>兆威机电</t>
  </si>
  <si>
    <t>www.lixinger.com/analytics/company/sz/003021/3021/detail</t>
  </si>
  <si>
    <t>天佑德酒</t>
  </si>
  <si>
    <t>www.lixinger.com/analytics/company/sz/002646/2646/detail</t>
  </si>
  <si>
    <t>建艺集团</t>
  </si>
  <si>
    <t>www.lixinger.com/analytics/company/sz/002789/2789/detail</t>
  </si>
  <si>
    <t>申菱环境</t>
  </si>
  <si>
    <t>www.lixinger.com/analytics/company/sz/301018/301018/detail</t>
  </si>
  <si>
    <t>ST德豪</t>
  </si>
  <si>
    <t>www.lixinger.com/analytics/company/sz/002005/2005/detail</t>
  </si>
  <si>
    <t>埃夫特</t>
  </si>
  <si>
    <t>www.lixinger.com/analytics/company/sh/688165/688165/detail</t>
  </si>
  <si>
    <t>精华制药</t>
  </si>
  <si>
    <t>www.lixinger.com/analytics/company/sz/002349/2349/detail</t>
  </si>
  <si>
    <t>美亚光电</t>
  </si>
  <si>
    <t>www.lixinger.com/analytics/company/sz/002690/2690/detail</t>
  </si>
  <si>
    <t>佳禾智能</t>
  </si>
  <si>
    <t>www.lixinger.com/analytics/company/sz/300793/300793/detail</t>
  </si>
  <si>
    <t>欧普康视</t>
  </si>
  <si>
    <t>www.lixinger.com/analytics/company/sz/300595/300595/detail</t>
  </si>
  <si>
    <t>永新股份</t>
  </si>
  <si>
    <t>www.lixinger.com/analytics/company/sz/002014/2014/detail</t>
  </si>
  <si>
    <t>柯力传感</t>
  </si>
  <si>
    <t>www.lixinger.com/analytics/company/sh/603662/603662/detail</t>
  </si>
  <si>
    <t>金龙羽</t>
  </si>
  <si>
    <t>www.lixinger.com/analytics/company/sz/002882/2882/detail</t>
  </si>
  <si>
    <t>博拓生物</t>
  </si>
  <si>
    <t>www.lixinger.com/analytics/company/sh/688767/688767/detail</t>
  </si>
  <si>
    <t>永茂泰</t>
  </si>
  <si>
    <t>www.lixinger.com/analytics/company/sh/605208/605208/detail</t>
  </si>
  <si>
    <t>长高集团</t>
  </si>
  <si>
    <t>www.lixinger.com/analytics/company/sz/002452/2452/detail</t>
  </si>
  <si>
    <t>九联科技</t>
  </si>
  <si>
    <t>www.lixinger.com/analytics/company/sh/688609/688609/detail</t>
  </si>
  <si>
    <t>莱茵生物</t>
  </si>
  <si>
    <t>www.lixinger.com/analytics/company/sz/002166/2166/detail</t>
  </si>
  <si>
    <t>天喻信息</t>
  </si>
  <si>
    <t>www.lixinger.com/analytics/company/sz/300205/300205/detail</t>
  </si>
  <si>
    <t>银龙股份</t>
  </si>
  <si>
    <t>www.lixinger.com/analytics/company/sh/603969/603969/detail</t>
  </si>
  <si>
    <t>亚星客车</t>
  </si>
  <si>
    <t>www.lixinger.com/analytics/company/sh/600213/600213/detail</t>
  </si>
  <si>
    <t>*ST星星</t>
  </si>
  <si>
    <t>www.lixinger.com/analytics/company/sz/300256/300256/detail</t>
  </si>
  <si>
    <t>天阳科技</t>
  </si>
  <si>
    <t>www.lixinger.com/analytics/company/sz/300872/300872/detail</t>
  </si>
  <si>
    <t>上海瀚讯</t>
  </si>
  <si>
    <t>www.lixinger.com/analytics/company/sz/300762/300762/detail</t>
  </si>
  <si>
    <t>龙星化工</t>
  </si>
  <si>
    <t>www.lixinger.com/analytics/company/sz/002442/2442/detail</t>
  </si>
  <si>
    <t>海南高速</t>
  </si>
  <si>
    <t>www.lixinger.com/analytics/company/sz/000886/886/detail</t>
  </si>
  <si>
    <t>川润股份</t>
  </si>
  <si>
    <t>www.lixinger.com/analytics/company/sz/002272/2272/detail</t>
  </si>
  <si>
    <t>美利云</t>
  </si>
  <si>
    <t>www.lixinger.com/analytics/company/sz/000815/815/detail</t>
  </si>
  <si>
    <t>新日股份</t>
  </si>
  <si>
    <t>www.lixinger.com/analytics/company/sh/603787/603787/detail</t>
  </si>
  <si>
    <t>利君股份</t>
  </si>
  <si>
    <t>www.lixinger.com/analytics/company/sz/002651/2651/detail</t>
  </si>
  <si>
    <t>*ST华昌</t>
  </si>
  <si>
    <t>www.lixinger.com/analytics/company/sz/300278/300278/detail</t>
  </si>
  <si>
    <t>云意电气</t>
  </si>
  <si>
    <t>www.lixinger.com/analytics/company/sz/300304/300304/detail</t>
  </si>
  <si>
    <t>北特科技</t>
  </si>
  <si>
    <t>www.lixinger.com/analytics/company/sh/603009/603009/detail</t>
  </si>
  <si>
    <t>亚辉龙</t>
  </si>
  <si>
    <t>www.lixinger.com/analytics/company/sh/688575/688575/detail</t>
  </si>
  <si>
    <t>天宸股份</t>
  </si>
  <si>
    <t>www.lixinger.com/analytics/company/sh/600620/600620/detail</t>
  </si>
  <si>
    <t>幸福蓝海</t>
  </si>
  <si>
    <t>www.lixinger.com/analytics/company/sz/300528/300528/detail</t>
  </si>
  <si>
    <t>金龙机电</t>
  </si>
  <si>
    <t>www.lixinger.com/analytics/company/sz/300032/300032/detail</t>
  </si>
  <si>
    <t>永福股份</t>
  </si>
  <si>
    <t>www.lixinger.com/analytics/company/sz/300712/300712/detail</t>
  </si>
  <si>
    <t>苏州固锝</t>
  </si>
  <si>
    <t>www.lixinger.com/analytics/company/sz/002079/2079/detail</t>
  </si>
  <si>
    <t>丽人丽妆</t>
  </si>
  <si>
    <t>www.lixinger.com/analytics/company/sh/605136/605136/detail</t>
  </si>
  <si>
    <t>天安新材</t>
  </si>
  <si>
    <t>www.lixinger.com/analytics/company/sh/603725/603725/detail</t>
  </si>
  <si>
    <t>康华生物</t>
  </si>
  <si>
    <t>www.lixinger.com/analytics/company/sz/300841/300841/detail</t>
  </si>
  <si>
    <t>先达股份</t>
  </si>
  <si>
    <t>www.lixinger.com/analytics/company/sh/603086/603086/detail</t>
  </si>
  <si>
    <t>广誉远</t>
  </si>
  <si>
    <t>www.lixinger.com/analytics/company/sh/600771/600771/detail</t>
  </si>
  <si>
    <t>ST天圣</t>
  </si>
  <si>
    <t>www.lixinger.com/analytics/company/sz/002872/2872/detail</t>
  </si>
  <si>
    <t>晶瑞电材</t>
  </si>
  <si>
    <t>www.lixinger.com/analytics/company/sz/300655/300655/detail</t>
  </si>
  <si>
    <t>中宠股份</t>
  </si>
  <si>
    <t>宠物食品</t>
  </si>
  <si>
    <t>www.lixinger.com/analytics/company/sz/002891/2891/detail</t>
  </si>
  <si>
    <t>芳源股份</t>
  </si>
  <si>
    <t>www.lixinger.com/analytics/company/sh/688148/688148/detail</t>
  </si>
  <si>
    <t>志特新材</t>
  </si>
  <si>
    <t>www.lixinger.com/analytics/company/sz/300986/300986/detail</t>
  </si>
  <si>
    <t>吉翔股份</t>
  </si>
  <si>
    <t>www.lixinger.com/analytics/company/sh/603399/603399/detail</t>
  </si>
  <si>
    <t>大胜达</t>
  </si>
  <si>
    <t>www.lixinger.com/analytics/company/sh/603687/603687/detail</t>
  </si>
  <si>
    <t>北方股份</t>
  </si>
  <si>
    <t>www.lixinger.com/analytics/company/sh/600262/600262/detail</t>
  </si>
  <si>
    <t>电魂网络</t>
  </si>
  <si>
    <t>www.lixinger.com/analytics/company/sh/603258/603258/detail</t>
  </si>
  <si>
    <t>园林股份</t>
  </si>
  <si>
    <t>www.lixinger.com/analytics/company/sh/605303/605303/detail</t>
  </si>
  <si>
    <t>北信源</t>
  </si>
  <si>
    <t>www.lixinger.com/analytics/company/sz/300352/300352/detail</t>
  </si>
  <si>
    <t>天邑股份</t>
  </si>
  <si>
    <t>www.lixinger.com/analytics/company/sz/300504/300504/detail</t>
  </si>
  <si>
    <t>英力特</t>
  </si>
  <si>
    <t>www.lixinger.com/analytics/company/sz/000635/635/detail</t>
  </si>
  <si>
    <t>法兰泰克</t>
  </si>
  <si>
    <t>www.lixinger.com/analytics/company/sh/603966/603966/detail</t>
  </si>
  <si>
    <t>匠心家居</t>
  </si>
  <si>
    <t>www.lixinger.com/analytics/company/sz/301061/301061/detail</t>
  </si>
  <si>
    <t>海达股份</t>
  </si>
  <si>
    <t>www.lixinger.com/analytics/company/sz/300320/300320/detail</t>
  </si>
  <si>
    <t>康盛股份</t>
  </si>
  <si>
    <t>www.lixinger.com/analytics/company/sz/002418/2418/detail</t>
  </si>
  <si>
    <t>天正电气</t>
  </si>
  <si>
    <t>www.lixinger.com/analytics/company/sh/605066/605066/detail</t>
  </si>
  <si>
    <t>沪光股份</t>
  </si>
  <si>
    <t>www.lixinger.com/analytics/company/sh/605333/605333/detail</t>
  </si>
  <si>
    <t>中汽股份</t>
  </si>
  <si>
    <t>www.lixinger.com/analytics/company/sz/301215/301215/detail</t>
  </si>
  <si>
    <t>中衡设计</t>
  </si>
  <si>
    <t>www.lixinger.com/analytics/company/sh/603017/603017/detail</t>
  </si>
  <si>
    <t>广电电气</t>
  </si>
  <si>
    <t>www.lixinger.com/analytics/company/sh/601616/601616/detail</t>
  </si>
  <si>
    <t>无锡振华</t>
  </si>
  <si>
    <t>www.lixinger.com/analytics/company/sh/605319/605319/detail</t>
  </si>
  <si>
    <t>武汉凡谷</t>
  </si>
  <si>
    <t>www.lixinger.com/analytics/company/sz/002194/2194/detail</t>
  </si>
  <si>
    <t>艾力斯</t>
  </si>
  <si>
    <t>www.lixinger.com/analytics/company/sh/688578/688578/detail</t>
  </si>
  <si>
    <t>中触媒</t>
  </si>
  <si>
    <t>www.lixinger.com/analytics/company/sh/688267/688267/detail</t>
  </si>
  <si>
    <t>乐惠国际</t>
  </si>
  <si>
    <t>www.lixinger.com/analytics/company/sh/603076/603076/detail</t>
  </si>
  <si>
    <t>秦安股份</t>
  </si>
  <si>
    <t>www.lixinger.com/analytics/company/sh/603758/603758/detail</t>
  </si>
  <si>
    <t>宇新股份</t>
  </si>
  <si>
    <t>www.lixinger.com/analytics/company/sz/002986/2986/detail</t>
  </si>
  <si>
    <t>煌上煌</t>
  </si>
  <si>
    <t>www.lixinger.com/analytics/company/sz/002695/2695/detail</t>
  </si>
  <si>
    <t>赛托生物</t>
  </si>
  <si>
    <t>www.lixinger.com/analytics/company/sz/300583/300583/detail</t>
  </si>
  <si>
    <t>迪森股份</t>
  </si>
  <si>
    <t>www.lixinger.com/analytics/company/sz/300335/300335/detail</t>
  </si>
  <si>
    <t>南网科技</t>
  </si>
  <si>
    <t>www.lixinger.com/analytics/company/sh/688248/688248/detail</t>
  </si>
  <si>
    <t>湘佳股份</t>
  </si>
  <si>
    <t>www.lixinger.com/analytics/company/sz/002982/2982/detail</t>
  </si>
  <si>
    <t>广聚能源</t>
  </si>
  <si>
    <t>www.lixinger.com/analytics/company/sz/000096/96/detail</t>
  </si>
  <si>
    <t>元祖股份</t>
  </si>
  <si>
    <t>www.lixinger.com/analytics/company/sh/603886/603886/detail</t>
  </si>
  <si>
    <t>聚灿光电</t>
  </si>
  <si>
    <t>www.lixinger.com/analytics/company/sz/300708/300708/detail</t>
  </si>
  <si>
    <t>春立医疗</t>
  </si>
  <si>
    <t>www.lixinger.com/analytics/company/sh/688236/688236/detail</t>
  </si>
  <si>
    <t>金博股份</t>
  </si>
  <si>
    <t>www.lixinger.com/analytics/company/sh/688598/688598/detail</t>
  </si>
  <si>
    <t>科思科技</t>
  </si>
  <si>
    <t>www.lixinger.com/analytics/company/sh/688788/688788/detail</t>
  </si>
  <si>
    <t>瑞鹄模具</t>
  </si>
  <si>
    <t>www.lixinger.com/analytics/company/sz/002997/2997/detail</t>
  </si>
  <si>
    <t>确成股份</t>
  </si>
  <si>
    <t>www.lixinger.com/analytics/company/sh/605183/605183/detail</t>
  </si>
  <si>
    <t>福昕软件</t>
  </si>
  <si>
    <t>www.lixinger.com/analytics/company/sh/688095/688095/detail</t>
  </si>
  <si>
    <t>亚虹医药</t>
  </si>
  <si>
    <t>www.lixinger.com/analytics/company/sh/688176/688176/detail</t>
  </si>
  <si>
    <t>金轮股份</t>
  </si>
  <si>
    <t>www.lixinger.com/analytics/company/sz/002722/2722/detail</t>
  </si>
  <si>
    <t>金辰股份</t>
  </si>
  <si>
    <t>www.lixinger.com/analytics/company/sh/603396/603396/detail</t>
  </si>
  <si>
    <t>中望软件</t>
  </si>
  <si>
    <t>www.lixinger.com/analytics/company/sh/688083/688083/detail</t>
  </si>
  <si>
    <t>恒顺醋业</t>
  </si>
  <si>
    <t>www.lixinger.com/analytics/company/sh/600305/600305/detail</t>
  </si>
  <si>
    <t>ST金鸿</t>
  </si>
  <si>
    <t>www.lixinger.com/analytics/company/sz/000669/669/detail</t>
  </si>
  <si>
    <t>达嘉维康</t>
  </si>
  <si>
    <t>www.lixinger.com/analytics/company/sz/301126/301126/detail</t>
  </si>
  <si>
    <t>光华科技</t>
  </si>
  <si>
    <t>www.lixinger.com/analytics/company/sz/002741/2741/detail</t>
  </si>
  <si>
    <t>莱美药业</t>
  </si>
  <si>
    <t>www.lixinger.com/analytics/company/sz/300006/300006/detail</t>
  </si>
  <si>
    <t>北清环能</t>
  </si>
  <si>
    <t>www.lixinger.com/analytics/company/sz/000803/803/detail</t>
  </si>
  <si>
    <t>中环装备</t>
  </si>
  <si>
    <t>www.lixinger.com/analytics/company/sz/300140/300140/detail</t>
  </si>
  <si>
    <t>开创国际</t>
  </si>
  <si>
    <t>海洋捕捞</t>
  </si>
  <si>
    <t>www.lixinger.com/analytics/company/sh/600097/600097/detail</t>
  </si>
  <si>
    <t>中铁装配</t>
  </si>
  <si>
    <t>www.lixinger.com/analytics/company/sz/300374/300374/detail</t>
  </si>
  <si>
    <t>华阳国际</t>
  </si>
  <si>
    <t>www.lixinger.com/analytics/company/sz/002949/2949/detail</t>
  </si>
  <si>
    <t>金浦钛业</t>
  </si>
  <si>
    <t>www.lixinger.com/analytics/company/sz/000545/545/detail</t>
  </si>
  <si>
    <t>盛视科技</t>
  </si>
  <si>
    <t>www.lixinger.com/analytics/company/sz/002990/2990/detail</t>
  </si>
  <si>
    <t>醋化股份</t>
  </si>
  <si>
    <t>www.lixinger.com/analytics/company/sh/603968/603968/detail</t>
  </si>
  <si>
    <t>豪森股份</t>
  </si>
  <si>
    <t>www.lixinger.com/analytics/company/sh/688529/688529/detail</t>
  </si>
  <si>
    <t>湖南投资</t>
  </si>
  <si>
    <t>www.lixinger.com/analytics/company/sz/000548/548/detail</t>
  </si>
  <si>
    <t>恒丰纸业</t>
  </si>
  <si>
    <t>www.lixinger.com/analytics/company/sh/600356/600356/detail</t>
  </si>
  <si>
    <t>贝斯特</t>
  </si>
  <si>
    <t>www.lixinger.com/analytics/company/sz/300580/300580/detail</t>
  </si>
  <si>
    <t>诚邦股份</t>
  </si>
  <si>
    <t>www.lixinger.com/analytics/company/sh/603316/603316/detail</t>
  </si>
  <si>
    <t>北京城乡</t>
  </si>
  <si>
    <t>www.lixinger.com/analytics/company/sh/600861/600861/detail</t>
  </si>
  <si>
    <t>多伦科技</t>
  </si>
  <si>
    <t>www.lixinger.com/analytics/company/sh/603528/603528/detail</t>
  </si>
  <si>
    <t>开立医疗</t>
  </si>
  <si>
    <t>www.lixinger.com/analytics/company/sz/300633/300633/detail</t>
  </si>
  <si>
    <t>张家界</t>
  </si>
  <si>
    <t>www.lixinger.com/analytics/company/sz/000430/430/detail</t>
  </si>
  <si>
    <t>永艺股份</t>
  </si>
  <si>
    <t>www.lixinger.com/analytics/company/sh/603600/603600/detail</t>
  </si>
  <si>
    <t>金财互联</t>
  </si>
  <si>
    <t>www.lixinger.com/analytics/company/sz/002530/2530/detail</t>
  </si>
  <si>
    <t>大东南</t>
  </si>
  <si>
    <t>www.lixinger.com/analytics/company/sz/002263/2263/detail</t>
  </si>
  <si>
    <t>华金资本</t>
  </si>
  <si>
    <t>www.lixinger.com/analytics/company/sz/000532/532/detail</t>
  </si>
  <si>
    <t>*ST中迪</t>
  </si>
  <si>
    <t>www.lixinger.com/analytics/company/sz/000609/609/detail</t>
  </si>
  <si>
    <t>ST大洲</t>
  </si>
  <si>
    <t>www.lixinger.com/analytics/company/sz/000571/571/detail</t>
  </si>
  <si>
    <t>宏创控股</t>
  </si>
  <si>
    <t>www.lixinger.com/analytics/company/sz/002379/2379/detail</t>
  </si>
  <si>
    <t>三力士</t>
  </si>
  <si>
    <t>www.lixinger.com/analytics/company/sz/002224/2224/detail</t>
  </si>
  <si>
    <t>荣联科技</t>
  </si>
  <si>
    <t>www.lixinger.com/analytics/company/sz/002642/2642/detail</t>
  </si>
  <si>
    <t>健民集团</t>
  </si>
  <si>
    <t>www.lixinger.com/analytics/company/sh/600976/600976/detail</t>
  </si>
  <si>
    <t>亿利达</t>
  </si>
  <si>
    <t>www.lixinger.com/analytics/company/sz/002686/2686/detail</t>
  </si>
  <si>
    <t>中科金财</t>
  </si>
  <si>
    <t>www.lixinger.com/analytics/company/sz/002657/2657/detail</t>
  </si>
  <si>
    <t>北陆药业</t>
  </si>
  <si>
    <t>www.lixinger.com/analytics/company/sz/300016/300016/detail</t>
  </si>
  <si>
    <t>瑞斯康达</t>
  </si>
  <si>
    <t>www.lixinger.com/analytics/company/sh/603803/603803/detail</t>
  </si>
  <si>
    <t>*ST沈机</t>
  </si>
  <si>
    <t>www.lixinger.com/analytics/company/sz/000410/410/detail</t>
  </si>
  <si>
    <t>龙泉股份</t>
  </si>
  <si>
    <t>www.lixinger.com/analytics/company/sz/002671/2671/detail</t>
  </si>
  <si>
    <t>庄园牧场</t>
  </si>
  <si>
    <t>www.lixinger.com/analytics/company/sz/002910/2910/detail</t>
  </si>
  <si>
    <t>华峰测控</t>
  </si>
  <si>
    <t>www.lixinger.com/analytics/company/sh/688200/688200/detail</t>
  </si>
  <si>
    <t>浙江震元</t>
  </si>
  <si>
    <t>www.lixinger.com/analytics/company/sz/000705/705/detail</t>
  </si>
  <si>
    <t>再升科技</t>
  </si>
  <si>
    <t>www.lixinger.com/analytics/company/sh/603601/603601/detail</t>
  </si>
  <si>
    <t>岭南控股</t>
  </si>
  <si>
    <t>www.lixinger.com/analytics/company/sz/000524/524/detail</t>
  </si>
  <si>
    <t>佩蒂股份</t>
  </si>
  <si>
    <t>www.lixinger.com/analytics/company/sz/300673/300673/detail</t>
  </si>
  <si>
    <t>赛意信息</t>
  </si>
  <si>
    <t>www.lixinger.com/analytics/company/sz/300687/300687/detail</t>
  </si>
  <si>
    <t>日科化学</t>
  </si>
  <si>
    <t>www.lixinger.com/analytics/company/sz/300214/300214/detail</t>
  </si>
  <si>
    <t>科兴制药</t>
  </si>
  <si>
    <t>www.lixinger.com/analytics/company/sh/688136/688136/detail</t>
  </si>
  <si>
    <t>富瀚微</t>
  </si>
  <si>
    <t>www.lixinger.com/analytics/company/sz/300613/300613/detail</t>
  </si>
  <si>
    <t>吉宏股份</t>
  </si>
  <si>
    <t>www.lixinger.com/analytics/company/sz/002803/2803/detail</t>
  </si>
  <si>
    <t>金奥博</t>
  </si>
  <si>
    <t>www.lixinger.com/analytics/company/sz/002917/2917/detail</t>
  </si>
  <si>
    <t>高铁电气</t>
  </si>
  <si>
    <t>www.lixinger.com/analytics/company/sh/688285/688285/detail</t>
  </si>
  <si>
    <t>深圳新星</t>
  </si>
  <si>
    <t>www.lixinger.com/analytics/company/sh/603978/603978/detail</t>
  </si>
  <si>
    <t>利通电子</t>
  </si>
  <si>
    <t>www.lixinger.com/analytics/company/sh/603629/603629/detail</t>
  </si>
  <si>
    <t>国芯科技</t>
  </si>
  <si>
    <t>www.lixinger.com/analytics/company/sh/688262/688262/detail</t>
  </si>
  <si>
    <t>榕基软件</t>
  </si>
  <si>
    <t>www.lixinger.com/analytics/company/sz/002474/2474/detail</t>
  </si>
  <si>
    <t>铭普光磁</t>
  </si>
  <si>
    <t>www.lixinger.com/analytics/company/sz/002902/2902/detail</t>
  </si>
  <si>
    <t>茂化实华</t>
  </si>
  <si>
    <t>www.lixinger.com/analytics/company/sz/000637/637/detail</t>
  </si>
  <si>
    <t>宜宾纸业</t>
  </si>
  <si>
    <t>www.lixinger.com/analytics/company/sh/600793/600793/detail</t>
  </si>
  <si>
    <t>伊戈尔</t>
  </si>
  <si>
    <t>www.lixinger.com/analytics/company/sz/002922/2922/detail</t>
  </si>
  <si>
    <t>虹软科技</t>
  </si>
  <si>
    <t>www.lixinger.com/analytics/company/sh/688088/688088/detail</t>
  </si>
  <si>
    <t>保龄宝</t>
  </si>
  <si>
    <t>www.lixinger.com/analytics/company/sz/002286/2286/detail</t>
  </si>
  <si>
    <t>深南电A</t>
  </si>
  <si>
    <t>www.lixinger.com/analytics/company/sz/000037/37/detail</t>
  </si>
  <si>
    <t>新赛股份</t>
  </si>
  <si>
    <t>www.lixinger.com/analytics/company/sh/600540/600540/detail</t>
  </si>
  <si>
    <t>中辰股份</t>
  </si>
  <si>
    <t>www.lixinger.com/analytics/company/sz/300933/300933/detail</t>
  </si>
  <si>
    <t>诚益通</t>
  </si>
  <si>
    <t>www.lixinger.com/analytics/company/sz/300430/300430/detail</t>
  </si>
  <si>
    <t>硕贝德</t>
  </si>
  <si>
    <t>www.lixinger.com/analytics/company/sz/300322/300322/detail</t>
  </si>
  <si>
    <t>泽宇智能</t>
  </si>
  <si>
    <t>www.lixinger.com/analytics/company/sz/301179/301179/detail</t>
  </si>
  <si>
    <t>水羊股份</t>
  </si>
  <si>
    <t>www.lixinger.com/analytics/company/sz/300740/300740/detail</t>
  </si>
  <si>
    <t>丰乐种业</t>
  </si>
  <si>
    <t>www.lixinger.com/analytics/company/sz/000713/713/detail</t>
  </si>
  <si>
    <t>浙江东日</t>
  </si>
  <si>
    <t>www.lixinger.com/analytics/company/sh/600113/600113/detail</t>
  </si>
  <si>
    <t>华菱线缆</t>
  </si>
  <si>
    <t>www.lixinger.com/analytics/company/sz/001208/1208/detail</t>
  </si>
  <si>
    <t>思美传媒</t>
  </si>
  <si>
    <t>www.lixinger.com/analytics/company/sz/002712/2712/detail</t>
  </si>
  <si>
    <t>拓荆科技</t>
  </si>
  <si>
    <t>www.lixinger.com/analytics/company/sh/688072/688072/detail</t>
  </si>
  <si>
    <t>澳洋健康</t>
  </si>
  <si>
    <t>www.lixinger.com/analytics/company/sz/002172/2172/detail</t>
  </si>
  <si>
    <t>海兰信</t>
  </si>
  <si>
    <t>www.lixinger.com/analytics/company/sz/300065/300065/detail</t>
  </si>
  <si>
    <t>ST弘高</t>
  </si>
  <si>
    <t>www.lixinger.com/analytics/company/sz/002504/2504/detail</t>
  </si>
  <si>
    <t>蓝科高新</t>
  </si>
  <si>
    <t>www.lixinger.com/analytics/company/sh/601798/601798/detail</t>
  </si>
  <si>
    <t>爱婴室</t>
  </si>
  <si>
    <t>www.lixinger.com/analytics/company/sh/603214/603214/detail</t>
  </si>
  <si>
    <t>空港股份</t>
  </si>
  <si>
    <t>www.lixinger.com/analytics/company/sh/600463/600463/detail</t>
  </si>
  <si>
    <t>卓翼科技</t>
  </si>
  <si>
    <t>www.lixinger.com/analytics/company/sz/002369/2369/detail</t>
  </si>
  <si>
    <t>厦工股份</t>
  </si>
  <si>
    <t>www.lixinger.com/analytics/company/sh/600815/600815/detail</t>
  </si>
  <si>
    <t>浩物股份</t>
  </si>
  <si>
    <t>www.lixinger.com/analytics/company/sz/000757/757/detail</t>
  </si>
  <si>
    <t>中核科技</t>
  </si>
  <si>
    <t>www.lixinger.com/analytics/company/sz/000777/777/detail</t>
  </si>
  <si>
    <t>中电环保</t>
  </si>
  <si>
    <t>www.lixinger.com/analytics/company/sz/300172/300172/detail</t>
  </si>
  <si>
    <t>康泰医学</t>
  </si>
  <si>
    <t>www.lixinger.com/analytics/company/sz/300869/300869/detail</t>
  </si>
  <si>
    <t>顺网科技</t>
  </si>
  <si>
    <t>www.lixinger.com/analytics/company/sz/300113/300113/detail</t>
  </si>
  <si>
    <t>上海物贸</t>
  </si>
  <si>
    <t>www.lixinger.com/analytics/company/sh/600822/600822/detail</t>
  </si>
  <si>
    <t>今天国际</t>
  </si>
  <si>
    <t>www.lixinger.com/analytics/company/sz/300532/300532/detail</t>
  </si>
  <si>
    <t>加加食品</t>
  </si>
  <si>
    <t>www.lixinger.com/analytics/company/sz/002650/2650/detail</t>
  </si>
  <si>
    <t>苑东生物</t>
  </si>
  <si>
    <t>www.lixinger.com/analytics/company/sh/688513/688513/detail</t>
  </si>
  <si>
    <t>永东股份</t>
  </si>
  <si>
    <t>www.lixinger.com/analytics/company/sz/002753/2753/detail</t>
  </si>
  <si>
    <t>四方科技</t>
  </si>
  <si>
    <t>www.lixinger.com/analytics/company/sh/603339/603339/detail</t>
  </si>
  <si>
    <t>方盛制药</t>
  </si>
  <si>
    <t>www.lixinger.com/analytics/company/sh/603998/603998/detail</t>
  </si>
  <si>
    <t>益盛药业</t>
  </si>
  <si>
    <t>www.lixinger.com/analytics/company/sz/002566/2566/detail</t>
  </si>
  <si>
    <t>国民技术</t>
  </si>
  <si>
    <t>www.lixinger.com/analytics/company/sz/300077/300077/detail</t>
  </si>
  <si>
    <t>东杰智能</t>
  </si>
  <si>
    <t>www.lixinger.com/analytics/company/sz/300486/300486/detail</t>
  </si>
  <si>
    <t>晶丰明源</t>
  </si>
  <si>
    <t>www.lixinger.com/analytics/company/sh/688368/688368/detail</t>
  </si>
  <si>
    <t>阳谷华泰</t>
  </si>
  <si>
    <t>www.lixinger.com/analytics/company/sz/300121/300121/detail</t>
  </si>
  <si>
    <t>华源控股</t>
  </si>
  <si>
    <t>www.lixinger.com/analytics/company/sz/002787/2787/detail</t>
  </si>
  <si>
    <t>迈赫股份</t>
  </si>
  <si>
    <t>www.lixinger.com/analytics/company/sz/301199/301199/detail</t>
  </si>
  <si>
    <t>徐家汇</t>
  </si>
  <si>
    <t>www.lixinger.com/analytics/company/sz/002561/2561/detail</t>
  </si>
  <si>
    <t>新化股份</t>
  </si>
  <si>
    <t>www.lixinger.com/analytics/company/sh/603867/603867/detail</t>
  </si>
  <si>
    <t>怡合达</t>
  </si>
  <si>
    <t>www.lixinger.com/analytics/company/sz/301029/301029/detail</t>
  </si>
  <si>
    <t>珈伟新能</t>
  </si>
  <si>
    <t>www.lixinger.com/analytics/company/sz/300317/300317/detail</t>
  </si>
  <si>
    <t>佳士科技</t>
  </si>
  <si>
    <t>www.lixinger.com/analytics/company/sz/300193/300193/detail</t>
  </si>
  <si>
    <t>佳讯飞鸿</t>
  </si>
  <si>
    <t>www.lixinger.com/analytics/company/sz/300213/300213/detail</t>
  </si>
  <si>
    <t>百洋股份</t>
  </si>
  <si>
    <t>www.lixinger.com/analytics/company/sz/002696/2696/detail</t>
  </si>
  <si>
    <t>同庆楼</t>
  </si>
  <si>
    <t>餐饮</t>
  </si>
  <si>
    <t>www.lixinger.com/analytics/company/sh/605108/605108/detail</t>
  </si>
  <si>
    <t>智动力</t>
  </si>
  <si>
    <t>www.lixinger.com/analytics/company/sz/300686/300686/detail</t>
  </si>
  <si>
    <t>天成自控</t>
  </si>
  <si>
    <t>www.lixinger.com/analytics/company/sh/603085/603085/detail</t>
  </si>
  <si>
    <t>安诺其</t>
  </si>
  <si>
    <t>www.lixinger.com/analytics/company/sz/300067/300067/detail</t>
  </si>
  <si>
    <t>凯迪股份</t>
  </si>
  <si>
    <t>www.lixinger.com/analytics/company/sh/605288/605288/detail</t>
  </si>
  <si>
    <t>恒华科技</t>
  </si>
  <si>
    <t>www.lixinger.com/analytics/company/sz/300365/300365/detail</t>
  </si>
  <si>
    <t>郑中设计</t>
  </si>
  <si>
    <t>www.lixinger.com/analytics/company/sz/002811/2811/detail</t>
  </si>
  <si>
    <t>雄塑科技</t>
  </si>
  <si>
    <t>www.lixinger.com/analytics/company/sz/300599/300599/detail</t>
  </si>
  <si>
    <t>天海防务</t>
  </si>
  <si>
    <t>www.lixinger.com/analytics/company/sz/300008/300008/detail</t>
  </si>
  <si>
    <t>大立科技</t>
  </si>
  <si>
    <t>www.lixinger.com/analytics/company/sz/002214/2214/detail</t>
  </si>
  <si>
    <t>能科科技</t>
  </si>
  <si>
    <t>www.lixinger.com/analytics/company/sh/603859/603859/detail</t>
  </si>
  <si>
    <t>顺灏股份</t>
  </si>
  <si>
    <t>www.lixinger.com/analytics/company/sz/002565/2565/detail</t>
  </si>
  <si>
    <t>泰坦科技</t>
  </si>
  <si>
    <t>www.lixinger.com/analytics/company/sh/688133/688133/detail</t>
  </si>
  <si>
    <t>华凯创意</t>
  </si>
  <si>
    <t>www.lixinger.com/analytics/company/sz/300592/300592/detail</t>
  </si>
  <si>
    <t>七彩化学</t>
  </si>
  <si>
    <t>www.lixinger.com/analytics/company/sz/300758/300758/detail</t>
  </si>
  <si>
    <t>深大通</t>
  </si>
  <si>
    <t>www.lixinger.com/analytics/company/sz/000038/38/detail</t>
  </si>
  <si>
    <t>一鸣食品</t>
  </si>
  <si>
    <t>www.lixinger.com/analytics/company/sh/605179/605179/detail</t>
  </si>
  <si>
    <t>嘉诚国际</t>
  </si>
  <si>
    <t>www.lixinger.com/analytics/company/sh/603535/603535/detail</t>
  </si>
  <si>
    <t>硅宝科技</t>
  </si>
  <si>
    <t>www.lixinger.com/analytics/company/sz/300019/300019/detail</t>
  </si>
  <si>
    <t>南山智尚</t>
  </si>
  <si>
    <t>www.lixinger.com/analytics/company/sz/300918/300918/detail</t>
  </si>
  <si>
    <t>山东赫达</t>
  </si>
  <si>
    <t>www.lixinger.com/analytics/company/sz/002810/2810/detail</t>
  </si>
  <si>
    <t>ST贵人</t>
  </si>
  <si>
    <t>运动服装</t>
  </si>
  <si>
    <t>www.lixinger.com/analytics/company/sh/603555/603555/detail</t>
  </si>
  <si>
    <t>沃格光电</t>
  </si>
  <si>
    <t>www.lixinger.com/analytics/company/sh/603773/603773/detail</t>
  </si>
  <si>
    <t>深城交</t>
  </si>
  <si>
    <t>www.lixinger.com/analytics/company/sz/301091/301091/detail</t>
  </si>
  <si>
    <t>奥普特</t>
  </si>
  <si>
    <t>www.lixinger.com/analytics/company/sh/688686/688686/detail</t>
  </si>
  <si>
    <t>ST奇信</t>
  </si>
  <si>
    <t>www.lixinger.com/analytics/company/sz/002781/2781/detail</t>
  </si>
  <si>
    <t>中南文化</t>
  </si>
  <si>
    <t>www.lixinger.com/analytics/company/sz/002445/2445/detail</t>
  </si>
  <si>
    <t>依米康</t>
  </si>
  <si>
    <t>www.lixinger.com/analytics/company/sz/300249/300249/detail</t>
  </si>
  <si>
    <t>未名医药</t>
  </si>
  <si>
    <t>www.lixinger.com/analytics/company/sz/002581/2581/detail</t>
  </si>
  <si>
    <t>兆丰股份</t>
  </si>
  <si>
    <t>www.lixinger.com/analytics/company/sz/300695/300695/detail</t>
  </si>
  <si>
    <t>音飞储存</t>
  </si>
  <si>
    <t>www.lixinger.com/analytics/company/sh/603066/603066/detail</t>
  </si>
  <si>
    <t>梅雁吉祥</t>
  </si>
  <si>
    <t>www.lixinger.com/analytics/company/sh/600868/600868/detail</t>
  </si>
  <si>
    <t>荣晟环保</t>
  </si>
  <si>
    <t>www.lixinger.com/analytics/company/sh/603165/603165/detail</t>
  </si>
  <si>
    <t>凯发电气</t>
  </si>
  <si>
    <t>www.lixinger.com/analytics/company/sz/300407/300407/detail</t>
  </si>
  <si>
    <t>永贵电器</t>
  </si>
  <si>
    <t>www.lixinger.com/analytics/company/sz/300351/300351/detail</t>
  </si>
  <si>
    <t>诺禾致源</t>
  </si>
  <si>
    <t>其他医疗服务</t>
  </si>
  <si>
    <t>www.lixinger.com/analytics/company/sh/688315/688315/detail</t>
  </si>
  <si>
    <t>东箭科技</t>
  </si>
  <si>
    <t>www.lixinger.com/analytics/company/sz/300978/300978/detail</t>
  </si>
  <si>
    <t>捷荣技术</t>
  </si>
  <si>
    <t>www.lixinger.com/analytics/company/sz/002855/2855/detail</t>
  </si>
  <si>
    <t>大连热电</t>
  </si>
  <si>
    <t>www.lixinger.com/analytics/company/sh/600719/600719/detail</t>
  </si>
  <si>
    <t>鑫铂股份</t>
  </si>
  <si>
    <t>www.lixinger.com/analytics/company/sz/003038/3038/detail</t>
  </si>
  <si>
    <t>*ST西水</t>
  </si>
  <si>
    <t>www.lixinger.com/analytics/company/sh/600291/600291/detail</t>
  </si>
  <si>
    <t>光洋股份</t>
  </si>
  <si>
    <t>www.lixinger.com/analytics/company/sz/002708/2708/detail</t>
  </si>
  <si>
    <t>安车检测</t>
  </si>
  <si>
    <t>www.lixinger.com/analytics/company/sz/300572/300572/detail</t>
  </si>
  <si>
    <t>汇洁股份</t>
  </si>
  <si>
    <t>www.lixinger.com/analytics/company/sz/002763/2763/detail</t>
  </si>
  <si>
    <t>新锐股份</t>
  </si>
  <si>
    <t>www.lixinger.com/analytics/company/sh/688257/688257/detail</t>
  </si>
  <si>
    <t>神驰机电</t>
  </si>
  <si>
    <t>www.lixinger.com/analytics/company/sh/603109/603109/detail</t>
  </si>
  <si>
    <t>二六三</t>
  </si>
  <si>
    <t>www.lixinger.com/analytics/company/sz/002467/2467/detail</t>
  </si>
  <si>
    <t>纽威数控</t>
  </si>
  <si>
    <t>www.lixinger.com/analytics/company/sh/688697/688697/detail</t>
  </si>
  <si>
    <t>森林包装</t>
  </si>
  <si>
    <t>www.lixinger.com/analytics/company/sh/605500/605500/detail</t>
  </si>
  <si>
    <t>富通信息</t>
  </si>
  <si>
    <t>www.lixinger.com/analytics/company/sz/000836/836/detail</t>
  </si>
  <si>
    <t>海泰发展</t>
  </si>
  <si>
    <t>www.lixinger.com/analytics/company/sh/600082/600082/detail</t>
  </si>
  <si>
    <t>铁流股份</t>
  </si>
  <si>
    <t>www.lixinger.com/analytics/company/sh/603926/603926/detail</t>
  </si>
  <si>
    <t>和晶科技</t>
  </si>
  <si>
    <t>www.lixinger.com/analytics/company/sz/300279/300279/detail</t>
  </si>
  <si>
    <t>复旦张江</t>
  </si>
  <si>
    <t>www.lixinger.com/analytics/company/sh/688505/688505/detail</t>
  </si>
  <si>
    <t>美联新材</t>
  </si>
  <si>
    <t>www.lixinger.com/analytics/company/sz/300586/300586/detail</t>
  </si>
  <si>
    <t>福成股份</t>
  </si>
  <si>
    <t>www.lixinger.com/analytics/company/sh/600965/600965/detail</t>
  </si>
  <si>
    <t>风光股份</t>
  </si>
  <si>
    <t>www.lixinger.com/analytics/company/sz/301100/301100/detail</t>
  </si>
  <si>
    <t>金麒麟</t>
  </si>
  <si>
    <t>www.lixinger.com/analytics/company/sh/603586/603586/detail</t>
  </si>
  <si>
    <t>德力股份</t>
  </si>
  <si>
    <t>www.lixinger.com/analytics/company/sz/002571/2571/detail</t>
  </si>
  <si>
    <t>斯莱克</t>
  </si>
  <si>
    <t>www.lixinger.com/analytics/company/sz/300382/300382/detail</t>
  </si>
  <si>
    <t>东微半导</t>
  </si>
  <si>
    <t>www.lixinger.com/analytics/company/sh/688261/688261/detail</t>
  </si>
  <si>
    <t>万控智造</t>
  </si>
  <si>
    <t>www.lixinger.com/analytics/company/sh/603070/603070/detail</t>
  </si>
  <si>
    <t>精功科技</t>
  </si>
  <si>
    <t>www.lixinger.com/analytics/company/sz/002006/2006/detail</t>
  </si>
  <si>
    <t>回盛生物</t>
  </si>
  <si>
    <t>www.lixinger.com/analytics/company/sz/300871/300871/detail</t>
  </si>
  <si>
    <t>三友联众</t>
  </si>
  <si>
    <t>www.lixinger.com/analytics/company/sz/300932/300932/detail</t>
  </si>
  <si>
    <t>卓越新能</t>
  </si>
  <si>
    <t>www.lixinger.com/analytics/company/sh/688196/688196/detail</t>
  </si>
  <si>
    <t>千红制药</t>
  </si>
  <si>
    <t>www.lixinger.com/analytics/company/sz/002550/2550/detail</t>
  </si>
  <si>
    <t>国新文化</t>
  </si>
  <si>
    <t>www.lixinger.com/analytics/company/sh/600636/600636/detail</t>
  </si>
  <si>
    <t>新亚强</t>
  </si>
  <si>
    <t>www.lixinger.com/analytics/company/sh/603155/603155/detail</t>
  </si>
  <si>
    <t>中密控股</t>
  </si>
  <si>
    <t>www.lixinger.com/analytics/company/sz/300470/300470/detail</t>
  </si>
  <si>
    <t>海特生物</t>
  </si>
  <si>
    <t>www.lixinger.com/analytics/company/sz/300683/300683/detail</t>
  </si>
  <si>
    <t>新雷能</t>
  </si>
  <si>
    <t>www.lixinger.com/analytics/company/sz/300593/300593/detail</t>
  </si>
  <si>
    <t>光智科技</t>
  </si>
  <si>
    <t>www.lixinger.com/analytics/company/sz/300489/300489/detail</t>
  </si>
  <si>
    <t>泰和科技</t>
  </si>
  <si>
    <t>www.lixinger.com/analytics/company/sz/300801/300801/detail</t>
  </si>
  <si>
    <t>全信股份</t>
  </si>
  <si>
    <t>www.lixinger.com/analytics/company/sz/300447/300447/detail</t>
  </si>
  <si>
    <t>浙江富润</t>
  </si>
  <si>
    <t>www.lixinger.com/analytics/company/sh/600070/600070/detail</t>
  </si>
  <si>
    <t>ST东洋</t>
  </si>
  <si>
    <t>www.lixinger.com/analytics/company/sz/002086/2086/detail</t>
  </si>
  <si>
    <t>湘油泵</t>
  </si>
  <si>
    <t>www.lixinger.com/analytics/company/sh/603319/603319/detail</t>
  </si>
  <si>
    <t>国光连锁</t>
  </si>
  <si>
    <t>www.lixinger.com/analytics/company/sh/605188/605188/detail</t>
  </si>
  <si>
    <t>富临运业</t>
  </si>
  <si>
    <t>www.lixinger.com/analytics/company/sz/002357/2357/detail</t>
  </si>
  <si>
    <t>莱绅通灵</t>
  </si>
  <si>
    <t>www.lixinger.com/analytics/company/sh/603900/603900/detail</t>
  </si>
  <si>
    <t>建工修复</t>
  </si>
  <si>
    <t>www.lixinger.com/analytics/company/sz/300958/300958/detail</t>
  </si>
  <si>
    <t>博云新材</t>
  </si>
  <si>
    <t>www.lixinger.com/analytics/company/sz/002297/2297/detail</t>
  </si>
  <si>
    <t>吴通控股</t>
  </si>
  <si>
    <t>www.lixinger.com/analytics/company/sz/300292/300292/detail</t>
  </si>
  <si>
    <t>指南针</t>
  </si>
  <si>
    <t>www.lixinger.com/analytics/company/sz/300803/300803/detail</t>
  </si>
  <si>
    <t>国创高新</t>
  </si>
  <si>
    <t>www.lixinger.com/analytics/company/sz/002377/2377/detail</t>
  </si>
  <si>
    <t>保立佳</t>
  </si>
  <si>
    <t>www.lixinger.com/analytics/company/sz/301037/301037/detail</t>
  </si>
  <si>
    <t>海晨股份</t>
  </si>
  <si>
    <t>www.lixinger.com/analytics/company/sz/300873/300873/detail</t>
  </si>
  <si>
    <t>日丰股份</t>
  </si>
  <si>
    <t>www.lixinger.com/analytics/company/sz/002953/2953/detail</t>
  </si>
  <si>
    <t>银信科技</t>
  </si>
  <si>
    <t>www.lixinger.com/analytics/company/sz/300231/300231/detail</t>
  </si>
  <si>
    <t>远望谷</t>
  </si>
  <si>
    <t>www.lixinger.com/analytics/company/sz/002161/2161/detail</t>
  </si>
  <si>
    <t>精艺股份</t>
  </si>
  <si>
    <t>www.lixinger.com/analytics/company/sz/002295/2295/detail</t>
  </si>
  <si>
    <t>汇得科技</t>
  </si>
  <si>
    <t>www.lixinger.com/analytics/company/sh/603192/603192/detail</t>
  </si>
  <si>
    <t>金石亚药</t>
  </si>
  <si>
    <t>www.lixinger.com/analytics/company/sz/300434/300434/detail</t>
  </si>
  <si>
    <t>何氏眼科</t>
  </si>
  <si>
    <t>www.lixinger.com/analytics/company/sz/301103/301103/detail</t>
  </si>
  <si>
    <t>天孚通信</t>
  </si>
  <si>
    <t>www.lixinger.com/analytics/company/sz/300394/300394/detail</t>
  </si>
  <si>
    <t>西部黄金</t>
  </si>
  <si>
    <t>www.lixinger.com/analytics/company/sh/601069/601069/detail</t>
  </si>
  <si>
    <t>大叶股份</t>
  </si>
  <si>
    <t>www.lixinger.com/analytics/company/sz/300879/300879/detail</t>
  </si>
  <si>
    <t>丽江股份</t>
  </si>
  <si>
    <t>www.lixinger.com/analytics/company/sz/002033/2033/detail</t>
  </si>
  <si>
    <t>漫步者</t>
  </si>
  <si>
    <t>www.lixinger.com/analytics/company/sz/002351/2351/detail</t>
  </si>
  <si>
    <t>悦心健康</t>
  </si>
  <si>
    <t>www.lixinger.com/analytics/company/sz/002162/2162/detail</t>
  </si>
  <si>
    <t>百大集团</t>
  </si>
  <si>
    <t>www.lixinger.com/analytics/company/sh/600865/600865/detail</t>
  </si>
  <si>
    <t>*ST海医</t>
  </si>
  <si>
    <t>www.lixinger.com/analytics/company/sh/600896/600896/detail</t>
  </si>
  <si>
    <t>金溢科技</t>
  </si>
  <si>
    <t>www.lixinger.com/analytics/company/sz/002869/2869/detail</t>
  </si>
  <si>
    <t>华兰股份</t>
  </si>
  <si>
    <t>www.lixinger.com/analytics/company/sz/301093/301093/detail</t>
  </si>
  <si>
    <t>光莆股份</t>
  </si>
  <si>
    <t>www.lixinger.com/analytics/company/sz/300632/300632/detail</t>
  </si>
  <si>
    <t>美盛文化</t>
  </si>
  <si>
    <t>www.lixinger.com/analytics/company/sz/002699/2699/detail</t>
  </si>
  <si>
    <t>瑞丰新材</t>
  </si>
  <si>
    <t>www.lixinger.com/analytics/company/sz/300910/300910/detail</t>
  </si>
  <si>
    <t>东方通</t>
  </si>
  <si>
    <t>www.lixinger.com/analytics/company/sz/300379/300379/detail</t>
  </si>
  <si>
    <t>ST花王</t>
  </si>
  <si>
    <t>www.lixinger.com/analytics/company/sh/603007/603007/detail</t>
  </si>
  <si>
    <t>动力源</t>
  </si>
  <si>
    <t>www.lixinger.com/analytics/company/sh/600405/600405/detail</t>
  </si>
  <si>
    <t>时空科技</t>
  </si>
  <si>
    <t>www.lixinger.com/analytics/company/sh/605178/605178/detail</t>
  </si>
  <si>
    <t>冠盛股份</t>
  </si>
  <si>
    <t>www.lixinger.com/analytics/company/sh/605088/605088/detail</t>
  </si>
  <si>
    <t>泰尔股份</t>
  </si>
  <si>
    <t>www.lixinger.com/analytics/company/sz/002347/2347/detail</t>
  </si>
  <si>
    <t>怡达股份</t>
  </si>
  <si>
    <t>www.lixinger.com/analytics/company/sz/300721/300721/detail</t>
  </si>
  <si>
    <t>奥尼电子</t>
  </si>
  <si>
    <t>www.lixinger.com/analytics/company/sz/301189/301189/detail</t>
  </si>
  <si>
    <t>百诚医药</t>
  </si>
  <si>
    <t>www.lixinger.com/analytics/company/sz/301096/301096/detail</t>
  </si>
  <si>
    <t>天准科技</t>
  </si>
  <si>
    <t>www.lixinger.com/analytics/company/sh/688003/688003/detail</t>
  </si>
  <si>
    <t>新柴股份</t>
  </si>
  <si>
    <t>www.lixinger.com/analytics/company/sz/301032/301032/detail</t>
  </si>
  <si>
    <t>合康新能</t>
  </si>
  <si>
    <t>www.lixinger.com/analytics/company/sz/300048/300048/detail</t>
  </si>
  <si>
    <t>皖通科技</t>
  </si>
  <si>
    <t>www.lixinger.com/analytics/company/sz/002331/2331/detail</t>
  </si>
  <si>
    <t>*ST浪奇</t>
  </si>
  <si>
    <t>洗护用品</t>
  </si>
  <si>
    <t>www.lixinger.com/analytics/company/sz/000523/523/detail</t>
  </si>
  <si>
    <t>*ST瑞德</t>
  </si>
  <si>
    <t>www.lixinger.com/analytics/company/sh/600666/600666/detail</t>
  </si>
  <si>
    <t>协创数据</t>
  </si>
  <si>
    <t>www.lixinger.com/analytics/company/sz/300857/300857/detail</t>
  </si>
  <si>
    <t>仕净科技</t>
  </si>
  <si>
    <t>www.lixinger.com/analytics/company/sz/301030/301030/detail</t>
  </si>
  <si>
    <t>长阳科技</t>
  </si>
  <si>
    <t>www.lixinger.com/analytics/company/sh/688299/688299/detail</t>
  </si>
  <si>
    <t>紫晶存储</t>
  </si>
  <si>
    <t>www.lixinger.com/analytics/company/sh/688086/688086/detail</t>
  </si>
  <si>
    <t>宏和科技</t>
  </si>
  <si>
    <t>www.lixinger.com/analytics/company/sh/603256/603256/detail</t>
  </si>
  <si>
    <t>*ST德威</t>
  </si>
  <si>
    <t>www.lixinger.com/analytics/company/sz/300325/300325/detail</t>
  </si>
  <si>
    <t>艾比森</t>
  </si>
  <si>
    <t>www.lixinger.com/analytics/company/sz/300389/300389/detail</t>
  </si>
  <si>
    <t>百普赛斯</t>
  </si>
  <si>
    <t>www.lixinger.com/analytics/company/sz/301080/301080/detail</t>
  </si>
  <si>
    <t>海得控制</t>
  </si>
  <si>
    <t>www.lixinger.com/analytics/company/sz/002184/2184/detail</t>
  </si>
  <si>
    <t>通光线缆</t>
  </si>
  <si>
    <t>www.lixinger.com/analytics/company/sz/300265/300265/detail</t>
  </si>
  <si>
    <t>福光股份</t>
  </si>
  <si>
    <t>www.lixinger.com/analytics/company/sh/688010/688010/detail</t>
  </si>
  <si>
    <t>三孚股份</t>
  </si>
  <si>
    <t>www.lixinger.com/analytics/company/sh/603938/603938/detail</t>
  </si>
  <si>
    <t>明新旭腾</t>
  </si>
  <si>
    <t>www.lixinger.com/analytics/company/sh/605068/605068/detail</t>
  </si>
  <si>
    <t>探路者</t>
  </si>
  <si>
    <t>www.lixinger.com/analytics/company/sz/300005/300005/detail</t>
  </si>
  <si>
    <t>*ST天首</t>
  </si>
  <si>
    <t>www.lixinger.com/analytics/company/sz/000611/611/detail</t>
  </si>
  <si>
    <t>中富通</t>
  </si>
  <si>
    <t>www.lixinger.com/analytics/company/sz/300560/300560/detail</t>
  </si>
  <si>
    <t>宜通世纪</t>
  </si>
  <si>
    <t>www.lixinger.com/analytics/company/sz/300310/300310/detail</t>
  </si>
  <si>
    <t>*ST香梨</t>
  </si>
  <si>
    <t>www.lixinger.com/analytics/company/sh/600506/600506/detail</t>
  </si>
  <si>
    <t>桂林旅游</t>
  </si>
  <si>
    <t>www.lixinger.com/analytics/company/sz/000978/978/detail</t>
  </si>
  <si>
    <t>贝肯能源</t>
  </si>
  <si>
    <t>www.lixinger.com/analytics/company/sz/002828/2828/detail</t>
  </si>
  <si>
    <t>国芳集团</t>
  </si>
  <si>
    <t>www.lixinger.com/analytics/company/sh/601086/601086/detail</t>
  </si>
  <si>
    <t>鹏翎股份</t>
  </si>
  <si>
    <t>www.lixinger.com/analytics/company/sz/300375/300375/detail</t>
  </si>
  <si>
    <t>嘉澳环保</t>
  </si>
  <si>
    <t>www.lixinger.com/analytics/company/sh/603822/603822/detail</t>
  </si>
  <si>
    <t>鼎龙文化</t>
  </si>
  <si>
    <t>www.lixinger.com/analytics/company/sz/002502/2502/detail</t>
  </si>
  <si>
    <t>盛通股份</t>
  </si>
  <si>
    <t>印刷</t>
  </si>
  <si>
    <t>www.lixinger.com/analytics/company/sz/002599/2599/detail</t>
  </si>
  <si>
    <t>迪哲医药</t>
  </si>
  <si>
    <t>www.lixinger.com/analytics/company/sh/688192/688192/detail</t>
  </si>
  <si>
    <t>申通地铁</t>
  </si>
  <si>
    <t>www.lixinger.com/analytics/company/sh/600834/600834/detail</t>
  </si>
  <si>
    <t>彩讯股份</t>
  </si>
  <si>
    <t>www.lixinger.com/analytics/company/sz/300634/300634/detail</t>
  </si>
  <si>
    <t>石英股份</t>
  </si>
  <si>
    <t>www.lixinger.com/analytics/company/sh/603688/603688/detail</t>
  </si>
  <si>
    <t>和胜股份</t>
  </si>
  <si>
    <t>www.lixinger.com/analytics/company/sz/002824/2824/detail</t>
  </si>
  <si>
    <t>昊志机电</t>
  </si>
  <si>
    <t>www.lixinger.com/analytics/company/sz/300503/300503/detail</t>
  </si>
  <si>
    <t>东方环宇</t>
  </si>
  <si>
    <t>www.lixinger.com/analytics/company/sh/603706/603706/detail</t>
  </si>
  <si>
    <t>福莱蒽特</t>
  </si>
  <si>
    <t>www.lixinger.com/analytics/company/sh/605566/605566/detail</t>
  </si>
  <si>
    <t>佐力药业</t>
  </si>
  <si>
    <t>www.lixinger.com/analytics/company/sz/300181/300181/detail</t>
  </si>
  <si>
    <t>江南高纤</t>
  </si>
  <si>
    <t>www.lixinger.com/analytics/company/sh/600527/600527/detail</t>
  </si>
  <si>
    <t>戎美股份</t>
  </si>
  <si>
    <t>www.lixinger.com/analytics/company/sz/301088/301088/detail</t>
  </si>
  <si>
    <t>炬光科技</t>
  </si>
  <si>
    <t>www.lixinger.com/analytics/company/sh/688167/688167/detail</t>
  </si>
  <si>
    <t>格林精密</t>
  </si>
  <si>
    <t>www.lixinger.com/analytics/company/sz/300968/300968/detail</t>
  </si>
  <si>
    <t>京北方</t>
  </si>
  <si>
    <t>www.lixinger.com/analytics/company/sz/002987/2987/detail</t>
  </si>
  <si>
    <t>天和防务</t>
  </si>
  <si>
    <t>www.lixinger.com/analytics/company/sz/300397/300397/detail</t>
  </si>
  <si>
    <t>龙头股份</t>
  </si>
  <si>
    <t>www.lixinger.com/analytics/company/sh/600630/600630/detail</t>
  </si>
  <si>
    <t>宏柏新材</t>
  </si>
  <si>
    <t>www.lixinger.com/analytics/company/sh/605366/605366/detail</t>
  </si>
  <si>
    <t>北大医药</t>
  </si>
  <si>
    <t>www.lixinger.com/analytics/company/sz/000788/788/detail</t>
  </si>
  <si>
    <t>盈康生命</t>
  </si>
  <si>
    <t>www.lixinger.com/analytics/company/sz/300143/300143/detail</t>
  </si>
  <si>
    <t>和远气体</t>
  </si>
  <si>
    <t>www.lixinger.com/analytics/company/sz/002971/2971/detail</t>
  </si>
  <si>
    <t>和元生物</t>
  </si>
  <si>
    <t>www.lixinger.com/analytics/company/sh/688238/688238/detail</t>
  </si>
  <si>
    <t>星徽股份</t>
  </si>
  <si>
    <t>www.lixinger.com/analytics/company/sz/300464/300464/detail</t>
  </si>
  <si>
    <t>西菱动力</t>
  </si>
  <si>
    <t>www.lixinger.com/analytics/company/sz/300733/300733/detail</t>
  </si>
  <si>
    <t>高澜股份</t>
  </si>
  <si>
    <t>www.lixinger.com/analytics/company/sz/300499/300499/detail</t>
  </si>
  <si>
    <t>福瑞股份</t>
  </si>
  <si>
    <t>www.lixinger.com/analytics/company/sz/300049/300049/detail</t>
  </si>
  <si>
    <t>襄阳轴承</t>
  </si>
  <si>
    <t>www.lixinger.com/analytics/company/sz/000678/678/detail</t>
  </si>
  <si>
    <t>圣阳股份</t>
  </si>
  <si>
    <t>www.lixinger.com/analytics/company/sz/002580/2580/detail</t>
  </si>
  <si>
    <t>恒信东方</t>
  </si>
  <si>
    <t>www.lixinger.com/analytics/company/sz/300081/300081/detail</t>
  </si>
  <si>
    <t>福鞍股份</t>
  </si>
  <si>
    <t>www.lixinger.com/analytics/company/sh/603315/603315/detail</t>
  </si>
  <si>
    <t>上能电气</t>
  </si>
  <si>
    <t>www.lixinger.com/analytics/company/sz/300827/300827/detail</t>
  </si>
  <si>
    <t>先河环保</t>
  </si>
  <si>
    <t>www.lixinger.com/analytics/company/sz/300137/300137/detail</t>
  </si>
  <si>
    <t>联得装备</t>
  </si>
  <si>
    <t>www.lixinger.com/analytics/company/sz/300545/300545/detail</t>
  </si>
  <si>
    <t>广联航空</t>
  </si>
  <si>
    <t>www.lixinger.com/analytics/company/sz/300900/300900/detail</t>
  </si>
  <si>
    <t>皓元医药</t>
  </si>
  <si>
    <t>www.lixinger.com/analytics/company/sh/688131/688131/detail</t>
  </si>
  <si>
    <t>火星人</t>
  </si>
  <si>
    <t>www.lixinger.com/analytics/company/sz/300894/300894/detail</t>
  </si>
  <si>
    <t>翔丰华</t>
  </si>
  <si>
    <t>www.lixinger.com/analytics/company/sz/300890/300890/detail</t>
  </si>
  <si>
    <t>建业股份</t>
  </si>
  <si>
    <t>www.lixinger.com/analytics/company/sh/603948/603948/detail</t>
  </si>
  <si>
    <t>新开普</t>
  </si>
  <si>
    <t>www.lixinger.com/analytics/company/sz/300248/300248/detail</t>
  </si>
  <si>
    <t>爱克股份</t>
  </si>
  <si>
    <t>www.lixinger.com/analytics/company/sz/300889/300889/detail</t>
  </si>
  <si>
    <t>海能实业</t>
  </si>
  <si>
    <t>www.lixinger.com/analytics/company/sz/300787/300787/detail</t>
  </si>
  <si>
    <t>济民医疗</t>
  </si>
  <si>
    <t>www.lixinger.com/analytics/company/sh/603222/603222/detail</t>
  </si>
  <si>
    <t>欢瑞世纪</t>
  </si>
  <si>
    <t>www.lixinger.com/analytics/company/sz/000892/892/detail</t>
  </si>
  <si>
    <t>蓝盾光电</t>
  </si>
  <si>
    <t>www.lixinger.com/analytics/company/sz/300862/300862/detail</t>
  </si>
  <si>
    <t>宝利国际</t>
  </si>
  <si>
    <t>www.lixinger.com/analytics/company/sz/300135/300135/detail</t>
  </si>
  <si>
    <t>鸿博股份</t>
  </si>
  <si>
    <t>www.lixinger.com/analytics/company/sz/002229/2229/detail</t>
  </si>
  <si>
    <t>百奥泰</t>
  </si>
  <si>
    <t>www.lixinger.com/analytics/company/sh/688177/688177/detail</t>
  </si>
  <si>
    <t>联环药业</t>
  </si>
  <si>
    <t>www.lixinger.com/analytics/company/sh/600513/600513/detail</t>
  </si>
  <si>
    <t>通灵股份</t>
  </si>
  <si>
    <t>www.lixinger.com/analytics/company/sz/301168/301168/detail</t>
  </si>
  <si>
    <t>巴比食品</t>
  </si>
  <si>
    <t>www.lixinger.com/analytics/company/sh/605338/605338/detail</t>
  </si>
  <si>
    <t>两面针</t>
  </si>
  <si>
    <t>www.lixinger.com/analytics/company/sh/600249/600249/detail</t>
  </si>
  <si>
    <t>北玻股份</t>
  </si>
  <si>
    <t>www.lixinger.com/analytics/company/sz/002613/2613/detail</t>
  </si>
  <si>
    <t>川金诺</t>
  </si>
  <si>
    <t>www.lixinger.com/analytics/company/sz/300505/300505/detail</t>
  </si>
  <si>
    <t>兰卫医学</t>
  </si>
  <si>
    <t>www.lixinger.com/analytics/company/sz/301060/301060/detail</t>
  </si>
  <si>
    <t>丽臣实业</t>
  </si>
  <si>
    <t>www.lixinger.com/analytics/company/sz/001218/1218/detail</t>
  </si>
  <si>
    <t>共创草坪</t>
  </si>
  <si>
    <t>www.lixinger.com/analytics/company/sh/605099/605099/detail</t>
  </si>
  <si>
    <t>前沿生物</t>
  </si>
  <si>
    <t>www.lixinger.com/analytics/company/sh/688221/688221/detail</t>
  </si>
  <si>
    <t>翔鹭钨业</t>
  </si>
  <si>
    <t>www.lixinger.com/analytics/company/sz/002842/2842/detail</t>
  </si>
  <si>
    <t>灵康药业</t>
  </si>
  <si>
    <t>www.lixinger.com/analytics/company/sh/603669/603669/detail</t>
  </si>
  <si>
    <t>新亚制程</t>
  </si>
  <si>
    <t>www.lixinger.com/analytics/company/sz/002388/2388/detail</t>
  </si>
  <si>
    <t>亚通股份</t>
  </si>
  <si>
    <t>www.lixinger.com/analytics/company/sh/600692/600692/detail</t>
  </si>
  <si>
    <t>信捷电气</t>
  </si>
  <si>
    <t>www.lixinger.com/analytics/company/sh/603416/603416/detail</t>
  </si>
  <si>
    <t>千禾味业</t>
  </si>
  <si>
    <t>www.lixinger.com/analytics/company/sh/603027/603027/detail</t>
  </si>
  <si>
    <t>立高食品</t>
  </si>
  <si>
    <t>www.lixinger.com/analytics/company/sz/300973/300973/detail</t>
  </si>
  <si>
    <t>粤宏远Ａ</t>
  </si>
  <si>
    <t>www.lixinger.com/analytics/company/sz/000573/573/detail</t>
  </si>
  <si>
    <t>电声股份</t>
  </si>
  <si>
    <t>www.lixinger.com/analytics/company/sz/300805/300805/detail</t>
  </si>
  <si>
    <t>佛慈制药</t>
  </si>
  <si>
    <t>www.lixinger.com/analytics/company/sz/002644/2644/detail</t>
  </si>
  <si>
    <t>云路股份</t>
  </si>
  <si>
    <t>www.lixinger.com/analytics/company/sh/688190/688190/detail</t>
  </si>
  <si>
    <t>澳弘电子</t>
  </si>
  <si>
    <t>www.lixinger.com/analytics/company/sh/605058/605058/detail</t>
  </si>
  <si>
    <t>三川智慧</t>
  </si>
  <si>
    <t>www.lixinger.com/analytics/company/sz/300066/300066/detail</t>
  </si>
  <si>
    <t>华尔泰</t>
  </si>
  <si>
    <t>www.lixinger.com/analytics/company/sz/001217/1217/detail</t>
  </si>
  <si>
    <t>创新医疗</t>
  </si>
  <si>
    <t>www.lixinger.com/analytics/company/sz/002173/2173/detail</t>
  </si>
  <si>
    <t>新益昌</t>
  </si>
  <si>
    <t>www.lixinger.com/analytics/company/sh/688383/688383/detail</t>
  </si>
  <si>
    <t>沙河股份</t>
  </si>
  <si>
    <t>www.lixinger.com/analytics/company/sz/000014/14/detail</t>
  </si>
  <si>
    <t>凌霄泵业</t>
  </si>
  <si>
    <t>www.lixinger.com/analytics/company/sz/002884/2884/detail</t>
  </si>
  <si>
    <t>英联股份</t>
  </si>
  <si>
    <t>www.lixinger.com/analytics/company/sz/002846/2846/detail</t>
  </si>
  <si>
    <t>春兰股份</t>
  </si>
  <si>
    <t>www.lixinger.com/analytics/company/sh/600854/600854/detail</t>
  </si>
  <si>
    <t>双环科技</t>
  </si>
  <si>
    <t>www.lixinger.com/analytics/company/sz/000707/707/detail</t>
  </si>
  <si>
    <t>浙江美大</t>
  </si>
  <si>
    <t>www.lixinger.com/analytics/company/sz/002677/2677/detail</t>
  </si>
  <si>
    <t>博通集成</t>
  </si>
  <si>
    <t>www.lixinger.com/analytics/company/sh/603068/603068/detail</t>
  </si>
  <si>
    <t>运机集团</t>
  </si>
  <si>
    <t>www.lixinger.com/analytics/company/sz/001288/1288/detail</t>
  </si>
  <si>
    <t>杰普特</t>
  </si>
  <si>
    <t>www.lixinger.com/analytics/company/sh/688025/688025/detail</t>
  </si>
  <si>
    <t>顺钠股份</t>
  </si>
  <si>
    <t>www.lixinger.com/analytics/company/sz/000533/533/detail</t>
  </si>
  <si>
    <t>大豪科技</t>
  </si>
  <si>
    <t>www.lixinger.com/analytics/company/sh/603025/603025/detail</t>
  </si>
  <si>
    <t>康隆达</t>
  </si>
  <si>
    <t>www.lixinger.com/analytics/company/sh/603665/603665/detail</t>
  </si>
  <si>
    <t>中兴商业</t>
  </si>
  <si>
    <t>www.lixinger.com/analytics/company/sz/000715/715/detail</t>
  </si>
  <si>
    <t>沃顿科技</t>
  </si>
  <si>
    <t>www.lixinger.com/analytics/company/sz/000920/920/detail</t>
  </si>
  <si>
    <t>瀚川智能</t>
  </si>
  <si>
    <t>www.lixinger.com/analytics/company/sh/688022/688022/detail</t>
  </si>
  <si>
    <t>三特索道</t>
  </si>
  <si>
    <t>www.lixinger.com/analytics/company/sz/002159/2159/detail</t>
  </si>
  <si>
    <t>联合光电</t>
  </si>
  <si>
    <t>www.lixinger.com/analytics/company/sz/300691/300691/detail</t>
  </si>
  <si>
    <t>红星发展</t>
  </si>
  <si>
    <t>www.lixinger.com/analytics/company/sh/600367/600367/detail</t>
  </si>
  <si>
    <t>海星股份</t>
  </si>
  <si>
    <t>www.lixinger.com/analytics/company/sh/603115/603115/detail</t>
  </si>
  <si>
    <t>上海沪工</t>
  </si>
  <si>
    <t>www.lixinger.com/analytics/company/sh/603131/603131/detail</t>
  </si>
  <si>
    <t>德利股份</t>
  </si>
  <si>
    <t>www.lixinger.com/analytics/company/sh/605198/605198/detail</t>
  </si>
  <si>
    <t>久其软件</t>
  </si>
  <si>
    <t>www.lixinger.com/analytics/company/sz/002279/2279/detail</t>
  </si>
  <si>
    <t>ST远程</t>
  </si>
  <si>
    <t>www.lixinger.com/analytics/company/sz/002692/2692/detail</t>
  </si>
  <si>
    <t>格灵深瞳</t>
  </si>
  <si>
    <t>www.lixinger.com/analytics/company/sh/688207/688207/detail</t>
  </si>
  <si>
    <t>金埔园林</t>
  </si>
  <si>
    <t>www.lixinger.com/analytics/company/sz/301098/301098/detail</t>
  </si>
  <si>
    <t>正威新材</t>
  </si>
  <si>
    <t>www.lixinger.com/analytics/company/sz/002201/2201/detail</t>
  </si>
  <si>
    <t>博杰股份</t>
  </si>
  <si>
    <t>www.lixinger.com/analytics/company/sz/002975/2975/detail</t>
  </si>
  <si>
    <t>奥普家居</t>
  </si>
  <si>
    <t>www.lixinger.com/analytics/company/sh/603551/603551/detail</t>
  </si>
  <si>
    <t>星湖科技</t>
  </si>
  <si>
    <t>www.lixinger.com/analytics/company/sh/600866/600866/detail</t>
  </si>
  <si>
    <t>金智科技</t>
  </si>
  <si>
    <t>www.lixinger.com/analytics/company/sz/002090/2090/detail</t>
  </si>
  <si>
    <t>深水海纳</t>
  </si>
  <si>
    <t>www.lixinger.com/analytics/company/sz/300961/300961/detail</t>
  </si>
  <si>
    <t>海鸥股份</t>
  </si>
  <si>
    <t>www.lixinger.com/analytics/company/sh/603269/603269/detail</t>
  </si>
  <si>
    <t>航宇科技</t>
  </si>
  <si>
    <t>www.lixinger.com/analytics/company/sh/688239/688239/detail</t>
  </si>
  <si>
    <t>獐子岛</t>
  </si>
  <si>
    <t>www.lixinger.com/analytics/company/sz/002069/2069/detail</t>
  </si>
  <si>
    <t>中亚股份</t>
  </si>
  <si>
    <t>www.lixinger.com/analytics/company/sz/300512/300512/detail</t>
  </si>
  <si>
    <t>云南锗业</t>
  </si>
  <si>
    <t>www.lixinger.com/analytics/company/sz/002428/2428/detail</t>
  </si>
  <si>
    <t>众信旅游</t>
  </si>
  <si>
    <t>www.lixinger.com/analytics/company/sz/002707/2707/detail</t>
  </si>
  <si>
    <t>晨丰科技</t>
  </si>
  <si>
    <t>www.lixinger.com/analytics/company/sh/603685/603685/detail</t>
  </si>
  <si>
    <t>罗平锌电</t>
  </si>
  <si>
    <t>www.lixinger.com/analytics/company/sz/002114/2114/detail</t>
  </si>
  <si>
    <t>天创时尚</t>
  </si>
  <si>
    <t>www.lixinger.com/analytics/company/sh/603608/603608/detail</t>
  </si>
  <si>
    <t>中能电气</t>
  </si>
  <si>
    <t>www.lixinger.com/analytics/company/sz/300062/300062/detail</t>
  </si>
  <si>
    <t>鼎捷软件</t>
  </si>
  <si>
    <t>www.lixinger.com/analytics/company/sz/300378/300378/detail</t>
  </si>
  <si>
    <t>金银河</t>
  </si>
  <si>
    <t>www.lixinger.com/analytics/company/sz/300619/300619/detail</t>
  </si>
  <si>
    <t>苏文电能</t>
  </si>
  <si>
    <t>www.lixinger.com/analytics/company/sz/300982/300982/detail</t>
  </si>
  <si>
    <t>洪通燃气</t>
  </si>
  <si>
    <t>www.lixinger.com/analytics/company/sh/605169/605169/detail</t>
  </si>
  <si>
    <t>望变电气</t>
  </si>
  <si>
    <t>www.lixinger.com/analytics/company/sh/603191/603191/detail</t>
  </si>
  <si>
    <t>中欣氟材</t>
  </si>
  <si>
    <t>www.lixinger.com/analytics/company/sz/002915/2915/detail</t>
  </si>
  <si>
    <t>长江通信</t>
  </si>
  <si>
    <t>www.lixinger.com/analytics/company/sh/600345/600345/detail</t>
  </si>
  <si>
    <t>智莱科技</t>
  </si>
  <si>
    <t>www.lixinger.com/analytics/company/sz/300771/300771/detail</t>
  </si>
  <si>
    <t>博力威</t>
  </si>
  <si>
    <t>www.lixinger.com/analytics/company/sh/688345/688345/detail</t>
  </si>
  <si>
    <t>ST星源</t>
  </si>
  <si>
    <t>www.lixinger.com/analytics/company/sz/000005/5/detail</t>
  </si>
  <si>
    <t>兴通股份</t>
  </si>
  <si>
    <t>www.lixinger.com/analytics/company/sh/603209/603209/detail</t>
  </si>
  <si>
    <t>声光电科</t>
  </si>
  <si>
    <t>www.lixinger.com/analytics/company/sh/600877/600877/detail</t>
  </si>
  <si>
    <t>长亮科技</t>
  </si>
  <si>
    <t>www.lixinger.com/analytics/company/sz/300348/300348/detail</t>
  </si>
  <si>
    <t>亨迪药业</t>
  </si>
  <si>
    <t>www.lixinger.com/analytics/company/sz/301211/301211/detail</t>
  </si>
  <si>
    <t>迪瑞医疗</t>
  </si>
  <si>
    <t>www.lixinger.com/analytics/company/sz/300396/300396/detail</t>
  </si>
  <si>
    <t>凯恩股份</t>
  </si>
  <si>
    <t>www.lixinger.com/analytics/company/sz/002012/2012/detail</t>
  </si>
  <si>
    <t>康芝药业</t>
  </si>
  <si>
    <t>www.lixinger.com/analytics/company/sz/300086/300086/detail</t>
  </si>
  <si>
    <t>科蓝软件</t>
  </si>
  <si>
    <t>www.lixinger.com/analytics/company/sz/300663/300663/detail</t>
  </si>
  <si>
    <t>威派格</t>
  </si>
  <si>
    <t>www.lixinger.com/analytics/company/sh/603956/603956/detail</t>
  </si>
  <si>
    <t>同兴环保</t>
  </si>
  <si>
    <t>www.lixinger.com/analytics/company/sz/003027/3027/detail</t>
  </si>
  <si>
    <t>韩建河山</t>
  </si>
  <si>
    <t>www.lixinger.com/analytics/company/sh/603616/603616/detail</t>
  </si>
  <si>
    <t>东信和平</t>
  </si>
  <si>
    <t>www.lixinger.com/analytics/company/sz/002017/2017/detail</t>
  </si>
  <si>
    <t>英科再生</t>
  </si>
  <si>
    <t>www.lixinger.com/analytics/company/sh/688087/688087/detail</t>
  </si>
  <si>
    <t>佳禾食品</t>
  </si>
  <si>
    <t>www.lixinger.com/analytics/company/sh/605300/605300/detail</t>
  </si>
  <si>
    <t>退市拉夏</t>
  </si>
  <si>
    <t>www.lixinger.com/analytics/company/sh/603157/603157/detail</t>
  </si>
  <si>
    <t>光韵达</t>
  </si>
  <si>
    <t>www.lixinger.com/analytics/company/sz/300227/300227/detail</t>
  </si>
  <si>
    <t>太龙股份</t>
  </si>
  <si>
    <t>www.lixinger.com/analytics/company/sz/300650/300650/detail</t>
  </si>
  <si>
    <t>先惠技术</t>
  </si>
  <si>
    <t>www.lixinger.com/analytics/company/sh/688155/688155/detail</t>
  </si>
  <si>
    <t>利德曼</t>
  </si>
  <si>
    <t>www.lixinger.com/analytics/company/sz/300289/300289/detail</t>
  </si>
  <si>
    <t>世纪瑞尔</t>
  </si>
  <si>
    <t>www.lixinger.com/analytics/company/sz/300150/300150/detail</t>
  </si>
  <si>
    <t>汇绿生态</t>
  </si>
  <si>
    <t>www.lixinger.com/analytics/company/sz/001267/1267/detail</t>
  </si>
  <si>
    <t>锦富技术</t>
  </si>
  <si>
    <t>www.lixinger.com/analytics/company/sz/300128/300128/detail</t>
  </si>
  <si>
    <t>特力Ｂ</t>
  </si>
  <si>
    <t>www.lixinger.com/analytics/company/sz/200025/200025/detail</t>
  </si>
  <si>
    <t>中际联合</t>
  </si>
  <si>
    <t>www.lixinger.com/analytics/company/sh/605305/605305/detail</t>
  </si>
  <si>
    <t>金健米业</t>
  </si>
  <si>
    <t>www.lixinger.com/analytics/company/sh/600127/600127/detail</t>
  </si>
  <si>
    <t>东方锆业</t>
  </si>
  <si>
    <t>www.lixinger.com/analytics/company/sz/002167/2167/detail</t>
  </si>
  <si>
    <t>哈尔斯</t>
  </si>
  <si>
    <t>www.lixinger.com/analytics/company/sz/002615/2615/detail</t>
  </si>
  <si>
    <t>ST信通</t>
  </si>
  <si>
    <t>www.lixinger.com/analytics/company/sh/600289/600289/detail</t>
  </si>
  <si>
    <t>海象新材</t>
  </si>
  <si>
    <t>www.lixinger.com/analytics/company/sz/003011/3011/detail</t>
  </si>
  <si>
    <t>恒银科技</t>
  </si>
  <si>
    <t>www.lixinger.com/analytics/company/sh/603106/603106/detail</t>
  </si>
  <si>
    <t>和顺石油</t>
  </si>
  <si>
    <t>www.lixinger.com/analytics/company/sh/603353/603353/detail</t>
  </si>
  <si>
    <t>温州宏丰</t>
  </si>
  <si>
    <t>www.lixinger.com/analytics/company/sz/300283/300283/detail</t>
  </si>
  <si>
    <t>博思软件</t>
  </si>
  <si>
    <t>www.lixinger.com/analytics/company/sz/300525/300525/detail</t>
  </si>
  <si>
    <t>隆利科技</t>
  </si>
  <si>
    <t>www.lixinger.com/analytics/company/sz/300752/300752/detail</t>
  </si>
  <si>
    <t>富佳股份</t>
  </si>
  <si>
    <t>www.lixinger.com/analytics/company/sh/603219/603219/detail</t>
  </si>
  <si>
    <t>龙源技术</t>
  </si>
  <si>
    <t>www.lixinger.com/analytics/company/sz/300105/300105/detail</t>
  </si>
  <si>
    <t>久远银海</t>
  </si>
  <si>
    <t>www.lixinger.com/analytics/company/sz/002777/2777/detail</t>
  </si>
  <si>
    <t>联诚精密</t>
  </si>
  <si>
    <t>www.lixinger.com/analytics/company/sz/002921/2921/detail</t>
  </si>
  <si>
    <t>天源环保</t>
  </si>
  <si>
    <t>www.lixinger.com/analytics/company/sz/301127/301127/detail</t>
  </si>
  <si>
    <t>海顺新材</t>
  </si>
  <si>
    <t>综合包装</t>
  </si>
  <si>
    <t>www.lixinger.com/analytics/company/sz/300501/300501/detail</t>
  </si>
  <si>
    <t>广济药业</t>
  </si>
  <si>
    <t>www.lixinger.com/analytics/company/sz/000952/952/detail</t>
  </si>
  <si>
    <t>瑞尔特</t>
  </si>
  <si>
    <t>www.lixinger.com/analytics/company/sz/002790/2790/detail</t>
  </si>
  <si>
    <t>宜安科技</t>
  </si>
  <si>
    <t>www.lixinger.com/analytics/company/sz/300328/300328/detail</t>
  </si>
  <si>
    <t>宁波东力</t>
  </si>
  <si>
    <t>www.lixinger.com/analytics/company/sz/002164/2164/detail</t>
  </si>
  <si>
    <t>珠海中富</t>
  </si>
  <si>
    <t>www.lixinger.com/analytics/company/sz/000659/659/detail</t>
  </si>
  <si>
    <t>英飞特</t>
  </si>
  <si>
    <t>www.lixinger.com/analytics/company/sz/300582/300582/detail</t>
  </si>
  <si>
    <t>读者传媒</t>
  </si>
  <si>
    <t>www.lixinger.com/analytics/company/sh/603999/603999/detail</t>
  </si>
  <si>
    <t>概伦电子</t>
  </si>
  <si>
    <t>www.lixinger.com/analytics/company/sh/688206/688206/detail</t>
  </si>
  <si>
    <t>安利股份</t>
  </si>
  <si>
    <t>www.lixinger.com/analytics/company/sz/300218/300218/detail</t>
  </si>
  <si>
    <t>*ST赛为</t>
  </si>
  <si>
    <t>www.lixinger.com/analytics/company/sz/300044/300044/detail</t>
  </si>
  <si>
    <t>迦南科技</t>
  </si>
  <si>
    <t>www.lixinger.com/analytics/company/sz/300412/300412/detail</t>
  </si>
  <si>
    <t>宏达股份</t>
  </si>
  <si>
    <t>www.lixinger.com/analytics/company/sh/600331/600331/detail</t>
  </si>
  <si>
    <t>嵘泰股份</t>
  </si>
  <si>
    <t>www.lixinger.com/analytics/company/sh/605133/605133/detail</t>
  </si>
  <si>
    <t>冰川网络</t>
  </si>
  <si>
    <t>www.lixinger.com/analytics/company/sz/300533/300533/detail</t>
  </si>
  <si>
    <t>丰元股份</t>
  </si>
  <si>
    <t>www.lixinger.com/analytics/company/sz/002805/2805/detail</t>
  </si>
  <si>
    <t>万泽股份</t>
  </si>
  <si>
    <t>www.lixinger.com/analytics/company/sz/000534/534/detail</t>
  </si>
  <si>
    <t>帅丰电器</t>
  </si>
  <si>
    <t>www.lixinger.com/analytics/company/sh/605336/605336/detail</t>
  </si>
  <si>
    <t>东土科技</t>
  </si>
  <si>
    <t>www.lixinger.com/analytics/company/sz/300353/300353/detail</t>
  </si>
  <si>
    <t>大地熊</t>
  </si>
  <si>
    <t>www.lixinger.com/analytics/company/sh/688077/688077/detail</t>
  </si>
  <si>
    <t>永安药业</t>
  </si>
  <si>
    <t>www.lixinger.com/analytics/company/sz/002365/2365/detail</t>
  </si>
  <si>
    <t>双象股份</t>
  </si>
  <si>
    <t>www.lixinger.com/analytics/company/sz/002395/2395/detail</t>
  </si>
  <si>
    <t>罗普斯金</t>
  </si>
  <si>
    <t>www.lixinger.com/analytics/company/sz/002333/2333/detail</t>
  </si>
  <si>
    <t>久盛电气</t>
  </si>
  <si>
    <t>www.lixinger.com/analytics/company/sz/301082/301082/detail</t>
  </si>
  <si>
    <t>大智慧</t>
  </si>
  <si>
    <t>www.lixinger.com/analytics/company/sh/601519/601519/detail</t>
  </si>
  <si>
    <t>蔚蓝生物</t>
  </si>
  <si>
    <t>www.lixinger.com/analytics/company/sh/603739/603739/detail</t>
  </si>
  <si>
    <t>ST云投</t>
  </si>
  <si>
    <t>www.lixinger.com/analytics/company/sz/002200/2200/detail</t>
  </si>
  <si>
    <t>英力股份</t>
  </si>
  <si>
    <t>www.lixinger.com/analytics/company/sz/300956/300956/detail</t>
  </si>
  <si>
    <t>*ST中葡</t>
  </si>
  <si>
    <t>www.lixinger.com/analytics/company/sh/600084/600084/detail</t>
  </si>
  <si>
    <t>优宁维</t>
  </si>
  <si>
    <t>www.lixinger.com/analytics/company/sz/301166/301166/detail</t>
  </si>
  <si>
    <t>金丹科技</t>
  </si>
  <si>
    <t>www.lixinger.com/analytics/company/sz/300829/300829/detail</t>
  </si>
  <si>
    <t>红墙股份</t>
  </si>
  <si>
    <t>www.lixinger.com/analytics/company/sz/002809/2809/detail</t>
  </si>
  <si>
    <t>力合科技</t>
  </si>
  <si>
    <t>www.lixinger.com/analytics/company/sz/300800/300800/detail</t>
  </si>
  <si>
    <t>华丰股份</t>
  </si>
  <si>
    <t>www.lixinger.com/analytics/company/sh/605100/605100/detail</t>
  </si>
  <si>
    <t>盟升电子</t>
  </si>
  <si>
    <t>www.lixinger.com/analytics/company/sh/688311/688311/detail</t>
  </si>
  <si>
    <t>联德股份</t>
  </si>
  <si>
    <t>www.lixinger.com/analytics/company/sh/605060/605060/detail</t>
  </si>
  <si>
    <t>中自科技</t>
  </si>
  <si>
    <t>www.lixinger.com/analytics/company/sh/688737/688737/detail</t>
  </si>
  <si>
    <t>东亚药业</t>
  </si>
  <si>
    <t>www.lixinger.com/analytics/company/sh/605177/605177/detail</t>
  </si>
  <si>
    <t>*ST安控</t>
  </si>
  <si>
    <t>www.lixinger.com/analytics/company/sz/300370/300370/detail</t>
  </si>
  <si>
    <t>畅联股份</t>
  </si>
  <si>
    <t>www.lixinger.com/analytics/company/sh/603648/603648/detail</t>
  </si>
  <si>
    <t>丹化科技</t>
  </si>
  <si>
    <t>www.lixinger.com/analytics/company/sh/600844/600844/detail</t>
  </si>
  <si>
    <t>英搏尔</t>
  </si>
  <si>
    <t>www.lixinger.com/analytics/company/sz/300681/300681/detail</t>
  </si>
  <si>
    <t>精准信息</t>
  </si>
  <si>
    <t>www.lixinger.com/analytics/company/sz/300099/300099/detail</t>
  </si>
  <si>
    <t>新金路</t>
  </si>
  <si>
    <t>www.lixinger.com/analytics/company/sz/000510/510/detail</t>
  </si>
  <si>
    <t>达刚控股</t>
  </si>
  <si>
    <t>www.lixinger.com/analytics/company/sz/300103/300103/detail</t>
  </si>
  <si>
    <t>汉宇集团</t>
  </si>
  <si>
    <t>www.lixinger.com/analytics/company/sz/300403/300403/detail</t>
  </si>
  <si>
    <t>申昊科技</t>
  </si>
  <si>
    <t>www.lixinger.com/analytics/company/sz/300853/300853/detail</t>
  </si>
  <si>
    <t>诚达药业</t>
  </si>
  <si>
    <t>www.lixinger.com/analytics/company/sz/301201/301201/detail</t>
  </si>
  <si>
    <t>厚普股份</t>
  </si>
  <si>
    <t>www.lixinger.com/analytics/company/sz/300471/300471/detail</t>
  </si>
  <si>
    <t>诺邦股份</t>
  </si>
  <si>
    <t>www.lixinger.com/analytics/company/sh/603238/603238/detail</t>
  </si>
  <si>
    <t>威创股份</t>
  </si>
  <si>
    <t>www.lixinger.com/analytics/company/sz/002308/2308/detail</t>
  </si>
  <si>
    <t>大湖股份</t>
  </si>
  <si>
    <t>www.lixinger.com/analytics/company/sh/600257/600257/detail</t>
  </si>
  <si>
    <t>华铭智能</t>
  </si>
  <si>
    <t>www.lixinger.com/analytics/company/sz/300462/300462/detail</t>
  </si>
  <si>
    <t>天银机电</t>
  </si>
  <si>
    <t>www.lixinger.com/analytics/company/sz/300342/300342/detail</t>
  </si>
  <si>
    <t>上海易连</t>
  </si>
  <si>
    <t>www.lixinger.com/analytics/company/sh/600836/600836/detail</t>
  </si>
  <si>
    <t>唯捷创芯</t>
  </si>
  <si>
    <t>www.lixinger.com/analytics/company/sh/688153/688153/detail</t>
  </si>
  <si>
    <t>杰美特</t>
  </si>
  <si>
    <t>www.lixinger.com/analytics/company/sz/300868/300868/detail</t>
  </si>
  <si>
    <t>好太太</t>
  </si>
  <si>
    <t>www.lixinger.com/analytics/company/sh/603848/603848/detail</t>
  </si>
  <si>
    <t>昂利康</t>
  </si>
  <si>
    <t>www.lixinger.com/analytics/company/sz/002940/2940/detail</t>
  </si>
  <si>
    <t>普莱柯</t>
  </si>
  <si>
    <t>www.lixinger.com/analytics/company/sh/603566/603566/detail</t>
  </si>
  <si>
    <t>运达科技</t>
  </si>
  <si>
    <t>www.lixinger.com/analytics/company/sz/300440/300440/detail</t>
  </si>
  <si>
    <t>正丹股份</t>
  </si>
  <si>
    <t>www.lixinger.com/analytics/company/sz/300641/300641/detail</t>
  </si>
  <si>
    <t>宝莱特</t>
  </si>
  <si>
    <t>www.lixinger.com/analytics/company/sz/300246/300246/detail</t>
  </si>
  <si>
    <t>博硕科技</t>
  </si>
  <si>
    <t>www.lixinger.com/analytics/company/sz/300951/300951/detail</t>
  </si>
  <si>
    <t>欣锐科技</t>
  </si>
  <si>
    <t>www.lixinger.com/analytics/company/sz/300745/300745/detail</t>
  </si>
  <si>
    <t>唐德影视</t>
  </si>
  <si>
    <t>www.lixinger.com/analytics/company/sz/300426/300426/detail</t>
  </si>
  <si>
    <t>万朗磁塑</t>
  </si>
  <si>
    <t>www.lixinger.com/analytics/company/sh/603150/603150/detail</t>
  </si>
  <si>
    <t>金枫酒业</t>
  </si>
  <si>
    <t>www.lixinger.com/analytics/company/sh/600616/600616/detail</t>
  </si>
  <si>
    <t>铂力特</t>
  </si>
  <si>
    <t>www.lixinger.com/analytics/company/sh/688333/688333/detail</t>
  </si>
  <si>
    <t>沃特股份</t>
  </si>
  <si>
    <t>www.lixinger.com/analytics/company/sz/002886/2886/detail</t>
  </si>
  <si>
    <t>嘉和美康</t>
  </si>
  <si>
    <t>www.lixinger.com/analytics/company/sh/688246/688246/detail</t>
  </si>
  <si>
    <t>辉煌科技</t>
  </si>
  <si>
    <t>www.lixinger.com/analytics/company/sz/002296/2296/detail</t>
  </si>
  <si>
    <t>宁波高发</t>
  </si>
  <si>
    <t>www.lixinger.com/analytics/company/sh/603788/603788/detail</t>
  </si>
  <si>
    <t>锦鸡股份</t>
  </si>
  <si>
    <t>www.lixinger.com/analytics/company/sz/300798/300798/detail</t>
  </si>
  <si>
    <t>君禾股份</t>
  </si>
  <si>
    <t>www.lixinger.com/analytics/company/sh/603617/603617/detail</t>
  </si>
  <si>
    <t>优博讯</t>
  </si>
  <si>
    <t>www.lixinger.com/analytics/company/sz/300531/300531/detail</t>
  </si>
  <si>
    <t>莲花健康</t>
  </si>
  <si>
    <t>www.lixinger.com/analytics/company/sh/600186/600186/detail</t>
  </si>
  <si>
    <t>同德化工</t>
  </si>
  <si>
    <t>www.lixinger.com/analytics/company/sz/002360/2360/detail</t>
  </si>
  <si>
    <t>南都物业</t>
  </si>
  <si>
    <t>www.lixinger.com/analytics/company/sh/603506/603506/detail</t>
  </si>
  <si>
    <t>上海雅仕</t>
  </si>
  <si>
    <t>www.lixinger.com/analytics/company/sh/603329/603329/detail</t>
  </si>
  <si>
    <t>裕兴股份</t>
  </si>
  <si>
    <t>www.lixinger.com/analytics/company/sz/300305/300305/detail</t>
  </si>
  <si>
    <t>正裕工业</t>
  </si>
  <si>
    <t>www.lixinger.com/analytics/company/sh/603089/603089/detail</t>
  </si>
  <si>
    <t>震安科技</t>
  </si>
  <si>
    <t>www.lixinger.com/analytics/company/sz/300767/300767/detail</t>
  </si>
  <si>
    <t>新经典</t>
  </si>
  <si>
    <t>www.lixinger.com/analytics/company/sh/603096/603096/detail</t>
  </si>
  <si>
    <t>新华锦</t>
  </si>
  <si>
    <t>www.lixinger.com/analytics/company/sh/600735/600735/detail</t>
  </si>
  <si>
    <t>超频三</t>
  </si>
  <si>
    <t>www.lixinger.com/analytics/company/sz/300647/300647/detail</t>
  </si>
  <si>
    <t>弘讯科技</t>
  </si>
  <si>
    <t>www.lixinger.com/analytics/company/sh/603015/603015/detail</t>
  </si>
  <si>
    <t>灿勤科技</t>
  </si>
  <si>
    <t>www.lixinger.com/analytics/company/sh/688182/688182/detail</t>
  </si>
  <si>
    <t>皮阿诺</t>
  </si>
  <si>
    <t>www.lixinger.com/analytics/company/sz/002853/2853/detail</t>
  </si>
  <si>
    <t>测绘股份</t>
  </si>
  <si>
    <t>www.lixinger.com/analytics/company/sz/300826/300826/detail</t>
  </si>
  <si>
    <t>创耀科技</t>
  </si>
  <si>
    <t>www.lixinger.com/analytics/company/sh/688259/688259/detail</t>
  </si>
  <si>
    <t>聆达股份</t>
  </si>
  <si>
    <t>www.lixinger.com/analytics/company/sz/300125/300125/detail</t>
  </si>
  <si>
    <t>均瑶健康</t>
  </si>
  <si>
    <t>www.lixinger.com/analytics/company/sh/605388/605388/detail</t>
  </si>
  <si>
    <t>濮阳惠成</t>
  </si>
  <si>
    <t>www.lixinger.com/analytics/company/sz/300481/300481/detail</t>
  </si>
  <si>
    <t>中国高科</t>
  </si>
  <si>
    <t>www.lixinger.com/analytics/company/sh/600730/600730/detail</t>
  </si>
  <si>
    <t>联明股份</t>
  </si>
  <si>
    <t>www.lixinger.com/analytics/company/sh/603006/603006/detail</t>
  </si>
  <si>
    <t>延江股份</t>
  </si>
  <si>
    <t>www.lixinger.com/analytics/company/sz/300658/300658/detail</t>
  </si>
  <si>
    <t>李子园</t>
  </si>
  <si>
    <t>www.lixinger.com/analytics/company/sh/605337/605337/detail</t>
  </si>
  <si>
    <t>朗科智能</t>
  </si>
  <si>
    <t>www.lixinger.com/analytics/company/sz/300543/300543/detail</t>
  </si>
  <si>
    <t>中文在线</t>
  </si>
  <si>
    <t>www.lixinger.com/analytics/company/sz/300364/300364/detail</t>
  </si>
  <si>
    <t>金莱特</t>
  </si>
  <si>
    <t>www.lixinger.com/analytics/company/sz/002723/2723/detail</t>
  </si>
  <si>
    <t>盛剑环境</t>
  </si>
  <si>
    <t>www.lixinger.com/analytics/company/sh/603324/603324/detail</t>
  </si>
  <si>
    <t>金石资源</t>
  </si>
  <si>
    <t>www.lixinger.com/analytics/company/sh/603505/603505/detail</t>
  </si>
  <si>
    <t>善水科技</t>
  </si>
  <si>
    <t>www.lixinger.com/analytics/company/sz/301190/301190/detail</t>
  </si>
  <si>
    <t>立昂技术</t>
  </si>
  <si>
    <t>www.lixinger.com/analytics/company/sz/300603/300603/detail</t>
  </si>
  <si>
    <t>豪尔赛</t>
  </si>
  <si>
    <t>www.lixinger.com/analytics/company/sz/002963/2963/detail</t>
  </si>
  <si>
    <t>德龙汇能</t>
  </si>
  <si>
    <t>www.lixinger.com/analytics/company/sz/000593/593/detail</t>
  </si>
  <si>
    <t>英杰电气</t>
  </si>
  <si>
    <t>www.lixinger.com/analytics/company/sz/300820/300820/detail</t>
  </si>
  <si>
    <t>维力医疗</t>
  </si>
  <si>
    <t>www.lixinger.com/analytics/company/sh/603309/603309/detail</t>
  </si>
  <si>
    <t>我乐家居</t>
  </si>
  <si>
    <t>www.lixinger.com/analytics/company/sh/603326/603326/detail</t>
  </si>
  <si>
    <t>八亿时空</t>
  </si>
  <si>
    <t>www.lixinger.com/analytics/company/sh/688181/688181/detail</t>
  </si>
  <si>
    <t>首都在线</t>
  </si>
  <si>
    <t>www.lixinger.com/analytics/company/sz/300846/300846/detail</t>
  </si>
  <si>
    <t>苏奥传感</t>
  </si>
  <si>
    <t>www.lixinger.com/analytics/company/sz/300507/300507/detail</t>
  </si>
  <si>
    <t>国投中鲁</t>
  </si>
  <si>
    <t>www.lixinger.com/analytics/company/sh/600962/600962/detail</t>
  </si>
  <si>
    <t>东宝生物</t>
  </si>
  <si>
    <t>www.lixinger.com/analytics/company/sz/300239/300239/detail</t>
  </si>
  <si>
    <t>振芯科技</t>
  </si>
  <si>
    <t>www.lixinger.com/analytics/company/sz/300101/300101/detail</t>
  </si>
  <si>
    <t>奥拓电子</t>
  </si>
  <si>
    <t>www.lixinger.com/analytics/company/sz/002587/2587/detail</t>
  </si>
  <si>
    <t>江化微</t>
  </si>
  <si>
    <t>www.lixinger.com/analytics/company/sh/603078/603078/detail</t>
  </si>
  <si>
    <t>锐明技术</t>
  </si>
  <si>
    <t>www.lixinger.com/analytics/company/sz/002970/2970/detail</t>
  </si>
  <si>
    <t>卫光生物</t>
  </si>
  <si>
    <t>www.lixinger.com/analytics/company/sz/002880/2880/detail</t>
  </si>
  <si>
    <t>龙利得</t>
  </si>
  <si>
    <t>www.lixinger.com/analytics/company/sz/300883/300883/detail</t>
  </si>
  <si>
    <t>蓝英装备</t>
  </si>
  <si>
    <t>www.lixinger.com/analytics/company/sz/300293/300293/detail</t>
  </si>
  <si>
    <t>芯导科技</t>
  </si>
  <si>
    <t>www.lixinger.com/analytics/company/sh/688230/688230/detail</t>
  </si>
  <si>
    <t>盐津铺子</t>
  </si>
  <si>
    <t>www.lixinger.com/analytics/company/sz/002847/2847/detail</t>
  </si>
  <si>
    <t>*ST利源</t>
  </si>
  <si>
    <t>www.lixinger.com/analytics/company/sz/002501/2501/detail</t>
  </si>
  <si>
    <t>名家汇</t>
  </si>
  <si>
    <t>www.lixinger.com/analytics/company/sz/300506/300506/detail</t>
  </si>
  <si>
    <t>诺泰生物</t>
  </si>
  <si>
    <t>www.lixinger.com/analytics/company/sh/688076/688076/detail</t>
  </si>
  <si>
    <t>民丰特纸</t>
  </si>
  <si>
    <t>www.lixinger.com/analytics/company/sh/600235/600235/detail</t>
  </si>
  <si>
    <t>汇通能源</t>
  </si>
  <si>
    <t>www.lixinger.com/analytics/company/sh/600605/600605/detail</t>
  </si>
  <si>
    <t>翔宇医疗</t>
  </si>
  <si>
    <t>www.lixinger.com/analytics/company/sh/688626/688626/detail</t>
  </si>
  <si>
    <t>信隆健康</t>
  </si>
  <si>
    <t>www.lixinger.com/analytics/company/sz/002105/2105/detail</t>
  </si>
  <si>
    <t>瑞凌股份</t>
  </si>
  <si>
    <t>www.lixinger.com/analytics/company/sz/300154/300154/detail</t>
  </si>
  <si>
    <t>联创股份</t>
  </si>
  <si>
    <t>www.lixinger.com/analytics/company/sz/300343/300343/detail</t>
  </si>
  <si>
    <t>凯因科技</t>
  </si>
  <si>
    <t>www.lixinger.com/analytics/company/sh/688687/688687/detail</t>
  </si>
  <si>
    <t>先进数通</t>
  </si>
  <si>
    <t>www.lixinger.com/analytics/company/sz/300541/300541/detail</t>
  </si>
  <si>
    <t>奥来德</t>
  </si>
  <si>
    <t>www.lixinger.com/analytics/company/sh/688378/688378/detail</t>
  </si>
  <si>
    <t>西安旅游</t>
  </si>
  <si>
    <t>www.lixinger.com/analytics/company/sz/000610/610/detail</t>
  </si>
  <si>
    <t>恒宝股份</t>
  </si>
  <si>
    <t>www.lixinger.com/analytics/company/sz/002104/2104/detail</t>
  </si>
  <si>
    <t>宝色股份</t>
  </si>
  <si>
    <t>www.lixinger.com/analytics/company/sz/300402/300402/detail</t>
  </si>
  <si>
    <t>罗普特</t>
  </si>
  <si>
    <t>www.lixinger.com/analytics/company/sh/688619/688619/detail</t>
  </si>
  <si>
    <t>快意电梯</t>
  </si>
  <si>
    <t>www.lixinger.com/analytics/company/sz/002774/2774/detail</t>
  </si>
  <si>
    <t>浩洋股份</t>
  </si>
  <si>
    <t>www.lixinger.com/analytics/company/sz/300833/300833/detail</t>
  </si>
  <si>
    <t>航新科技</t>
  </si>
  <si>
    <t>www.lixinger.com/analytics/company/sz/300424/300424/detail</t>
  </si>
  <si>
    <t>每日互动</t>
  </si>
  <si>
    <t>www.lixinger.com/analytics/company/sz/300766/300766/detail</t>
  </si>
  <si>
    <t>汉森制药</t>
  </si>
  <si>
    <t>www.lixinger.com/analytics/company/sz/002412/2412/detail</t>
  </si>
  <si>
    <t>开能健康</t>
  </si>
  <si>
    <t>www.lixinger.com/analytics/company/sz/300272/300272/detail</t>
  </si>
  <si>
    <t>恒泰艾普</t>
  </si>
  <si>
    <t>www.lixinger.com/analytics/company/sz/300157/300157/detail</t>
  </si>
  <si>
    <t>华力创通</t>
  </si>
  <si>
    <t>www.lixinger.com/analytics/company/sz/300045/300045/detail</t>
  </si>
  <si>
    <t>高盟新材</t>
  </si>
  <si>
    <t>www.lixinger.com/analytics/company/sz/300200/300200/detail</t>
  </si>
  <si>
    <t>泰坦股份</t>
  </si>
  <si>
    <t>www.lixinger.com/analytics/company/sz/003036/3036/detail</t>
  </si>
  <si>
    <t>王子新材</t>
  </si>
  <si>
    <t>www.lixinger.com/analytics/company/sz/002735/2735/detail</t>
  </si>
  <si>
    <t>汉王科技</t>
  </si>
  <si>
    <t>www.lixinger.com/analytics/company/sz/002362/2362/detail</t>
  </si>
  <si>
    <t>冀东装备</t>
  </si>
  <si>
    <t>www.lixinger.com/analytics/company/sz/000856/856/detail</t>
  </si>
  <si>
    <t>光庭信息</t>
  </si>
  <si>
    <t>www.lixinger.com/analytics/company/sz/301221/301221/detail</t>
  </si>
  <si>
    <t>山东章鼓</t>
  </si>
  <si>
    <t>www.lixinger.com/analytics/company/sz/002598/2598/detail</t>
  </si>
  <si>
    <t>爱迪尔</t>
  </si>
  <si>
    <t>www.lixinger.com/analytics/company/sz/002740/2740/detail</t>
  </si>
  <si>
    <t>芯源微</t>
  </si>
  <si>
    <t>www.lixinger.com/analytics/company/sh/688037/688037/detail</t>
  </si>
  <si>
    <t>盛航股份</t>
  </si>
  <si>
    <t>www.lixinger.com/analytics/company/sz/001205/1205/detail</t>
  </si>
  <si>
    <t>有友食品</t>
  </si>
  <si>
    <t>www.lixinger.com/analytics/company/sh/603697/603697/detail</t>
  </si>
  <si>
    <t>新洁能</t>
  </si>
  <si>
    <t>www.lixinger.com/analytics/company/sh/605111/605111/detail</t>
  </si>
  <si>
    <t>山石网科</t>
  </si>
  <si>
    <t>www.lixinger.com/analytics/company/sh/688030/688030/detail</t>
  </si>
  <si>
    <t>鹿山新材</t>
  </si>
  <si>
    <t>www.lixinger.com/analytics/company/sh/603051/603051/detail</t>
  </si>
  <si>
    <t>宁水集团</t>
  </si>
  <si>
    <t>www.lixinger.com/analytics/company/sh/603700/603700/detail</t>
  </si>
  <si>
    <t>富春染织</t>
  </si>
  <si>
    <t>www.lixinger.com/analytics/company/sh/605189/605189/detail</t>
  </si>
  <si>
    <t>顺威股份</t>
  </si>
  <si>
    <t>www.lixinger.com/analytics/company/sz/002676/2676/detail</t>
  </si>
  <si>
    <t>迎丰股份</t>
  </si>
  <si>
    <t>www.lixinger.com/analytics/company/sh/605055/605055/detail</t>
  </si>
  <si>
    <t>理邦仪器</t>
  </si>
  <si>
    <t>www.lixinger.com/analytics/company/sz/300206/300206/detail</t>
  </si>
  <si>
    <t>彩虹集团</t>
  </si>
  <si>
    <t>www.lixinger.com/analytics/company/sz/003023/3023/detail</t>
  </si>
  <si>
    <t>可立克</t>
  </si>
  <si>
    <t>www.lixinger.com/analytics/company/sz/002782/2782/detail</t>
  </si>
  <si>
    <t>梦天家居</t>
  </si>
  <si>
    <t>www.lixinger.com/analytics/company/sh/603216/603216/detail</t>
  </si>
  <si>
    <t>星云股份</t>
  </si>
  <si>
    <t>www.lixinger.com/analytics/company/sz/300648/300648/detail</t>
  </si>
  <si>
    <t>长缆科技</t>
  </si>
  <si>
    <t>www.lixinger.com/analytics/company/sz/002879/2879/detail</t>
  </si>
  <si>
    <t>国光电气</t>
  </si>
  <si>
    <t>www.lixinger.com/analytics/company/sh/688776/688776/detail</t>
  </si>
  <si>
    <t>超讯通信</t>
  </si>
  <si>
    <t>www.lixinger.com/analytics/company/sh/603322/603322/detail</t>
  </si>
  <si>
    <t>浙江世宝</t>
  </si>
  <si>
    <t>www.lixinger.com/analytics/company/sz/002703/2703/detail</t>
  </si>
  <si>
    <t>镇洋发展</t>
  </si>
  <si>
    <t>www.lixinger.com/analytics/company/sh/603213/603213/detail</t>
  </si>
  <si>
    <t>中岩大地</t>
  </si>
  <si>
    <t>www.lixinger.com/analytics/company/sz/003001/3001/detail</t>
  </si>
  <si>
    <t>南新制药</t>
  </si>
  <si>
    <t>www.lixinger.com/analytics/company/sh/688189/688189/detail</t>
  </si>
  <si>
    <t>值得买</t>
  </si>
  <si>
    <t>www.lixinger.com/analytics/company/sz/300785/300785/detail</t>
  </si>
  <si>
    <t>乐鑫科技</t>
  </si>
  <si>
    <t>www.lixinger.com/analytics/company/sh/688018/688018/detail</t>
  </si>
  <si>
    <t>绿的谐波</t>
  </si>
  <si>
    <t>www.lixinger.com/analytics/company/sh/688017/688017/detail</t>
  </si>
  <si>
    <t>朗迪集团</t>
  </si>
  <si>
    <t>www.lixinger.com/analytics/company/sh/603726/603726/detail</t>
  </si>
  <si>
    <t>倍杰特</t>
  </si>
  <si>
    <t>www.lixinger.com/analytics/company/sz/300774/300774/detail</t>
  </si>
  <si>
    <t>爱博医疗</t>
  </si>
  <si>
    <t>www.lixinger.com/analytics/company/sh/688050/688050/detail</t>
  </si>
  <si>
    <t>南京化纤</t>
  </si>
  <si>
    <t>www.lixinger.com/analytics/company/sh/600889/600889/detail</t>
  </si>
  <si>
    <t>福蓉科技</t>
  </si>
  <si>
    <t>www.lixinger.com/analytics/company/sh/603327/603327/detail</t>
  </si>
  <si>
    <t>中科星图</t>
  </si>
  <si>
    <t>www.lixinger.com/analytics/company/sh/688568/688568/detail</t>
  </si>
  <si>
    <t>丰山集团</t>
  </si>
  <si>
    <t>www.lixinger.com/analytics/company/sh/603810/603810/detail</t>
  </si>
  <si>
    <t>东港股份</t>
  </si>
  <si>
    <t>www.lixinger.com/analytics/company/sz/002117/2117/detail</t>
  </si>
  <si>
    <t>洁雅股份</t>
  </si>
  <si>
    <t>www.lixinger.com/analytics/company/sz/301108/301108/detail</t>
  </si>
  <si>
    <t>五方光电</t>
  </si>
  <si>
    <t>www.lixinger.com/analytics/company/sz/002962/2962/detail</t>
  </si>
  <si>
    <t>*ST网力</t>
  </si>
  <si>
    <t>www.lixinger.com/analytics/company/sz/300367/300367/detail</t>
  </si>
  <si>
    <t>可靠股份</t>
  </si>
  <si>
    <t>www.lixinger.com/analytics/company/sz/301009/301009/detail</t>
  </si>
  <si>
    <t>顾地科技</t>
  </si>
  <si>
    <t>www.lixinger.com/analytics/company/sz/002694/2694/detail</t>
  </si>
  <si>
    <t>长龄液压</t>
  </si>
  <si>
    <t>www.lixinger.com/analytics/company/sh/605389/605389/detail</t>
  </si>
  <si>
    <t>浔兴股份</t>
  </si>
  <si>
    <t>www.lixinger.com/analytics/company/sz/002098/2098/detail</t>
  </si>
  <si>
    <t>惠泰医疗</t>
  </si>
  <si>
    <t>www.lixinger.com/analytics/company/sh/688617/688617/detail</t>
  </si>
  <si>
    <t>恒铭达</t>
  </si>
  <si>
    <t>www.lixinger.com/analytics/company/sz/002947/2947/detail</t>
  </si>
  <si>
    <t>康强电子</t>
  </si>
  <si>
    <t>www.lixinger.com/analytics/company/sz/002119/2119/detail</t>
  </si>
  <si>
    <t>太和水</t>
  </si>
  <si>
    <t>www.lixinger.com/analytics/company/sh/605081/605081/detail</t>
  </si>
  <si>
    <t>拉芳家化</t>
  </si>
  <si>
    <t>www.lixinger.com/analytics/company/sh/603630/603630/detail</t>
  </si>
  <si>
    <t>泰恩康</t>
  </si>
  <si>
    <t>www.lixinger.com/analytics/company/sz/301263/301263/detail</t>
  </si>
  <si>
    <t>咸亨国际</t>
  </si>
  <si>
    <t>www.lixinger.com/analytics/company/sh/605056/605056/detail</t>
  </si>
  <si>
    <t>利柏特</t>
  </si>
  <si>
    <t>www.lixinger.com/analytics/company/sh/605167/605167/detail</t>
  </si>
  <si>
    <t>泰晶科技</t>
  </si>
  <si>
    <t>www.lixinger.com/analytics/company/sh/603738/603738/detail</t>
  </si>
  <si>
    <t>亚联发展</t>
  </si>
  <si>
    <t>www.lixinger.com/analytics/company/sz/002316/2316/detail</t>
  </si>
  <si>
    <t>微芯生物</t>
  </si>
  <si>
    <t>www.lixinger.com/analytics/company/sh/688321/688321/detail</t>
  </si>
  <si>
    <t>通润装备</t>
  </si>
  <si>
    <t>www.lixinger.com/analytics/company/sz/002150/2150/detail</t>
  </si>
  <si>
    <t>普冉股份</t>
  </si>
  <si>
    <t>www.lixinger.com/analytics/company/sh/688766/688766/detail</t>
  </si>
  <si>
    <t>汉嘉设计</t>
  </si>
  <si>
    <t>www.lixinger.com/analytics/company/sz/300746/300746/detail</t>
  </si>
  <si>
    <t>宏达高科</t>
  </si>
  <si>
    <t>www.lixinger.com/analytics/company/sz/002144/2144/detail</t>
  </si>
  <si>
    <t>神通科技</t>
  </si>
  <si>
    <t>www.lixinger.com/analytics/company/sh/605228/605228/detail</t>
  </si>
  <si>
    <t>启明信息</t>
  </si>
  <si>
    <t>www.lixinger.com/analytics/company/sz/002232/2232/detail</t>
  </si>
  <si>
    <t>兆新股份</t>
  </si>
  <si>
    <t>www.lixinger.com/analytics/company/sz/002256/2256/detail</t>
  </si>
  <si>
    <t>*ST圣亚</t>
  </si>
  <si>
    <t>www.lixinger.com/analytics/company/sh/600593/600593/detail</t>
  </si>
  <si>
    <t>飞天诚信</t>
  </si>
  <si>
    <t>www.lixinger.com/analytics/company/sz/300386/300386/detail</t>
  </si>
  <si>
    <t>睿能科技</t>
  </si>
  <si>
    <t>www.lixinger.com/analytics/company/sh/603933/603933/detail</t>
  </si>
  <si>
    <t>鸿富瀚</t>
  </si>
  <si>
    <t>www.lixinger.com/analytics/company/sz/301086/301086/detail</t>
  </si>
  <si>
    <t>臻镭科技</t>
  </si>
  <si>
    <t>www.lixinger.com/analytics/company/sh/688270/688270/detail</t>
  </si>
  <si>
    <t>招标股份</t>
  </si>
  <si>
    <t>www.lixinger.com/analytics/company/sz/301136/301136/detail</t>
  </si>
  <si>
    <t>清源股份</t>
  </si>
  <si>
    <t>www.lixinger.com/analytics/company/sh/603628/603628/detail</t>
  </si>
  <si>
    <t>万德斯</t>
  </si>
  <si>
    <t>www.lixinger.com/analytics/company/sh/688178/688178/detail</t>
  </si>
  <si>
    <t>百达精工</t>
  </si>
  <si>
    <t>www.lixinger.com/analytics/company/sh/603331/603331/detail</t>
  </si>
  <si>
    <t>ST起步</t>
  </si>
  <si>
    <t>www.lixinger.com/analytics/company/sh/603557/603557/detail</t>
  </si>
  <si>
    <t>天奥电子</t>
  </si>
  <si>
    <t>www.lixinger.com/analytics/company/sz/002935/2935/detail</t>
  </si>
  <si>
    <t>惠伦晶体</t>
  </si>
  <si>
    <t>www.lixinger.com/analytics/company/sz/300460/300460/detail</t>
  </si>
  <si>
    <t>建龙微纳</t>
  </si>
  <si>
    <t>www.lixinger.com/analytics/company/sh/688357/688357/detail</t>
  </si>
  <si>
    <t>华脉科技</t>
  </si>
  <si>
    <t>www.lixinger.com/analytics/company/sh/603042/603042/detail</t>
  </si>
  <si>
    <t>哈焊华通</t>
  </si>
  <si>
    <t>www.lixinger.com/analytics/company/sz/301137/301137/detail</t>
  </si>
  <si>
    <t>高凌信息</t>
  </si>
  <si>
    <t>www.lixinger.com/analytics/company/sh/688175/688175/detail</t>
  </si>
  <si>
    <t>楚天龙</t>
  </si>
  <si>
    <t>www.lixinger.com/analytics/company/sz/003040/3040/detail</t>
  </si>
  <si>
    <t>众源新材</t>
  </si>
  <si>
    <t>www.lixinger.com/analytics/company/sh/603527/603527/detail</t>
  </si>
  <si>
    <t>金春股份</t>
  </si>
  <si>
    <t>www.lixinger.com/analytics/company/sz/300877/300877/detail</t>
  </si>
  <si>
    <t>寿仙谷</t>
  </si>
  <si>
    <t>www.lixinger.com/analytics/company/sh/603896/603896/detail</t>
  </si>
  <si>
    <t>秀强股份</t>
  </si>
  <si>
    <t>www.lixinger.com/analytics/company/sz/300160/300160/detail</t>
  </si>
  <si>
    <t>明冠新材</t>
  </si>
  <si>
    <t>www.lixinger.com/analytics/company/sh/688560/688560/detail</t>
  </si>
  <si>
    <t>宝明科技</t>
  </si>
  <si>
    <t>www.lixinger.com/analytics/company/sz/002992/2992/detail</t>
  </si>
  <si>
    <t>帝科股份</t>
  </si>
  <si>
    <t>www.lixinger.com/analytics/company/sz/300842/300842/detail</t>
  </si>
  <si>
    <t>亚翔集成</t>
  </si>
  <si>
    <t>www.lixinger.com/analytics/company/sh/603929/603929/detail</t>
  </si>
  <si>
    <t>晨光新材</t>
  </si>
  <si>
    <t>www.lixinger.com/analytics/company/sh/605399/605399/detail</t>
  </si>
  <si>
    <t>蠡湖股份</t>
  </si>
  <si>
    <t>www.lixinger.com/analytics/company/sz/300694/300694/detail</t>
  </si>
  <si>
    <t>罗博特科</t>
  </si>
  <si>
    <t>www.lixinger.com/analytics/company/sz/300757/300757/detail</t>
  </si>
  <si>
    <t>三友医疗</t>
  </si>
  <si>
    <t>www.lixinger.com/analytics/company/sh/688085/688085/detail</t>
  </si>
  <si>
    <t>元隆雅图</t>
  </si>
  <si>
    <t>www.lixinger.com/analytics/company/sz/002878/2878/detail</t>
  </si>
  <si>
    <t>凤竹纺织</t>
  </si>
  <si>
    <t>www.lixinger.com/analytics/company/sh/600493/600493/detail</t>
  </si>
  <si>
    <t>圣龙股份</t>
  </si>
  <si>
    <t>www.lixinger.com/analytics/company/sh/603178/603178/detail</t>
  </si>
  <si>
    <t>新疆火炬</t>
  </si>
  <si>
    <t>www.lixinger.com/analytics/company/sh/603080/603080/detail</t>
  </si>
  <si>
    <t>中一科技</t>
  </si>
  <si>
    <t>www.lixinger.com/analytics/company/sz/301150/301150/detail</t>
  </si>
  <si>
    <t>中新赛克</t>
  </si>
  <si>
    <t>www.lixinger.com/analytics/company/sz/002912/2912/detail</t>
  </si>
  <si>
    <t>特一药业</t>
  </si>
  <si>
    <t>www.lixinger.com/analytics/company/sz/002728/2728/detail</t>
  </si>
  <si>
    <t>福达合金</t>
  </si>
  <si>
    <t>www.lixinger.com/analytics/company/sh/603045/603045/detail</t>
  </si>
  <si>
    <t>双乐股份</t>
  </si>
  <si>
    <t>www.lixinger.com/analytics/company/sz/301036/301036/detail</t>
  </si>
  <si>
    <t>神马电力</t>
  </si>
  <si>
    <t>www.lixinger.com/analytics/company/sh/603530/603530/detail</t>
  </si>
  <si>
    <t>海默科技</t>
  </si>
  <si>
    <t>www.lixinger.com/analytics/company/sz/300084/300084/detail</t>
  </si>
  <si>
    <t>迪威尔</t>
  </si>
  <si>
    <t>www.lixinger.com/analytics/company/sh/688377/688377/detail</t>
  </si>
  <si>
    <t>福建金森</t>
  </si>
  <si>
    <t>www.lixinger.com/analytics/company/sz/002679/2679/detail</t>
  </si>
  <si>
    <t>国光股份</t>
  </si>
  <si>
    <t>www.lixinger.com/analytics/company/sz/002749/2749/detail</t>
  </si>
  <si>
    <t>法尔胜</t>
  </si>
  <si>
    <t>www.lixinger.com/analytics/company/sz/000890/890/detail</t>
  </si>
  <si>
    <t>富士莱</t>
  </si>
  <si>
    <t>www.lixinger.com/analytics/company/sz/301258/301258/detail</t>
  </si>
  <si>
    <t>德恩精工</t>
  </si>
  <si>
    <t>www.lixinger.com/analytics/company/sz/300780/300780/detail</t>
  </si>
  <si>
    <t>远大智能</t>
  </si>
  <si>
    <t>www.lixinger.com/analytics/company/sz/002689/2689/detail</t>
  </si>
  <si>
    <t>佳力图</t>
  </si>
  <si>
    <t>www.lixinger.com/analytics/company/sh/603912/603912/detail</t>
  </si>
  <si>
    <t>欧科亿</t>
  </si>
  <si>
    <t>www.lixinger.com/analytics/company/sh/688308/688308/detail</t>
  </si>
  <si>
    <t>国盛智科</t>
  </si>
  <si>
    <t>www.lixinger.com/analytics/company/sh/688558/688558/detail</t>
  </si>
  <si>
    <t>南风股份</t>
  </si>
  <si>
    <t>www.lixinger.com/analytics/company/sz/300004/300004/detail</t>
  </si>
  <si>
    <t>华蓝集团</t>
  </si>
  <si>
    <t>www.lixinger.com/analytics/company/sz/301027/301027/detail</t>
  </si>
  <si>
    <t>昌红科技</t>
  </si>
  <si>
    <t>www.lixinger.com/analytics/company/sz/300151/300151/detail</t>
  </si>
  <si>
    <t>法本信息</t>
  </si>
  <si>
    <t>www.lixinger.com/analytics/company/sz/300925/300925/detail</t>
  </si>
  <si>
    <t>正川股份</t>
  </si>
  <si>
    <t>www.lixinger.com/analytics/company/sh/603976/603976/detail</t>
  </si>
  <si>
    <t>盛天网络</t>
  </si>
  <si>
    <t>www.lixinger.com/analytics/company/sz/300494/300494/detail</t>
  </si>
  <si>
    <t>依依股份</t>
  </si>
  <si>
    <t>www.lixinger.com/analytics/company/sz/001206/1206/detail</t>
  </si>
  <si>
    <t>雷赛智能</t>
  </si>
  <si>
    <t>www.lixinger.com/analytics/company/sz/002979/2979/detail</t>
  </si>
  <si>
    <t>润都股份</t>
  </si>
  <si>
    <t>www.lixinger.com/analytics/company/sz/002923/2923/detail</t>
  </si>
  <si>
    <t>徕木股份</t>
  </si>
  <si>
    <t>www.lixinger.com/analytics/company/sh/603633/603633/detail</t>
  </si>
  <si>
    <t>哈空调</t>
  </si>
  <si>
    <t>www.lixinger.com/analytics/company/sh/600202/600202/detail</t>
  </si>
  <si>
    <t>我武生物</t>
  </si>
  <si>
    <t>www.lixinger.com/analytics/company/sz/300357/300357/detail</t>
  </si>
  <si>
    <t>正业科技</t>
  </si>
  <si>
    <t>www.lixinger.com/analytics/company/sz/300410/300410/detail</t>
  </si>
  <si>
    <t>金自天正</t>
  </si>
  <si>
    <t>www.lixinger.com/analytics/company/sh/600560/600560/detail</t>
  </si>
  <si>
    <t>明微电子</t>
  </si>
  <si>
    <t>www.lixinger.com/analytics/company/sh/688699/688699/detail</t>
  </si>
  <si>
    <t>华立股份</t>
  </si>
  <si>
    <t>www.lixinger.com/analytics/company/sh/603038/603038/detail</t>
  </si>
  <si>
    <t>行动教育</t>
  </si>
  <si>
    <t>www.lixinger.com/analytics/company/sh/605098/605098/detail</t>
  </si>
  <si>
    <t>电光科技</t>
  </si>
  <si>
    <t>www.lixinger.com/analytics/company/sz/002730/2730/detail</t>
  </si>
  <si>
    <t>闽发铝业</t>
  </si>
  <si>
    <t>www.lixinger.com/analytics/company/sz/002578/2578/detail</t>
  </si>
  <si>
    <t>同和药业</t>
  </si>
  <si>
    <t>www.lixinger.com/analytics/company/sz/300636/300636/detail</t>
  </si>
  <si>
    <t>奇精机械</t>
  </si>
  <si>
    <t>www.lixinger.com/analytics/company/sh/603677/603677/detail</t>
  </si>
  <si>
    <t>派生科技</t>
  </si>
  <si>
    <t>www.lixinger.com/analytics/company/sz/300176/300176/detail</t>
  </si>
  <si>
    <t>新致软件</t>
  </si>
  <si>
    <t>www.lixinger.com/analytics/company/sh/688590/688590/detail</t>
  </si>
  <si>
    <t>卡倍亿</t>
  </si>
  <si>
    <t>www.lixinger.com/analytics/company/sz/300863/300863/detail</t>
  </si>
  <si>
    <t>爱乐达</t>
  </si>
  <si>
    <t>www.lixinger.com/analytics/company/sz/300696/300696/detail</t>
  </si>
  <si>
    <t>华绿生物</t>
  </si>
  <si>
    <t>www.lixinger.com/analytics/company/sz/300970/300970/detail</t>
  </si>
  <si>
    <t>威尔药业</t>
  </si>
  <si>
    <t>www.lixinger.com/analytics/company/sh/603351/603351/detail</t>
  </si>
  <si>
    <t>华辰装备</t>
  </si>
  <si>
    <t>www.lixinger.com/analytics/company/sz/300809/300809/detail</t>
  </si>
  <si>
    <t>凯龙高科</t>
  </si>
  <si>
    <t>www.lixinger.com/analytics/company/sz/300912/300912/detail</t>
  </si>
  <si>
    <t>华通热力</t>
  </si>
  <si>
    <t>www.lixinger.com/analytics/company/sz/002893/2893/detail</t>
  </si>
  <si>
    <t>南模生物</t>
  </si>
  <si>
    <t>www.lixinger.com/analytics/company/sh/688265/688265/detail</t>
  </si>
  <si>
    <t>国盾量子</t>
  </si>
  <si>
    <t>www.lixinger.com/analytics/company/sh/688027/688027/detail</t>
  </si>
  <si>
    <t>奥翔药业</t>
  </si>
  <si>
    <t>www.lixinger.com/analytics/company/sh/603229/603229/detail</t>
  </si>
  <si>
    <t>博俊科技</t>
  </si>
  <si>
    <t>www.lixinger.com/analytics/company/sz/300926/300926/detail</t>
  </si>
  <si>
    <t>中石科技</t>
  </si>
  <si>
    <t>www.lixinger.com/analytics/company/sz/300684/300684/detail</t>
  </si>
  <si>
    <t>同力日升</t>
  </si>
  <si>
    <t>www.lixinger.com/analytics/company/sh/605286/605286/detail</t>
  </si>
  <si>
    <t>华斯股份</t>
  </si>
  <si>
    <t>www.lixinger.com/analytics/company/sz/002494/2494/detail</t>
  </si>
  <si>
    <t>博创科技</t>
  </si>
  <si>
    <t>www.lixinger.com/analytics/company/sz/300548/300548/detail</t>
  </si>
  <si>
    <t>通达电气</t>
  </si>
  <si>
    <t>www.lixinger.com/analytics/company/sh/603390/603390/detail</t>
  </si>
  <si>
    <t>道森股份</t>
  </si>
  <si>
    <t>www.lixinger.com/analytics/company/sh/603800/603800/detail</t>
  </si>
  <si>
    <t>中马传动</t>
  </si>
  <si>
    <t>www.lixinger.com/analytics/company/sh/603767/603767/detail</t>
  </si>
  <si>
    <t>华锋股份</t>
  </si>
  <si>
    <t>www.lixinger.com/analytics/company/sz/002806/2806/detail</t>
  </si>
  <si>
    <t>恒基达鑫</t>
  </si>
  <si>
    <t>www.lixinger.com/analytics/company/sz/002492/2492/detail</t>
  </si>
  <si>
    <t>天舟文化</t>
  </si>
  <si>
    <t>www.lixinger.com/analytics/company/sz/300148/300148/detail</t>
  </si>
  <si>
    <t>通源环境</t>
  </si>
  <si>
    <t>www.lixinger.com/analytics/company/sh/688679/688679/detail</t>
  </si>
  <si>
    <t>吉峰科技</t>
  </si>
  <si>
    <t>www.lixinger.com/analytics/company/sz/300022/300022/detail</t>
  </si>
  <si>
    <t>深天地Ａ</t>
  </si>
  <si>
    <t>www.lixinger.com/analytics/company/sz/000023/23/detail</t>
  </si>
  <si>
    <t>京泉华</t>
  </si>
  <si>
    <t>www.lixinger.com/analytics/company/sz/002885/2885/detail</t>
  </si>
  <si>
    <t>泰瑞机器</t>
  </si>
  <si>
    <t>www.lixinger.com/analytics/company/sh/603289/603289/detail</t>
  </si>
  <si>
    <t>华纳药厂</t>
  </si>
  <si>
    <t>www.lixinger.com/analytics/company/sh/688799/688799/detail</t>
  </si>
  <si>
    <t>实益达</t>
  </si>
  <si>
    <t>www.lixinger.com/analytics/company/sz/002137/2137/detail</t>
  </si>
  <si>
    <t>西上海</t>
  </si>
  <si>
    <t>www.lixinger.com/analytics/company/sh/605151/605151/detail</t>
  </si>
  <si>
    <t>莱茵体育</t>
  </si>
  <si>
    <t>www.lixinger.com/analytics/company/sz/000558/558/detail</t>
  </si>
  <si>
    <t>通达动力</t>
  </si>
  <si>
    <t>www.lixinger.com/analytics/company/sz/002576/2576/detail</t>
  </si>
  <si>
    <t>理工导航</t>
  </si>
  <si>
    <t>www.lixinger.com/analytics/company/sh/688282/688282/detail</t>
  </si>
  <si>
    <t>复旦复华</t>
  </si>
  <si>
    <t>www.lixinger.com/analytics/company/sh/600624/600624/detail</t>
  </si>
  <si>
    <t>新美星</t>
  </si>
  <si>
    <t>www.lixinger.com/analytics/company/sz/300509/300509/detail</t>
  </si>
  <si>
    <t>中富电路</t>
  </si>
  <si>
    <t>www.lixinger.com/analytics/company/sz/300814/300814/detail</t>
  </si>
  <si>
    <t>久祺股份</t>
  </si>
  <si>
    <t>www.lixinger.com/analytics/company/sz/300994/300994/detail</t>
  </si>
  <si>
    <t>会畅通讯</t>
  </si>
  <si>
    <t>www.lixinger.com/analytics/company/sz/300578/300578/detail</t>
  </si>
  <si>
    <t>浙江自然</t>
  </si>
  <si>
    <t>www.lixinger.com/analytics/company/sh/605080/605080/detail</t>
  </si>
  <si>
    <t>耐普矿机</t>
  </si>
  <si>
    <t>www.lixinger.com/analytics/company/sz/300818/300818/detail</t>
  </si>
  <si>
    <t>盛洋科技</t>
  </si>
  <si>
    <t>www.lixinger.com/analytics/company/sh/603703/603703/detail</t>
  </si>
  <si>
    <t>世龙实业</t>
  </si>
  <si>
    <t>www.lixinger.com/analytics/company/sz/002748/2748/detail</t>
  </si>
  <si>
    <t>莱特光电</t>
  </si>
  <si>
    <t>www.lixinger.com/analytics/company/sh/688150/688150/detail</t>
  </si>
  <si>
    <t>海汽集团</t>
  </si>
  <si>
    <t>www.lixinger.com/analytics/company/sh/603069/603069/detail</t>
  </si>
  <si>
    <t>筑博设计</t>
  </si>
  <si>
    <t>www.lixinger.com/analytics/company/sz/300564/300564/detail</t>
  </si>
  <si>
    <t>立方制药</t>
  </si>
  <si>
    <t>www.lixinger.com/analytics/company/sz/003020/3020/detail</t>
  </si>
  <si>
    <t>集泰股份</t>
  </si>
  <si>
    <t>www.lixinger.com/analytics/company/sz/002909/2909/detail</t>
  </si>
  <si>
    <t>中天火箭</t>
  </si>
  <si>
    <t>www.lixinger.com/analytics/company/sz/003009/3009/detail</t>
  </si>
  <si>
    <t>惠云钛业</t>
  </si>
  <si>
    <t>www.lixinger.com/analytics/company/sz/300891/300891/detail</t>
  </si>
  <si>
    <t>联科科技</t>
  </si>
  <si>
    <t>www.lixinger.com/analytics/company/sz/001207/1207/detail</t>
  </si>
  <si>
    <t>上海天洋</t>
  </si>
  <si>
    <t>www.lixinger.com/analytics/company/sh/603330/603330/detail</t>
  </si>
  <si>
    <t>心脉医疗</t>
  </si>
  <si>
    <t>www.lixinger.com/analytics/company/sh/688016/688016/detail</t>
  </si>
  <si>
    <t>家联科技</t>
  </si>
  <si>
    <t>www.lixinger.com/analytics/company/sz/301193/301193/detail</t>
  </si>
  <si>
    <t>麦克奥迪</t>
  </si>
  <si>
    <t>www.lixinger.com/analytics/company/sz/300341/300341/detail</t>
  </si>
  <si>
    <t>特力Ａ</t>
  </si>
  <si>
    <t>www.lixinger.com/analytics/company/sz/000025/25/detail</t>
  </si>
  <si>
    <t>梅轮电梯</t>
  </si>
  <si>
    <t>www.lixinger.com/analytics/company/sh/603321/603321/detail</t>
  </si>
  <si>
    <t>方邦股份</t>
  </si>
  <si>
    <t>www.lixinger.com/analytics/company/sh/688020/688020/detail</t>
  </si>
  <si>
    <t>绿田机械</t>
  </si>
  <si>
    <t>www.lixinger.com/analytics/company/sh/605259/605259/detail</t>
  </si>
  <si>
    <t>当虹科技</t>
  </si>
  <si>
    <t>www.lixinger.com/analytics/company/sh/688039/688039/detail</t>
  </si>
  <si>
    <t>科思股份</t>
  </si>
  <si>
    <t>www.lixinger.com/analytics/company/sz/300856/300856/detail</t>
  </si>
  <si>
    <t>移为通信</t>
  </si>
  <si>
    <t>www.lixinger.com/analytics/company/sz/300590/300590/detail</t>
  </si>
  <si>
    <t>兴业股份</t>
  </si>
  <si>
    <t>www.lixinger.com/analytics/company/sh/603928/603928/detail</t>
  </si>
  <si>
    <t>华特气体</t>
  </si>
  <si>
    <t>www.lixinger.com/analytics/company/sh/688268/688268/detail</t>
  </si>
  <si>
    <t>星帅尔</t>
  </si>
  <si>
    <t>www.lixinger.com/analytics/company/sz/002860/2860/detail</t>
  </si>
  <si>
    <t>宏华数科</t>
  </si>
  <si>
    <t>www.lixinger.com/analytics/company/sh/688789/688789/detail</t>
  </si>
  <si>
    <t>南纺股份</t>
  </si>
  <si>
    <t>www.lixinger.com/analytics/company/sh/600250/600250/detail</t>
  </si>
  <si>
    <t>罗曼股份</t>
  </si>
  <si>
    <t>www.lixinger.com/analytics/company/sh/605289/605289/detail</t>
  </si>
  <si>
    <t>隆盛科技</t>
  </si>
  <si>
    <t>www.lixinger.com/analytics/company/sz/300680/300680/detail</t>
  </si>
  <si>
    <t>旭光电子</t>
  </si>
  <si>
    <t>www.lixinger.com/analytics/company/sh/600353/600353/detail</t>
  </si>
  <si>
    <t>新元科技</t>
  </si>
  <si>
    <t>www.lixinger.com/analytics/company/sz/300472/300472/detail</t>
  </si>
  <si>
    <t>华康医疗</t>
  </si>
  <si>
    <t>www.lixinger.com/analytics/company/sz/301235/301235/detail</t>
  </si>
  <si>
    <t>德马科技</t>
  </si>
  <si>
    <t>www.lixinger.com/analytics/company/sh/688360/688360/detail</t>
  </si>
  <si>
    <t>福立旺</t>
  </si>
  <si>
    <t>www.lixinger.com/analytics/company/sh/688678/688678/detail</t>
  </si>
  <si>
    <t>宸展光电</t>
  </si>
  <si>
    <t>www.lixinger.com/analytics/company/sz/003019/3019/detail</t>
  </si>
  <si>
    <t>网达软件</t>
  </si>
  <si>
    <t>www.lixinger.com/analytics/company/sh/603189/603189/detail</t>
  </si>
  <si>
    <t>美迪西</t>
  </si>
  <si>
    <t>www.lixinger.com/analytics/company/sh/688202/688202/detail</t>
  </si>
  <si>
    <t>集友股份</t>
  </si>
  <si>
    <t>www.lixinger.com/analytics/company/sh/603429/603429/detail</t>
  </si>
  <si>
    <t>甘化科工</t>
  </si>
  <si>
    <t>www.lixinger.com/analytics/company/sz/000576/576/detail</t>
  </si>
  <si>
    <t>银禧科技</t>
  </si>
  <si>
    <t>www.lixinger.com/analytics/company/sz/300221/300221/detail</t>
  </si>
  <si>
    <t>希荻微</t>
  </si>
  <si>
    <t>www.lixinger.com/analytics/company/sh/688173/688173/detail</t>
  </si>
  <si>
    <t>爱丽家居</t>
  </si>
  <si>
    <t>www.lixinger.com/analytics/company/sh/603221/603221/detail</t>
  </si>
  <si>
    <t>金花股份</t>
  </si>
  <si>
    <t>www.lixinger.com/analytics/company/sh/600080/600080/detail</t>
  </si>
  <si>
    <t>美迪凯</t>
  </si>
  <si>
    <t>www.lixinger.com/analytics/company/sh/688079/688079/detail</t>
  </si>
  <si>
    <t>中孚信息</t>
  </si>
  <si>
    <t>www.lixinger.com/analytics/company/sz/300659/300659/detail</t>
  </si>
  <si>
    <t>上纬新材</t>
  </si>
  <si>
    <t>www.lixinger.com/analytics/company/sh/688585/688585/detail</t>
  </si>
  <si>
    <t>新风光</t>
  </si>
  <si>
    <t>www.lixinger.com/analytics/company/sh/688663/688663/detail</t>
  </si>
  <si>
    <t>毅昌科技</t>
  </si>
  <si>
    <t>www.lixinger.com/analytics/company/sz/002420/2420/detail</t>
  </si>
  <si>
    <t>乔治白</t>
  </si>
  <si>
    <t>www.lixinger.com/analytics/company/sz/002687/2687/detail</t>
  </si>
  <si>
    <t>华鹏飞</t>
  </si>
  <si>
    <t>www.lixinger.com/analytics/company/sz/300350/300350/detail</t>
  </si>
  <si>
    <t>格尔软件</t>
  </si>
  <si>
    <t>www.lixinger.com/analytics/company/sh/603232/603232/detail</t>
  </si>
  <si>
    <t>致远互联</t>
  </si>
  <si>
    <t>www.lixinger.com/analytics/company/sh/688369/688369/detail</t>
  </si>
  <si>
    <t>金马游乐</t>
  </si>
  <si>
    <t>www.lixinger.com/analytics/company/sz/300756/300756/detail</t>
  </si>
  <si>
    <t>ST榕泰</t>
  </si>
  <si>
    <t>www.lixinger.com/analytics/company/sh/600589/600589/detail</t>
  </si>
  <si>
    <t>华菱精工</t>
  </si>
  <si>
    <t>www.lixinger.com/analytics/company/sh/603356/603356/detail</t>
  </si>
  <si>
    <t>丽岛新材</t>
  </si>
  <si>
    <t>www.lixinger.com/analytics/company/sh/603937/603937/detail</t>
  </si>
  <si>
    <t>优彩资源</t>
  </si>
  <si>
    <t>www.lixinger.com/analytics/company/sz/002998/2998/detail</t>
  </si>
  <si>
    <t>气派科技</t>
  </si>
  <si>
    <t>www.lixinger.com/analytics/company/sh/688216/688216/detail</t>
  </si>
  <si>
    <t>百傲化学</t>
  </si>
  <si>
    <t>www.lixinger.com/analytics/company/sh/603360/603360/detail</t>
  </si>
  <si>
    <t>*ST达志</t>
  </si>
  <si>
    <t>www.lixinger.com/analytics/company/sz/300530/300530/detail</t>
  </si>
  <si>
    <t>富淼科技</t>
  </si>
  <si>
    <t>www.lixinger.com/analytics/company/sh/688350/688350/detail</t>
  </si>
  <si>
    <t>星网宇达</t>
  </si>
  <si>
    <t>www.lixinger.com/analytics/company/sz/002829/2829/detail</t>
  </si>
  <si>
    <t>康惠制药</t>
  </si>
  <si>
    <t>www.lixinger.com/analytics/company/sh/603139/603139/detail</t>
  </si>
  <si>
    <t>神力股份</t>
  </si>
  <si>
    <t>www.lixinger.com/analytics/company/sh/603819/603819/detail</t>
  </si>
  <si>
    <t>美力科技</t>
  </si>
  <si>
    <t>www.lixinger.com/analytics/company/sz/300611/300611/detail</t>
  </si>
  <si>
    <t>*ST亚星</t>
  </si>
  <si>
    <t>www.lixinger.com/analytics/company/sh/600319/600319/detail</t>
  </si>
  <si>
    <t>信雅达</t>
  </si>
  <si>
    <t>www.lixinger.com/analytics/company/sh/600571/600571/detail</t>
  </si>
  <si>
    <t>吉大正元</t>
  </si>
  <si>
    <t>www.lixinger.com/analytics/company/sz/003029/3029/detail</t>
  </si>
  <si>
    <t>吉贝尔</t>
  </si>
  <si>
    <t>www.lixinger.com/analytics/company/sh/688566/688566/detail</t>
  </si>
  <si>
    <t>松炀资源</t>
  </si>
  <si>
    <t>www.lixinger.com/analytics/company/sh/603863/603863/detail</t>
  </si>
  <si>
    <t>隆华新材</t>
  </si>
  <si>
    <t>www.lixinger.com/analytics/company/sz/301149/301149/detail</t>
  </si>
  <si>
    <t>青海春天</t>
  </si>
  <si>
    <t>www.lixinger.com/analytics/company/sh/600381/600381/detail</t>
  </si>
  <si>
    <t>炬芯科技</t>
  </si>
  <si>
    <t>www.lixinger.com/analytics/company/sh/688049/688049/detail</t>
  </si>
  <si>
    <t>合兴股份</t>
  </si>
  <si>
    <t>www.lixinger.com/analytics/company/sh/605005/605005/detail</t>
  </si>
  <si>
    <t>博迁新材</t>
  </si>
  <si>
    <t>www.lixinger.com/analytics/company/sh/605376/605376/detail</t>
  </si>
  <si>
    <t>洛凯股份</t>
  </si>
  <si>
    <t>www.lixinger.com/analytics/company/sh/603829/603829/detail</t>
  </si>
  <si>
    <t>新农开发</t>
  </si>
  <si>
    <t>www.lixinger.com/analytics/company/sh/600359/600359/detail</t>
  </si>
  <si>
    <t>海利生物</t>
  </si>
  <si>
    <t>www.lixinger.com/analytics/company/sh/603718/603718/detail</t>
  </si>
  <si>
    <t>中润资源</t>
  </si>
  <si>
    <t>www.lixinger.com/analytics/company/sz/000506/506/detail</t>
  </si>
  <si>
    <t>竞业达</t>
  </si>
  <si>
    <t>www.lixinger.com/analytics/company/sz/003005/3005/detail</t>
  </si>
  <si>
    <t>标准股份</t>
  </si>
  <si>
    <t>www.lixinger.com/analytics/company/sh/600302/600302/detail</t>
  </si>
  <si>
    <t>欢乐家</t>
  </si>
  <si>
    <t>www.lixinger.com/analytics/company/sz/300997/300997/detail</t>
  </si>
  <si>
    <t>西安饮食</t>
  </si>
  <si>
    <t>www.lixinger.com/analytics/company/sz/000721/721/detail</t>
  </si>
  <si>
    <t>恒通股份</t>
  </si>
  <si>
    <t>www.lixinger.com/analytics/company/sh/603223/603223/detail</t>
  </si>
  <si>
    <t>传智教育</t>
  </si>
  <si>
    <t>www.lixinger.com/analytics/company/sz/003032/3032/detail</t>
  </si>
  <si>
    <t>ST新海</t>
  </si>
  <si>
    <t>www.lixinger.com/analytics/company/sz/002089/2089/detail</t>
  </si>
  <si>
    <t>拱东医疗</t>
  </si>
  <si>
    <t>www.lixinger.com/analytics/company/sh/605369/605369/detail</t>
  </si>
  <si>
    <t>旗天科技</t>
  </si>
  <si>
    <t>www.lixinger.com/analytics/company/sz/300061/300061/detail</t>
  </si>
  <si>
    <t>博汇股份</t>
  </si>
  <si>
    <t>www.lixinger.com/analytics/company/sz/300839/300839/detail</t>
  </si>
  <si>
    <t>长江材料</t>
  </si>
  <si>
    <t>www.lixinger.com/analytics/company/sz/001296/1296/detail</t>
  </si>
  <si>
    <t>同有科技</t>
  </si>
  <si>
    <t>www.lixinger.com/analytics/company/sz/300302/300302/detail</t>
  </si>
  <si>
    <t>三六五网</t>
  </si>
  <si>
    <t>www.lixinger.com/analytics/company/sz/300295/300295/detail</t>
  </si>
  <si>
    <t>中颖电子</t>
  </si>
  <si>
    <t>www.lixinger.com/analytics/company/sz/300327/300327/detail</t>
  </si>
  <si>
    <t>中鲁Ｂ</t>
  </si>
  <si>
    <t>www.lixinger.com/analytics/company/sz/200992/200992/detail</t>
  </si>
  <si>
    <t>思特奇</t>
  </si>
  <si>
    <t>www.lixinger.com/analytics/company/sz/300608/300608/detail</t>
  </si>
  <si>
    <t>百川畅银</t>
  </si>
  <si>
    <t>www.lixinger.com/analytics/company/sz/300614/300614/detail</t>
  </si>
  <si>
    <t>友邦吊顶</t>
  </si>
  <si>
    <t>www.lixinger.com/analytics/company/sz/002718/2718/detail</t>
  </si>
  <si>
    <t>圣达生物</t>
  </si>
  <si>
    <t>www.lixinger.com/analytics/company/sh/603079/603079/detail</t>
  </si>
  <si>
    <t>同益股份</t>
  </si>
  <si>
    <t>www.lixinger.com/analytics/company/sz/300538/300538/detail</t>
  </si>
  <si>
    <t>朗玛信息</t>
  </si>
  <si>
    <t>www.lixinger.com/analytics/company/sz/300288/300288/detail</t>
  </si>
  <si>
    <t>光正眼科</t>
  </si>
  <si>
    <t>www.lixinger.com/analytics/company/sz/002524/2524/detail</t>
  </si>
  <si>
    <t>上海港湾</t>
  </si>
  <si>
    <t>www.lixinger.com/analytics/company/sh/605598/605598/detail</t>
  </si>
  <si>
    <t>光库科技</t>
  </si>
  <si>
    <t>www.lixinger.com/analytics/company/sz/300620/300620/detail</t>
  </si>
  <si>
    <t>川大智胜</t>
  </si>
  <si>
    <t>www.lixinger.com/analytics/company/sz/002253/2253/detail</t>
  </si>
  <si>
    <t>三盛教育</t>
  </si>
  <si>
    <t>www.lixinger.com/analytics/company/sz/300282/300282/detail</t>
  </si>
  <si>
    <t>华森制药</t>
  </si>
  <si>
    <t>www.lixinger.com/analytics/company/sz/002907/2907/detail</t>
  </si>
  <si>
    <t>华骐环保</t>
  </si>
  <si>
    <t>www.lixinger.com/analytics/company/sz/300929/300929/detail</t>
  </si>
  <si>
    <t>阳普医疗</t>
  </si>
  <si>
    <t>www.lixinger.com/analytics/company/sz/300030/300030/detail</t>
  </si>
  <si>
    <t>凯美特气</t>
  </si>
  <si>
    <t>www.lixinger.com/analytics/company/sz/002549/2549/detail</t>
  </si>
  <si>
    <t>英派斯</t>
  </si>
  <si>
    <t>www.lixinger.com/analytics/company/sz/002899/2899/detail</t>
  </si>
  <si>
    <t>亿田智能</t>
  </si>
  <si>
    <t>www.lixinger.com/analytics/company/sz/300911/300911/detail</t>
  </si>
  <si>
    <t>盛讯达</t>
  </si>
  <si>
    <t>www.lixinger.com/analytics/company/sz/300518/300518/detail</t>
  </si>
  <si>
    <t>甘源食品</t>
  </si>
  <si>
    <t>www.lixinger.com/analytics/company/sz/002991/2991/detail</t>
  </si>
  <si>
    <t>西麦食品</t>
  </si>
  <si>
    <t>www.lixinger.com/analytics/company/sz/002956/2956/detail</t>
  </si>
  <si>
    <t>大连电瓷</t>
  </si>
  <si>
    <t>www.lixinger.com/analytics/company/sz/002606/2606/detail</t>
  </si>
  <si>
    <t>丝路视觉</t>
  </si>
  <si>
    <t>www.lixinger.com/analytics/company/sz/300556/300556/detail</t>
  </si>
  <si>
    <t>狄耐克</t>
  </si>
  <si>
    <t>www.lixinger.com/analytics/company/sz/300884/300884/detail</t>
  </si>
  <si>
    <t>智能自控</t>
  </si>
  <si>
    <t>www.lixinger.com/analytics/company/sz/002877/2877/detail</t>
  </si>
  <si>
    <t>铜峰电子</t>
  </si>
  <si>
    <t>www.lixinger.com/analytics/company/sh/600237/600237/detail</t>
  </si>
  <si>
    <t>智云股份</t>
  </si>
  <si>
    <t>www.lixinger.com/analytics/company/sz/300097/300097/detail</t>
  </si>
  <si>
    <t>九典制药</t>
  </si>
  <si>
    <t>www.lixinger.com/analytics/company/sz/300705/300705/detail</t>
  </si>
  <si>
    <t>乾景园林</t>
  </si>
  <si>
    <t>www.lixinger.com/analytics/company/sh/603778/603778/detail</t>
  </si>
  <si>
    <t>*ST游久</t>
  </si>
  <si>
    <t>www.lixinger.com/analytics/company/sh/600652/600652/detail</t>
  </si>
  <si>
    <t>菱电电控</t>
  </si>
  <si>
    <t>www.lixinger.com/analytics/company/sh/688667/688667/detail</t>
  </si>
  <si>
    <t>舒华体育</t>
  </si>
  <si>
    <t>www.lixinger.com/analytics/company/sh/605299/605299/detail</t>
  </si>
  <si>
    <t>品高股份</t>
  </si>
  <si>
    <t>www.lixinger.com/analytics/company/sh/688227/688227/detail</t>
  </si>
  <si>
    <t>瑞可达</t>
  </si>
  <si>
    <t>www.lixinger.com/analytics/company/sh/688800/688800/detail</t>
  </si>
  <si>
    <t>佳华科技</t>
  </si>
  <si>
    <t>www.lixinger.com/analytics/company/sh/688051/688051/detail</t>
  </si>
  <si>
    <t>诚迈科技</t>
  </si>
  <si>
    <t>www.lixinger.com/analytics/company/sz/300598/300598/detail</t>
  </si>
  <si>
    <t>建研院</t>
  </si>
  <si>
    <t>www.lixinger.com/analytics/company/sh/603183/603183/detail</t>
  </si>
  <si>
    <t>青海华鼎</t>
  </si>
  <si>
    <t>www.lixinger.com/analytics/company/sh/600243/600243/detail</t>
  </si>
  <si>
    <t>铂科新材</t>
  </si>
  <si>
    <t>www.lixinger.com/analytics/company/sz/300811/300811/detail</t>
  </si>
  <si>
    <t>*ST海创</t>
  </si>
  <si>
    <t>www.lixinger.com/analytics/company/sh/600555/600555/detail</t>
  </si>
  <si>
    <t>新兴装备</t>
  </si>
  <si>
    <t>www.lixinger.com/analytics/company/sz/002933/2933/detail</t>
  </si>
  <si>
    <t>艾可蓝</t>
  </si>
  <si>
    <t>www.lixinger.com/analytics/company/sz/300816/300816/detail</t>
  </si>
  <si>
    <t>晶华新材</t>
  </si>
  <si>
    <t>www.lixinger.com/analytics/company/sh/603683/603683/detail</t>
  </si>
  <si>
    <t>达意隆</t>
  </si>
  <si>
    <t>www.lixinger.com/analytics/company/sz/002209/2209/detail</t>
  </si>
  <si>
    <t>天龙股份</t>
  </si>
  <si>
    <t>www.lixinger.com/analytics/company/sh/603266/603266/detail</t>
  </si>
  <si>
    <t>芯朋微</t>
  </si>
  <si>
    <t>www.lixinger.com/analytics/company/sh/688508/688508/detail</t>
  </si>
  <si>
    <t>美瑞新材</t>
  </si>
  <si>
    <t>www.lixinger.com/analytics/company/sz/300848/300848/detail</t>
  </si>
  <si>
    <t>易德龙</t>
  </si>
  <si>
    <t>www.lixinger.com/analytics/company/sh/603380/603380/detail</t>
  </si>
  <si>
    <t>纳尔股份</t>
  </si>
  <si>
    <t>www.lixinger.com/analytics/company/sz/002825/2825/detail</t>
  </si>
  <si>
    <t>仲景食品</t>
  </si>
  <si>
    <t>www.lixinger.com/analytics/company/sz/300908/300908/detail</t>
  </si>
  <si>
    <t>长方集团</t>
  </si>
  <si>
    <t>www.lixinger.com/analytics/company/sz/300301/300301/detail</t>
  </si>
  <si>
    <t>凤凰光学</t>
  </si>
  <si>
    <t>www.lixinger.com/analytics/company/sh/600071/600071/detail</t>
  </si>
  <si>
    <t>安路科技</t>
  </si>
  <si>
    <t>www.lixinger.com/analytics/company/sh/688107/688107/detail</t>
  </si>
  <si>
    <t>茂硕电源</t>
  </si>
  <si>
    <t>www.lixinger.com/analytics/company/sz/002660/2660/detail</t>
  </si>
  <si>
    <t>任子行</t>
  </si>
  <si>
    <t>www.lixinger.com/analytics/company/sz/300311/300311/detail</t>
  </si>
  <si>
    <t>东方钽业</t>
  </si>
  <si>
    <t>www.lixinger.com/analytics/company/sz/000962/962/detail</t>
  </si>
  <si>
    <t>华融化学</t>
  </si>
  <si>
    <t>www.lixinger.com/analytics/company/sz/301256/301256/detail</t>
  </si>
  <si>
    <t>荣科科技</t>
  </si>
  <si>
    <t>www.lixinger.com/analytics/company/sz/300290/300290/detail</t>
  </si>
  <si>
    <t>壹石通</t>
  </si>
  <si>
    <t>www.lixinger.com/analytics/company/sh/688733/688733/detail</t>
  </si>
  <si>
    <t>采纳股份</t>
  </si>
  <si>
    <t>www.lixinger.com/analytics/company/sz/301122/301122/detail</t>
  </si>
  <si>
    <t>瑞华泰</t>
  </si>
  <si>
    <t>www.lixinger.com/analytics/company/sh/688323/688323/detail</t>
  </si>
  <si>
    <t>舒泰神</t>
  </si>
  <si>
    <t>www.lixinger.com/analytics/company/sz/300204/300204/detail</t>
  </si>
  <si>
    <t>金迪克</t>
  </si>
  <si>
    <t>www.lixinger.com/analytics/company/sh/688670/688670/detail</t>
  </si>
  <si>
    <t>德林海</t>
  </si>
  <si>
    <t>www.lixinger.com/analytics/company/sh/688069/688069/detail</t>
  </si>
  <si>
    <t>和顺科技</t>
  </si>
  <si>
    <t>www.lixinger.com/analytics/company/sz/301237/301237/detail</t>
  </si>
  <si>
    <t>海波重科</t>
  </si>
  <si>
    <t>www.lixinger.com/analytics/company/sz/300517/300517/detail</t>
  </si>
  <si>
    <t>上海艾录</t>
  </si>
  <si>
    <t>www.lixinger.com/analytics/company/sz/301062/301062/detail</t>
  </si>
  <si>
    <t>天元股份</t>
  </si>
  <si>
    <t>www.lixinger.com/analytics/company/sz/003003/3003/detail</t>
  </si>
  <si>
    <t>神州细胞</t>
  </si>
  <si>
    <t>www.lixinger.com/analytics/company/sh/688520/688520/detail</t>
  </si>
  <si>
    <t>广博股份</t>
  </si>
  <si>
    <t>www.lixinger.com/analytics/company/sz/002103/2103/detail</t>
  </si>
  <si>
    <t>奥锐特</t>
  </si>
  <si>
    <t>www.lixinger.com/analytics/company/sh/605116/605116/detail</t>
  </si>
  <si>
    <t>上声电子</t>
  </si>
  <si>
    <t>www.lixinger.com/analytics/company/sh/688533/688533/detail</t>
  </si>
  <si>
    <t>慈文传媒</t>
  </si>
  <si>
    <t>www.lixinger.com/analytics/company/sz/002343/2343/detail</t>
  </si>
  <si>
    <t>瑞纳智能</t>
  </si>
  <si>
    <t>www.lixinger.com/analytics/company/sz/301129/301129/detail</t>
  </si>
  <si>
    <t>雅运股份</t>
  </si>
  <si>
    <t>www.lixinger.com/analytics/company/sh/603790/603790/detail</t>
  </si>
  <si>
    <t>瑞丰高材</t>
  </si>
  <si>
    <t>www.lixinger.com/analytics/company/sz/300243/300243/detail</t>
  </si>
  <si>
    <t>永新光学</t>
  </si>
  <si>
    <t>www.lixinger.com/analytics/company/sh/603297/603297/detail</t>
  </si>
  <si>
    <t>美芝股份</t>
  </si>
  <si>
    <t>www.lixinger.com/analytics/company/sz/002856/2856/detail</t>
  </si>
  <si>
    <t>正元智慧</t>
  </si>
  <si>
    <t>www.lixinger.com/analytics/company/sz/300645/300645/detail</t>
  </si>
  <si>
    <t>万讯自控</t>
  </si>
  <si>
    <t>www.lixinger.com/analytics/company/sz/300112/300112/detail</t>
  </si>
  <si>
    <t>惠城环保</t>
  </si>
  <si>
    <t>www.lixinger.com/analytics/company/sz/300779/300779/detail</t>
  </si>
  <si>
    <t>融钰集团</t>
  </si>
  <si>
    <t>www.lixinger.com/analytics/company/sz/002622/2622/detail</t>
  </si>
  <si>
    <t>*ST华资</t>
  </si>
  <si>
    <t>www.lixinger.com/analytics/company/sh/600191/600191/detail</t>
  </si>
  <si>
    <t>星球石墨</t>
  </si>
  <si>
    <t>www.lixinger.com/analytics/company/sh/688633/688633/detail</t>
  </si>
  <si>
    <t>杭华股份</t>
  </si>
  <si>
    <t>www.lixinger.com/analytics/company/sh/688571/688571/detail</t>
  </si>
  <si>
    <t>通源石油</t>
  </si>
  <si>
    <t>www.lixinger.com/analytics/company/sz/300164/300164/detail</t>
  </si>
  <si>
    <t>金房节能</t>
  </si>
  <si>
    <t>www.lixinger.com/analytics/company/sz/001210/1210/detail</t>
  </si>
  <si>
    <t>长盛轴承</t>
  </si>
  <si>
    <t>www.lixinger.com/analytics/company/sz/300718/300718/detail</t>
  </si>
  <si>
    <t>盘龙药业</t>
  </si>
  <si>
    <t>www.lixinger.com/analytics/company/sz/002864/2864/detail</t>
  </si>
  <si>
    <t>富邦股份</t>
  </si>
  <si>
    <t>www.lixinger.com/analytics/company/sz/300387/300387/detail</t>
  </si>
  <si>
    <t>天玑科技</t>
  </si>
  <si>
    <t>www.lixinger.com/analytics/company/sz/300245/300245/detail</t>
  </si>
  <si>
    <t>光力科技</t>
  </si>
  <si>
    <t>www.lixinger.com/analytics/company/sz/300480/300480/detail</t>
  </si>
  <si>
    <t>葫芦娃</t>
  </si>
  <si>
    <t>www.lixinger.com/analytics/company/sh/605199/605199/detail</t>
  </si>
  <si>
    <t>快克股份</t>
  </si>
  <si>
    <t>www.lixinger.com/analytics/company/sh/603203/603203/detail</t>
  </si>
  <si>
    <t>ST银河</t>
  </si>
  <si>
    <t>www.lixinger.com/analytics/company/sz/000806/806/detail</t>
  </si>
  <si>
    <t>维康药业</t>
  </si>
  <si>
    <t>www.lixinger.com/analytics/company/sz/300878/300878/detail</t>
  </si>
  <si>
    <t>同飞股份</t>
  </si>
  <si>
    <t>www.lixinger.com/analytics/company/sz/300990/300990/detail</t>
  </si>
  <si>
    <t>万祥科技</t>
  </si>
  <si>
    <t>www.lixinger.com/analytics/company/sz/301180/301180/detail</t>
  </si>
  <si>
    <t>华平股份</t>
  </si>
  <si>
    <t>www.lixinger.com/analytics/company/sz/300074/300074/detail</t>
  </si>
  <si>
    <t>聚辰股份</t>
  </si>
  <si>
    <t>www.lixinger.com/analytics/company/sh/688123/688123/detail</t>
  </si>
  <si>
    <t>燕塘乳业</t>
  </si>
  <si>
    <t>www.lixinger.com/analytics/company/sz/002732/2732/detail</t>
  </si>
  <si>
    <t>科隆股份</t>
  </si>
  <si>
    <t>www.lixinger.com/analytics/company/sz/300405/300405/detail</t>
  </si>
  <si>
    <t>祖名股份</t>
  </si>
  <si>
    <t>www.lixinger.com/analytics/company/sz/003030/3030/detail</t>
  </si>
  <si>
    <t>全聚德</t>
  </si>
  <si>
    <t>www.lixinger.com/analytics/company/sz/002186/2186/detail</t>
  </si>
  <si>
    <t>金时科技</t>
  </si>
  <si>
    <t>www.lixinger.com/analytics/company/sz/002951/2951/detail</t>
  </si>
  <si>
    <t>神开股份</t>
  </si>
  <si>
    <t>www.lixinger.com/analytics/company/sz/002278/2278/detail</t>
  </si>
  <si>
    <t>飞鹿股份</t>
  </si>
  <si>
    <t>www.lixinger.com/analytics/company/sz/300665/300665/detail</t>
  </si>
  <si>
    <t>泽璟制药</t>
  </si>
  <si>
    <t>www.lixinger.com/analytics/company/sh/688266/688266/detail</t>
  </si>
  <si>
    <t>景峰医药</t>
  </si>
  <si>
    <t>www.lixinger.com/analytics/company/sz/000908/908/detail</t>
  </si>
  <si>
    <t>力星股份</t>
  </si>
  <si>
    <t>www.lixinger.com/analytics/company/sz/300421/300421/detail</t>
  </si>
  <si>
    <t>远方信息</t>
  </si>
  <si>
    <t>www.lixinger.com/analytics/company/sz/300306/300306/detail</t>
  </si>
  <si>
    <t>朝阳科技</t>
  </si>
  <si>
    <t>www.lixinger.com/analytics/company/sz/002981/2981/detail</t>
  </si>
  <si>
    <t>蓝特光学</t>
  </si>
  <si>
    <t>www.lixinger.com/analytics/company/sh/688127/688127/detail</t>
  </si>
  <si>
    <t>兴齐眼药</t>
  </si>
  <si>
    <t>www.lixinger.com/analytics/company/sz/300573/300573/detail</t>
  </si>
  <si>
    <t>安集科技</t>
  </si>
  <si>
    <t>www.lixinger.com/analytics/company/sh/688019/688019/detail</t>
  </si>
  <si>
    <t>金鹰股份</t>
  </si>
  <si>
    <t>www.lixinger.com/analytics/company/sh/600232/600232/detail</t>
  </si>
  <si>
    <t>科力尔</t>
  </si>
  <si>
    <t>www.lixinger.com/analytics/company/sz/002892/2892/detail</t>
  </si>
  <si>
    <t>新城市</t>
  </si>
  <si>
    <t>www.lixinger.com/analytics/company/sz/300778/300778/detail</t>
  </si>
  <si>
    <t>久吾高科</t>
  </si>
  <si>
    <t>www.lixinger.com/analytics/company/sz/300631/300631/detail</t>
  </si>
  <si>
    <t>大元泵业</t>
  </si>
  <si>
    <t>www.lixinger.com/analytics/company/sh/603757/603757/detail</t>
  </si>
  <si>
    <t>四方精创</t>
  </si>
  <si>
    <t>www.lixinger.com/analytics/company/sz/300468/300468/detail</t>
  </si>
  <si>
    <t>御银股份</t>
  </si>
  <si>
    <t>www.lixinger.com/analytics/company/sz/002177/2177/detail</t>
  </si>
  <si>
    <t>潜能恒信</t>
  </si>
  <si>
    <t>www.lixinger.com/analytics/company/sz/300191/300191/detail</t>
  </si>
  <si>
    <t>成都先导</t>
  </si>
  <si>
    <t>www.lixinger.com/analytics/company/sh/688222/688222/detail</t>
  </si>
  <si>
    <t>振邦智能</t>
  </si>
  <si>
    <t>www.lixinger.com/analytics/company/sz/003028/3028/detail</t>
  </si>
  <si>
    <t>安居宝</t>
  </si>
  <si>
    <t>www.lixinger.com/analytics/company/sz/300155/300155/detail</t>
  </si>
  <si>
    <t>贝仕达克</t>
  </si>
  <si>
    <t>www.lixinger.com/analytics/company/sz/300822/300822/detail</t>
  </si>
  <si>
    <t>深水规院</t>
  </si>
  <si>
    <t>www.lixinger.com/analytics/company/sz/301038/301038/detail</t>
  </si>
  <si>
    <t>双一科技</t>
  </si>
  <si>
    <t>www.lixinger.com/analytics/company/sz/300690/300690/detail</t>
  </si>
  <si>
    <t>山大地纬</t>
  </si>
  <si>
    <t>www.lixinger.com/analytics/company/sh/688579/688579/detail</t>
  </si>
  <si>
    <t>春光科技</t>
  </si>
  <si>
    <t>www.lixinger.com/analytics/company/sh/603657/603657/detail</t>
  </si>
  <si>
    <t>奥特迅</t>
  </si>
  <si>
    <t>www.lixinger.com/analytics/company/sz/002227/2227/detail</t>
  </si>
  <si>
    <t>延华智能</t>
  </si>
  <si>
    <t>www.lixinger.com/analytics/company/sz/002178/2178/detail</t>
  </si>
  <si>
    <t>华瓷股份</t>
  </si>
  <si>
    <t>www.lixinger.com/analytics/company/sz/001216/1216/detail</t>
  </si>
  <si>
    <t>恒光股份</t>
  </si>
  <si>
    <t>www.lixinger.com/analytics/company/sz/301118/301118/detail</t>
  </si>
  <si>
    <t>*ST易见</t>
  </si>
  <si>
    <t>其他多元金融</t>
  </si>
  <si>
    <t>www.lixinger.com/analytics/company/sh/600093/600093/detail</t>
  </si>
  <si>
    <t>春雪食品</t>
  </si>
  <si>
    <t>www.lixinger.com/analytics/company/sh/605567/605567/detail</t>
  </si>
  <si>
    <t>瑞松科技</t>
  </si>
  <si>
    <t>www.lixinger.com/analytics/company/sh/688090/688090/detail</t>
  </si>
  <si>
    <t>金刚玻璃</t>
  </si>
  <si>
    <t>www.lixinger.com/analytics/company/sz/300093/300093/detail</t>
  </si>
  <si>
    <t>百亚股份</t>
  </si>
  <si>
    <t>www.lixinger.com/analytics/company/sz/003006/3006/detail</t>
  </si>
  <si>
    <t>开普云</t>
  </si>
  <si>
    <t>www.lixinger.com/analytics/company/sh/688228/688228/detail</t>
  </si>
  <si>
    <t>争光股份</t>
  </si>
  <si>
    <t>www.lixinger.com/analytics/company/sz/301092/301092/detail</t>
  </si>
  <si>
    <t>乐心医疗</t>
  </si>
  <si>
    <t>www.lixinger.com/analytics/company/sz/300562/300562/detail</t>
  </si>
  <si>
    <t>渝三峡Ａ</t>
  </si>
  <si>
    <t>www.lixinger.com/analytics/company/sz/000565/565/detail</t>
  </si>
  <si>
    <t>蓝丰生化</t>
  </si>
  <si>
    <t>www.lixinger.com/analytics/company/sz/002513/2513/detail</t>
  </si>
  <si>
    <t>伟思医疗</t>
  </si>
  <si>
    <t>www.lixinger.com/analytics/company/sh/688580/688580/detail</t>
  </si>
  <si>
    <t>微光股份</t>
  </si>
  <si>
    <t>www.lixinger.com/analytics/company/sz/002801/2801/detail</t>
  </si>
  <si>
    <t>环球印务</t>
  </si>
  <si>
    <t>www.lixinger.com/analytics/company/sz/002799/2799/detail</t>
  </si>
  <si>
    <t>必创科技</t>
  </si>
  <si>
    <t>www.lixinger.com/analytics/company/sz/300667/300667/detail</t>
  </si>
  <si>
    <t>金科环境</t>
  </si>
  <si>
    <t>www.lixinger.com/analytics/company/sh/688466/688466/detail</t>
  </si>
  <si>
    <t>中瓷电子</t>
  </si>
  <si>
    <t>www.lixinger.com/analytics/company/sz/003031/3031/detail</t>
  </si>
  <si>
    <t>永吉股份</t>
  </si>
  <si>
    <t>www.lixinger.com/analytics/company/sh/603058/603058/detail</t>
  </si>
  <si>
    <t>金桥信息</t>
  </si>
  <si>
    <t>www.lixinger.com/analytics/company/sh/603918/603918/detail</t>
  </si>
  <si>
    <t>凤形股份</t>
  </si>
  <si>
    <t>www.lixinger.com/analytics/company/sz/002760/2760/detail</t>
  </si>
  <si>
    <t>仕佳光子</t>
  </si>
  <si>
    <t>www.lixinger.com/analytics/company/sh/688313/688313/detail</t>
  </si>
  <si>
    <t>泰山石油</t>
  </si>
  <si>
    <t>www.lixinger.com/analytics/company/sz/000554/554/detail</t>
  </si>
  <si>
    <t>赛象科技</t>
  </si>
  <si>
    <t>www.lixinger.com/analytics/company/sz/002337/2337/detail</t>
  </si>
  <si>
    <t>申联生物</t>
  </si>
  <si>
    <t>www.lixinger.com/analytics/company/sh/688098/688098/detail</t>
  </si>
  <si>
    <t>苏州龙杰</t>
  </si>
  <si>
    <t>www.lixinger.com/analytics/company/sh/603332/603332/detail</t>
  </si>
  <si>
    <t>禾盛新材</t>
  </si>
  <si>
    <t>www.lixinger.com/analytics/company/sz/002290/2290/detail</t>
  </si>
  <si>
    <t>生意宝</t>
  </si>
  <si>
    <t>www.lixinger.com/analytics/company/sz/002095/2095/detail</t>
  </si>
  <si>
    <t>威星智能</t>
  </si>
  <si>
    <t>www.lixinger.com/analytics/company/sz/002849/2849/detail</t>
  </si>
  <si>
    <t>聚赛龙</t>
  </si>
  <si>
    <t>www.lixinger.com/analytics/company/sz/301131/301131/detail</t>
  </si>
  <si>
    <t>南宁百货</t>
  </si>
  <si>
    <t>www.lixinger.com/analytics/company/sh/600712/600712/detail</t>
  </si>
  <si>
    <t>*ST丹邦</t>
  </si>
  <si>
    <t>www.lixinger.com/analytics/company/sz/002618/2618/detail</t>
  </si>
  <si>
    <t>建新股份</t>
  </si>
  <si>
    <t>www.lixinger.com/analytics/company/sz/300107/300107/detail</t>
  </si>
  <si>
    <t>恒为科技</t>
  </si>
  <si>
    <t>www.lixinger.com/analytics/company/sh/603496/603496/detail</t>
  </si>
  <si>
    <t>汇创达</t>
  </si>
  <si>
    <t>www.lixinger.com/analytics/company/sz/300909/300909/detail</t>
  </si>
  <si>
    <t>上海九百</t>
  </si>
  <si>
    <t>www.lixinger.com/analytics/company/sh/600838/600838/detail</t>
  </si>
  <si>
    <t>惠发食品</t>
  </si>
  <si>
    <t>www.lixinger.com/analytics/company/sh/603536/603536/detail</t>
  </si>
  <si>
    <t>江苏北人</t>
  </si>
  <si>
    <t>www.lixinger.com/analytics/company/sh/688218/688218/detail</t>
  </si>
  <si>
    <t>福莱新材</t>
  </si>
  <si>
    <t>www.lixinger.com/analytics/company/sh/605488/605488/detail</t>
  </si>
  <si>
    <t>浩云科技</t>
  </si>
  <si>
    <t>www.lixinger.com/analytics/company/sz/300448/300448/detail</t>
  </si>
  <si>
    <t>*ST光一</t>
  </si>
  <si>
    <t>www.lixinger.com/analytics/company/sz/300356/300356/detail</t>
  </si>
  <si>
    <t>高争民爆</t>
  </si>
  <si>
    <t>www.lixinger.com/analytics/company/sz/002827/2827/detail</t>
  </si>
  <si>
    <t>新农股份</t>
  </si>
  <si>
    <t>www.lixinger.com/analytics/company/sz/002942/2942/detail</t>
  </si>
  <si>
    <t>三祥新材</t>
  </si>
  <si>
    <t>www.lixinger.com/analytics/company/sh/603663/603663/detail</t>
  </si>
  <si>
    <t>瀛通通讯</t>
  </si>
  <si>
    <t>www.lixinger.com/analytics/company/sz/002861/2861/detail</t>
  </si>
  <si>
    <t>海锅股份</t>
  </si>
  <si>
    <t>www.lixinger.com/analytics/company/sz/301063/301063/detail</t>
  </si>
  <si>
    <t>宏辉果蔬</t>
  </si>
  <si>
    <t>www.lixinger.com/analytics/company/sh/603336/603336/detail</t>
  </si>
  <si>
    <t>明月镜片</t>
  </si>
  <si>
    <t>www.lixinger.com/analytics/company/sz/301101/301101/detail</t>
  </si>
  <si>
    <t>倍加洁</t>
  </si>
  <si>
    <t>www.lixinger.com/analytics/company/sh/603059/603059/detail</t>
  </si>
  <si>
    <t>新天药业</t>
  </si>
  <si>
    <t>www.lixinger.com/analytics/company/sz/002873/2873/detail</t>
  </si>
  <si>
    <t>捷强装备</t>
  </si>
  <si>
    <t>www.lixinger.com/analytics/company/sz/300875/300875/detail</t>
  </si>
  <si>
    <t>浙江黎明</t>
  </si>
  <si>
    <t>www.lixinger.com/analytics/company/sh/603048/603048/detail</t>
  </si>
  <si>
    <t>有研粉材</t>
  </si>
  <si>
    <t>www.lixinger.com/analytics/company/sh/688456/688456/detail</t>
  </si>
  <si>
    <t>融捷股份</t>
  </si>
  <si>
    <t>www.lixinger.com/analytics/company/sz/002192/2192/detail</t>
  </si>
  <si>
    <t>海融科技</t>
  </si>
  <si>
    <t>www.lixinger.com/analytics/company/sz/300915/300915/detail</t>
  </si>
  <si>
    <t>京城股份</t>
  </si>
  <si>
    <t>www.lixinger.com/analytics/company/sh/600860/600860/detail</t>
  </si>
  <si>
    <t>古鳌科技</t>
  </si>
  <si>
    <t>www.lixinger.com/analytics/company/sz/300551/300551/detail</t>
  </si>
  <si>
    <t>金字火腿</t>
  </si>
  <si>
    <t>www.lixinger.com/analytics/company/sz/002515/2515/detail</t>
  </si>
  <si>
    <t>震有科技</t>
  </si>
  <si>
    <t>www.lixinger.com/analytics/company/sh/688418/688418/detail</t>
  </si>
  <si>
    <t>华培动力</t>
  </si>
  <si>
    <t>www.lixinger.com/analytics/company/sh/603121/603121/detail</t>
  </si>
  <si>
    <t>天地在线</t>
  </si>
  <si>
    <t>www.lixinger.com/analytics/company/sz/002995/2995/detail</t>
  </si>
  <si>
    <t>国立科技</t>
  </si>
  <si>
    <t>www.lixinger.com/analytics/company/sz/300716/300716/detail</t>
  </si>
  <si>
    <t>纵横通信</t>
  </si>
  <si>
    <t>www.lixinger.com/analytics/company/sh/603602/603602/detail</t>
  </si>
  <si>
    <t>世嘉科技</t>
  </si>
  <si>
    <t>www.lixinger.com/analytics/company/sz/002796/2796/detail</t>
  </si>
  <si>
    <t>顶点软件</t>
  </si>
  <si>
    <t>www.lixinger.com/analytics/company/sh/603383/603383/detail</t>
  </si>
  <si>
    <t>津膜科技</t>
  </si>
  <si>
    <t>www.lixinger.com/analytics/company/sz/300334/300334/detail</t>
  </si>
  <si>
    <t>美格智能</t>
  </si>
  <si>
    <t>www.lixinger.com/analytics/company/sz/002881/2881/detail</t>
  </si>
  <si>
    <t>中晟高科</t>
  </si>
  <si>
    <t>www.lixinger.com/analytics/company/sz/002778/2778/detail</t>
  </si>
  <si>
    <t>亚太药业</t>
  </si>
  <si>
    <t>www.lixinger.com/analytics/company/sz/002370/2370/detail</t>
  </si>
  <si>
    <t>中旗新材</t>
  </si>
  <si>
    <t>www.lixinger.com/analytics/company/sz/001212/1212/detail</t>
  </si>
  <si>
    <t>东亚机械</t>
  </si>
  <si>
    <t>www.lixinger.com/analytics/company/sz/301028/301028/detail</t>
  </si>
  <si>
    <t>晶雪节能</t>
  </si>
  <si>
    <t>www.lixinger.com/analytics/company/sz/301010/301010/detail</t>
  </si>
  <si>
    <t>青木股份</t>
  </si>
  <si>
    <t>www.lixinger.com/analytics/company/sz/301110/301110/detail</t>
  </si>
  <si>
    <t>世纪鼎利</t>
  </si>
  <si>
    <t>www.lixinger.com/analytics/company/sz/300050/300050/detail</t>
  </si>
  <si>
    <t>卫信康</t>
  </si>
  <si>
    <t>www.lixinger.com/analytics/company/sh/603676/603676/detail</t>
  </si>
  <si>
    <t>华光新材</t>
  </si>
  <si>
    <t>www.lixinger.com/analytics/company/sh/688379/688379/detail</t>
  </si>
  <si>
    <t>*ST聚龙</t>
  </si>
  <si>
    <t>www.lixinger.com/analytics/company/sz/300202/300202/detail</t>
  </si>
  <si>
    <t>铜牛信息</t>
  </si>
  <si>
    <t>www.lixinger.com/analytics/company/sz/300895/300895/detail</t>
  </si>
  <si>
    <t>银之杰</t>
  </si>
  <si>
    <t>www.lixinger.com/analytics/company/sz/300085/300085/detail</t>
  </si>
  <si>
    <t>盛德鑫泰</t>
  </si>
  <si>
    <t>www.lixinger.com/analytics/company/sz/300881/300881/detail</t>
  </si>
  <si>
    <t>力诺特玻</t>
  </si>
  <si>
    <t>www.lixinger.com/analytics/company/sz/301188/301188/detail</t>
  </si>
  <si>
    <t>永和智控</t>
  </si>
  <si>
    <t>www.lixinger.com/analytics/company/sz/002795/2795/detail</t>
  </si>
  <si>
    <t>莎普爱思</t>
  </si>
  <si>
    <t>www.lixinger.com/analytics/company/sh/603168/603168/detail</t>
  </si>
  <si>
    <t>华恒生物</t>
  </si>
  <si>
    <t>www.lixinger.com/analytics/company/sh/688639/688639/detail</t>
  </si>
  <si>
    <t>名雕股份</t>
  </si>
  <si>
    <t>www.lixinger.com/analytics/company/sz/002830/2830/detail</t>
  </si>
  <si>
    <t>易天股份</t>
  </si>
  <si>
    <t>www.lixinger.com/analytics/company/sz/300812/300812/detail</t>
  </si>
  <si>
    <t>返利科技</t>
  </si>
  <si>
    <t>www.lixinger.com/analytics/company/sh/600228/600228/detail</t>
  </si>
  <si>
    <t>*ST盈方</t>
  </si>
  <si>
    <t>www.lixinger.com/analytics/company/sz/000670/670/detail</t>
  </si>
  <si>
    <t>清溢光电</t>
  </si>
  <si>
    <t>www.lixinger.com/analytics/company/sh/688138/688138/detail</t>
  </si>
  <si>
    <t>艾德生物</t>
  </si>
  <si>
    <t>www.lixinger.com/analytics/company/sz/300685/300685/detail</t>
  </si>
  <si>
    <t>国林科技</t>
  </si>
  <si>
    <t>www.lixinger.com/analytics/company/sz/300786/300786/detail</t>
  </si>
  <si>
    <t>顶固集创</t>
  </si>
  <si>
    <t>www.lixinger.com/analytics/company/sz/300749/300749/detail</t>
  </si>
  <si>
    <t>芯瑞达</t>
  </si>
  <si>
    <t>www.lixinger.com/analytics/company/sz/002983/2983/detail</t>
  </si>
  <si>
    <t>星华反光</t>
  </si>
  <si>
    <t>www.lixinger.com/analytics/company/sz/301077/301077/detail</t>
  </si>
  <si>
    <t>易联众</t>
  </si>
  <si>
    <t>www.lixinger.com/analytics/company/sz/300096/300096/detail</t>
  </si>
  <si>
    <t>天晟新材</t>
  </si>
  <si>
    <t>www.lixinger.com/analytics/company/sz/300169/300169/detail</t>
  </si>
  <si>
    <t>天益医疗</t>
  </si>
  <si>
    <t>www.lixinger.com/analytics/company/sz/301097/301097/detail</t>
  </si>
  <si>
    <t>仟源医药</t>
  </si>
  <si>
    <t>www.lixinger.com/analytics/company/sz/300254/300254/detail</t>
  </si>
  <si>
    <t>奥福环保</t>
  </si>
  <si>
    <t>www.lixinger.com/analytics/company/sh/688021/688021/detail</t>
  </si>
  <si>
    <t>百合股份</t>
  </si>
  <si>
    <t>www.lixinger.com/analytics/company/sh/603102/603102/detail</t>
  </si>
  <si>
    <t>天目湖</t>
  </si>
  <si>
    <t>www.lixinger.com/analytics/company/sh/603136/603136/detail</t>
  </si>
  <si>
    <t>真爱美家</t>
  </si>
  <si>
    <t>www.lixinger.com/analytics/company/sz/003041/3041/detail</t>
  </si>
  <si>
    <t>蜀道装备</t>
  </si>
  <si>
    <t>www.lixinger.com/analytics/company/sz/300540/300540/detail</t>
  </si>
  <si>
    <t>透景生命</t>
  </si>
  <si>
    <t>www.lixinger.com/analytics/company/sz/300642/300642/detail</t>
  </si>
  <si>
    <t>麦趣尔</t>
  </si>
  <si>
    <t>www.lixinger.com/analytics/company/sz/002719/2719/detail</t>
  </si>
  <si>
    <t>神工股份</t>
  </si>
  <si>
    <t>www.lixinger.com/analytics/company/sh/688233/688233/detail</t>
  </si>
  <si>
    <t>高伟达</t>
  </si>
  <si>
    <t>www.lixinger.com/analytics/company/sz/300465/300465/detail</t>
  </si>
  <si>
    <t>东威科技</t>
  </si>
  <si>
    <t>www.lixinger.com/analytics/company/sh/688700/688700/detail</t>
  </si>
  <si>
    <t>和仁科技</t>
  </si>
  <si>
    <t>www.lixinger.com/analytics/company/sz/300550/300550/detail</t>
  </si>
  <si>
    <t>南京聚隆</t>
  </si>
  <si>
    <t>www.lixinger.com/analytics/company/sz/300644/300644/detail</t>
  </si>
  <si>
    <t>壶化股份</t>
  </si>
  <si>
    <t>www.lixinger.com/analytics/company/sz/003002/3002/detail</t>
  </si>
  <si>
    <t>银河磁体</t>
  </si>
  <si>
    <t>www.lixinger.com/analytics/company/sz/300127/300127/detail</t>
  </si>
  <si>
    <t>万兴科技</t>
  </si>
  <si>
    <t>www.lixinger.com/analytics/company/sz/300624/300624/detail</t>
  </si>
  <si>
    <t>安纳达</t>
  </si>
  <si>
    <t>www.lixinger.com/analytics/company/sz/002136/2136/detail</t>
  </si>
  <si>
    <t>贝斯美</t>
  </si>
  <si>
    <t>www.lixinger.com/analytics/company/sz/300796/300796/detail</t>
  </si>
  <si>
    <t>普门科技</t>
  </si>
  <si>
    <t>www.lixinger.com/analytics/company/sh/688389/688389/detail</t>
  </si>
  <si>
    <t>敦煌种业</t>
  </si>
  <si>
    <t>www.lixinger.com/analytics/company/sh/600354/600354/detail</t>
  </si>
  <si>
    <t>恒宇信通</t>
  </si>
  <si>
    <t>www.lixinger.com/analytics/company/sz/300965/300965/detail</t>
  </si>
  <si>
    <t>*ST德新</t>
  </si>
  <si>
    <t>www.lixinger.com/analytics/company/sh/603032/603032/detail</t>
  </si>
  <si>
    <t>深圳瑞捷</t>
  </si>
  <si>
    <t>www.lixinger.com/analytics/company/sz/300977/300977/detail</t>
  </si>
  <si>
    <t>艾迪药业</t>
  </si>
  <si>
    <t>www.lixinger.com/analytics/company/sh/688488/688488/detail</t>
  </si>
  <si>
    <t>凯盛新材</t>
  </si>
  <si>
    <t>www.lixinger.com/analytics/company/sz/301069/301069/detail</t>
  </si>
  <si>
    <t>数字认证</t>
  </si>
  <si>
    <t>www.lixinger.com/analytics/company/sz/300579/300579/detail</t>
  </si>
  <si>
    <t>浙矿股份</t>
  </si>
  <si>
    <t>www.lixinger.com/analytics/company/sz/300837/300837/detail</t>
  </si>
  <si>
    <t>理工光科</t>
  </si>
  <si>
    <t>www.lixinger.com/analytics/company/sz/300557/300557/detail</t>
  </si>
  <si>
    <t>威腾电气</t>
  </si>
  <si>
    <t>www.lixinger.com/analytics/company/sh/688226/688226/detail</t>
  </si>
  <si>
    <t>ST文化</t>
  </si>
  <si>
    <t>www.lixinger.com/analytics/company/sz/300089/300089/detail</t>
  </si>
  <si>
    <t>腾信股份</t>
  </si>
  <si>
    <t>www.lixinger.com/analytics/company/sz/300392/300392/detail</t>
  </si>
  <si>
    <t>盛弘股份</t>
  </si>
  <si>
    <t>www.lixinger.com/analytics/company/sz/300693/300693/detail</t>
  </si>
  <si>
    <t>赛科希德</t>
  </si>
  <si>
    <t>www.lixinger.com/analytics/company/sh/688338/688338/detail</t>
  </si>
  <si>
    <t>广生堂</t>
  </si>
  <si>
    <t>www.lixinger.com/analytics/company/sz/300436/300436/detail</t>
  </si>
  <si>
    <t>中环海陆</t>
  </si>
  <si>
    <t>www.lixinger.com/analytics/company/sz/301040/301040/detail</t>
  </si>
  <si>
    <t>特宝生物</t>
  </si>
  <si>
    <t>www.lixinger.com/analytics/company/sh/688278/688278/detail</t>
  </si>
  <si>
    <t>金富科技</t>
  </si>
  <si>
    <t>www.lixinger.com/analytics/company/sz/003018/3018/detail</t>
  </si>
  <si>
    <t>力量钻石</t>
  </si>
  <si>
    <t>www.lixinger.com/analytics/company/sz/301071/301071/detail</t>
  </si>
  <si>
    <t>安奈儿</t>
  </si>
  <si>
    <t>www.lixinger.com/analytics/company/sz/002875/2875/detail</t>
  </si>
  <si>
    <t>电工合金</t>
  </si>
  <si>
    <t>www.lixinger.com/analytics/company/sz/300697/300697/detail</t>
  </si>
  <si>
    <t>润欣科技</t>
  </si>
  <si>
    <t>www.lixinger.com/analytics/company/sz/300493/300493/detail</t>
  </si>
  <si>
    <t>久之洋</t>
  </si>
  <si>
    <t>www.lixinger.com/analytics/company/sz/300516/300516/detail</t>
  </si>
  <si>
    <t>胜蓝股份</t>
  </si>
  <si>
    <t>www.lixinger.com/analytics/company/sz/300843/300843/detail</t>
  </si>
  <si>
    <t>宝丽迪</t>
  </si>
  <si>
    <t>www.lixinger.com/analytics/company/sz/300905/300905/detail</t>
  </si>
  <si>
    <t>森远股份</t>
  </si>
  <si>
    <t>www.lixinger.com/analytics/company/sz/300210/300210/detail</t>
  </si>
  <si>
    <t>ST联建</t>
  </si>
  <si>
    <t>www.lixinger.com/analytics/company/sz/300269/300269/detail</t>
  </si>
  <si>
    <t>德生科技</t>
  </si>
  <si>
    <t>www.lixinger.com/analytics/company/sz/002908/2908/detail</t>
  </si>
  <si>
    <t>科信技术</t>
  </si>
  <si>
    <t>www.lixinger.com/analytics/company/sz/300565/300565/detail</t>
  </si>
  <si>
    <t>海欣食品</t>
  </si>
  <si>
    <t>www.lixinger.com/analytics/company/sz/002702/2702/detail</t>
  </si>
  <si>
    <t>伟时电子</t>
  </si>
  <si>
    <t>www.lixinger.com/analytics/company/sh/605218/605218/detail</t>
  </si>
  <si>
    <t>天永智能</t>
  </si>
  <si>
    <t>www.lixinger.com/analytics/company/sh/603895/603895/detail</t>
  </si>
  <si>
    <t>恒锋工具</t>
  </si>
  <si>
    <t>www.lixinger.com/analytics/company/sz/300488/300488/detail</t>
  </si>
  <si>
    <t>洪兴股份</t>
  </si>
  <si>
    <t>www.lixinger.com/analytics/company/sz/001209/1209/detail</t>
  </si>
  <si>
    <t>复洁环保</t>
  </si>
  <si>
    <t>www.lixinger.com/analytics/company/sh/688335/688335/detail</t>
  </si>
  <si>
    <t>鼎阳科技</t>
  </si>
  <si>
    <t>www.lixinger.com/analytics/company/sh/688112/688112/detail</t>
  </si>
  <si>
    <t>统联精密</t>
  </si>
  <si>
    <t>www.lixinger.com/analytics/company/sh/688210/688210/detail</t>
  </si>
  <si>
    <t>致远新能</t>
  </si>
  <si>
    <t>www.lixinger.com/analytics/company/sz/300985/300985/detail</t>
  </si>
  <si>
    <t>兰剑智能</t>
  </si>
  <si>
    <t>www.lixinger.com/analytics/company/sh/688557/688557/detail</t>
  </si>
  <si>
    <t>科美诊断</t>
  </si>
  <si>
    <t>www.lixinger.com/analytics/company/sh/688468/688468/detail</t>
  </si>
  <si>
    <t>嘉必优</t>
  </si>
  <si>
    <t>www.lixinger.com/analytics/company/sh/688089/688089/detail</t>
  </si>
  <si>
    <t>合力科技</t>
  </si>
  <si>
    <t>www.lixinger.com/analytics/company/sh/603917/603917/detail</t>
  </si>
  <si>
    <t>合富中国</t>
  </si>
  <si>
    <t>www.lixinger.com/analytics/company/sh/603122/603122/detail</t>
  </si>
  <si>
    <t>秋田微</t>
  </si>
  <si>
    <t>www.lixinger.com/analytics/company/sz/300939/300939/detail</t>
  </si>
  <si>
    <t>燕麦科技</t>
  </si>
  <si>
    <t>www.lixinger.com/analytics/company/sh/688312/688312/detail</t>
  </si>
  <si>
    <t>德石股份</t>
  </si>
  <si>
    <t>www.lixinger.com/analytics/company/sz/301158/301158/detail</t>
  </si>
  <si>
    <t>中视传媒</t>
  </si>
  <si>
    <t>www.lixinger.com/analytics/company/sh/600088/600088/detail</t>
  </si>
  <si>
    <t>斯瑞新材</t>
  </si>
  <si>
    <t>www.lixinger.com/analytics/company/sh/688102/688102/detail</t>
  </si>
  <si>
    <t>安妮股份</t>
  </si>
  <si>
    <t>www.lixinger.com/analytics/company/sz/002235/2235/detail</t>
  </si>
  <si>
    <t>海峡创新</t>
  </si>
  <si>
    <t>www.lixinger.com/analytics/company/sz/300300/300300/detail</t>
  </si>
  <si>
    <t>金明精机</t>
  </si>
  <si>
    <t>www.lixinger.com/analytics/company/sz/300281/300281/detail</t>
  </si>
  <si>
    <t>引力传媒</t>
  </si>
  <si>
    <t>www.lixinger.com/analytics/company/sh/603598/603598/detail</t>
  </si>
  <si>
    <t>杰创智能</t>
  </si>
  <si>
    <t>www.lixinger.com/analytics/company/sz/301248/301248/detail</t>
  </si>
  <si>
    <t>新大正</t>
  </si>
  <si>
    <t>www.lixinger.com/analytics/company/sz/002968/2968/detail</t>
  </si>
  <si>
    <t>有方科技</t>
  </si>
  <si>
    <t>www.lixinger.com/analytics/company/sh/688159/688159/detail</t>
  </si>
  <si>
    <t>浙江仙通</t>
  </si>
  <si>
    <t>www.lixinger.com/analytics/company/sh/603239/603239/detail</t>
  </si>
  <si>
    <t>力鼎光电</t>
  </si>
  <si>
    <t>www.lixinger.com/analytics/company/sh/605118/605118/detail</t>
  </si>
  <si>
    <t>上海沿浦</t>
  </si>
  <si>
    <t>www.lixinger.com/analytics/company/sh/605128/605128/detail</t>
  </si>
  <si>
    <t>雷迪克</t>
  </si>
  <si>
    <t>www.lixinger.com/analytics/company/sz/300652/300652/detail</t>
  </si>
  <si>
    <t>新亚电子</t>
  </si>
  <si>
    <t>www.lixinger.com/analytics/company/sh/605277/605277/detail</t>
  </si>
  <si>
    <t>中大力德</t>
  </si>
  <si>
    <t>www.lixinger.com/analytics/company/sz/002896/2896/detail</t>
  </si>
  <si>
    <t>合诚股份</t>
  </si>
  <si>
    <t>www.lixinger.com/analytics/company/sh/603909/603909/detail</t>
  </si>
  <si>
    <t>久量股份</t>
  </si>
  <si>
    <t>www.lixinger.com/analytics/company/sz/300808/300808/detail</t>
  </si>
  <si>
    <t>宝馨科技</t>
  </si>
  <si>
    <t>www.lixinger.com/analytics/company/sz/002514/2514/detail</t>
  </si>
  <si>
    <t>美邦股份</t>
  </si>
  <si>
    <t>www.lixinger.com/analytics/company/sh/605033/605033/detail</t>
  </si>
  <si>
    <t>品渥食品</t>
  </si>
  <si>
    <t>www.lixinger.com/analytics/company/sz/300892/300892/detail</t>
  </si>
  <si>
    <t>鞍重股份</t>
  </si>
  <si>
    <t>www.lixinger.com/analytics/company/sz/002667/2667/detail</t>
  </si>
  <si>
    <t>三鑫医疗</t>
  </si>
  <si>
    <t>www.lixinger.com/analytics/company/sz/300453/300453/detail</t>
  </si>
  <si>
    <t>贵州三力</t>
  </si>
  <si>
    <t>www.lixinger.com/analytics/company/sh/603439/603439/detail</t>
  </si>
  <si>
    <t>科安达</t>
  </si>
  <si>
    <t>www.lixinger.com/analytics/company/sz/002972/2972/detail</t>
  </si>
  <si>
    <t>浩丰科技</t>
  </si>
  <si>
    <t>www.lixinger.com/analytics/company/sz/300419/300419/detail</t>
  </si>
  <si>
    <t>ST中捷</t>
  </si>
  <si>
    <t>www.lixinger.com/analytics/company/sz/002021/2021/detail</t>
  </si>
  <si>
    <t>雷曼光电</t>
  </si>
  <si>
    <t>www.lixinger.com/analytics/company/sz/300162/300162/detail</t>
  </si>
  <si>
    <t>首药控股</t>
  </si>
  <si>
    <t>www.lixinger.com/analytics/company/sh/688197/688197/detail</t>
  </si>
  <si>
    <t>越博动力</t>
  </si>
  <si>
    <t>www.lixinger.com/analytics/company/sz/300742/300742/detail</t>
  </si>
  <si>
    <t>扬帆新材</t>
  </si>
  <si>
    <t>www.lixinger.com/analytics/company/sz/300637/300637/detail</t>
  </si>
  <si>
    <t>兴瑞科技</t>
  </si>
  <si>
    <t>www.lixinger.com/analytics/company/sz/002937/2937/detail</t>
  </si>
  <si>
    <t>南方精工</t>
  </si>
  <si>
    <t>www.lixinger.com/analytics/company/sz/002553/2553/detail</t>
  </si>
  <si>
    <t>淳中科技</t>
  </si>
  <si>
    <t>www.lixinger.com/analytics/company/sh/603516/603516/detail</t>
  </si>
  <si>
    <t>润阳科技</t>
  </si>
  <si>
    <t>www.lixinger.com/analytics/company/sz/300920/300920/detail</t>
  </si>
  <si>
    <t>奥精医疗</t>
  </si>
  <si>
    <t>www.lixinger.com/analytics/company/sh/688613/688613/detail</t>
  </si>
  <si>
    <t>九华旅游</t>
  </si>
  <si>
    <t>www.lixinger.com/analytics/company/sh/603199/603199/detail</t>
  </si>
  <si>
    <t>光云科技</t>
  </si>
  <si>
    <t>www.lixinger.com/analytics/company/sh/688365/688365/detail</t>
  </si>
  <si>
    <t>深科达</t>
  </si>
  <si>
    <t>www.lixinger.com/analytics/company/sh/688328/688328/detail</t>
  </si>
  <si>
    <t>华研精机</t>
  </si>
  <si>
    <t>www.lixinger.com/analytics/company/sz/301138/301138/detail</t>
  </si>
  <si>
    <t>龙磁科技</t>
  </si>
  <si>
    <t>www.lixinger.com/analytics/company/sz/300835/300835/detail</t>
  </si>
  <si>
    <t>*ST科迪</t>
  </si>
  <si>
    <t>www.lixinger.com/analytics/company/sz/002770/2770/detail</t>
  </si>
  <si>
    <t>君亭酒店</t>
  </si>
  <si>
    <t>www.lixinger.com/analytics/company/sz/301073/301073/detail</t>
  </si>
  <si>
    <t>ST商城</t>
  </si>
  <si>
    <t>www.lixinger.com/analytics/company/sh/600306/600306/detail</t>
  </si>
  <si>
    <t>福晶科技</t>
  </si>
  <si>
    <t>www.lixinger.com/analytics/company/sz/002222/2222/detail</t>
  </si>
  <si>
    <t>野马电池</t>
  </si>
  <si>
    <t>www.lixinger.com/analytics/company/sh/605378/605378/detail</t>
  </si>
  <si>
    <t>图南股份</t>
  </si>
  <si>
    <t>www.lixinger.com/analytics/company/sz/300855/300855/detail</t>
  </si>
  <si>
    <t>明志科技</t>
  </si>
  <si>
    <t>www.lixinger.com/analytics/company/sh/688355/688355/detail</t>
  </si>
  <si>
    <t>格林达</t>
  </si>
  <si>
    <t>www.lixinger.com/analytics/company/sh/603931/603931/detail</t>
  </si>
  <si>
    <t>泰永长征</t>
  </si>
  <si>
    <t>www.lixinger.com/analytics/company/sz/002927/2927/detail</t>
  </si>
  <si>
    <t>朗进科技</t>
  </si>
  <si>
    <t>www.lixinger.com/analytics/company/sz/300594/300594/detail</t>
  </si>
  <si>
    <t>中兰环保</t>
  </si>
  <si>
    <t>www.lixinger.com/analytics/company/sz/300854/300854/detail</t>
  </si>
  <si>
    <t>德创环保</t>
  </si>
  <si>
    <t>www.lixinger.com/analytics/company/sh/603177/603177/detail</t>
  </si>
  <si>
    <t>比依股份</t>
  </si>
  <si>
    <t>www.lixinger.com/analytics/company/sh/603215/603215/detail</t>
  </si>
  <si>
    <t>华神科技</t>
  </si>
  <si>
    <t>www.lixinger.com/analytics/company/sz/000790/790/detail</t>
  </si>
  <si>
    <t>特发服务</t>
  </si>
  <si>
    <t>www.lixinger.com/analytics/company/sz/300917/300917/detail</t>
  </si>
  <si>
    <t>海伦钢琴</t>
  </si>
  <si>
    <t>www.lixinger.com/analytics/company/sz/300329/300329/detail</t>
  </si>
  <si>
    <t>摩恩电气</t>
  </si>
  <si>
    <t>www.lixinger.com/analytics/company/sz/002451/2451/detail</t>
  </si>
  <si>
    <t>拓新药业</t>
  </si>
  <si>
    <t>www.lixinger.com/analytics/company/sz/301089/301089/detail</t>
  </si>
  <si>
    <t>佳缘科技</t>
  </si>
  <si>
    <t>www.lixinger.com/analytics/company/sz/301117/301117/detail</t>
  </si>
  <si>
    <t>威龙股份</t>
  </si>
  <si>
    <t>www.lixinger.com/analytics/company/sh/603779/603779/detail</t>
  </si>
  <si>
    <t>中晶科技</t>
  </si>
  <si>
    <t>www.lixinger.com/analytics/company/sz/003026/3026/detail</t>
  </si>
  <si>
    <t>银河微电</t>
  </si>
  <si>
    <t>www.lixinger.com/analytics/company/sh/688689/688689/detail</t>
  </si>
  <si>
    <t>迪生力</t>
  </si>
  <si>
    <t>www.lixinger.com/analytics/company/sh/603335/603335/detail</t>
  </si>
  <si>
    <t>西藏旅游</t>
  </si>
  <si>
    <t>www.lixinger.com/analytics/company/sh/600749/600749/detail</t>
  </si>
  <si>
    <t>冠石科技</t>
  </si>
  <si>
    <t>www.lixinger.com/analytics/company/sh/605588/605588/detail</t>
  </si>
  <si>
    <t>奥雅设计</t>
  </si>
  <si>
    <t>www.lixinger.com/analytics/company/sz/300949/300949/detail</t>
  </si>
  <si>
    <t>祥生医疗</t>
  </si>
  <si>
    <t>www.lixinger.com/analytics/company/sh/688358/688358/detail</t>
  </si>
  <si>
    <t>四会富仕</t>
  </si>
  <si>
    <t>www.lixinger.com/analytics/company/sz/300852/300852/detail</t>
  </si>
  <si>
    <t>太辰光</t>
  </si>
  <si>
    <t>www.lixinger.com/analytics/company/sz/300570/300570/detail</t>
  </si>
  <si>
    <t>慧辰股份</t>
  </si>
  <si>
    <t>www.lixinger.com/analytics/company/sh/688500/688500/detail</t>
  </si>
  <si>
    <t>安科瑞</t>
  </si>
  <si>
    <t>www.lixinger.com/analytics/company/sz/300286/300286/detail</t>
  </si>
  <si>
    <t>牧高笛</t>
  </si>
  <si>
    <t>www.lixinger.com/analytics/company/sh/603908/603908/detail</t>
  </si>
  <si>
    <t>菲林格尔</t>
  </si>
  <si>
    <t>www.lixinger.com/analytics/company/sh/603226/603226/detail</t>
  </si>
  <si>
    <t>科新机电</t>
  </si>
  <si>
    <t>www.lixinger.com/analytics/company/sz/300092/300092/detail</t>
  </si>
  <si>
    <t>标榜股份</t>
  </si>
  <si>
    <t>www.lixinger.com/analytics/company/sz/301181/301181/detail</t>
  </si>
  <si>
    <t>宇晶股份</t>
  </si>
  <si>
    <t>www.lixinger.com/analytics/company/sz/002943/2943/detail</t>
  </si>
  <si>
    <t>诚意药业</t>
  </si>
  <si>
    <t>www.lixinger.com/analytics/company/sh/603811/603811/detail</t>
  </si>
  <si>
    <t>南大环境</t>
  </si>
  <si>
    <t>www.lixinger.com/analytics/company/sz/300864/300864/detail</t>
  </si>
  <si>
    <t>晨化股份</t>
  </si>
  <si>
    <t>www.lixinger.com/analytics/company/sz/300610/300610/detail</t>
  </si>
  <si>
    <t>交大昂立</t>
  </si>
  <si>
    <t>www.lixinger.com/analytics/company/sh/600530/600530/detail</t>
  </si>
  <si>
    <t>航亚科技</t>
  </si>
  <si>
    <t>www.lixinger.com/analytics/company/sh/688510/688510/detail</t>
  </si>
  <si>
    <t>凌志软件</t>
  </si>
  <si>
    <t>www.lixinger.com/analytics/company/sh/688588/688588/detail</t>
  </si>
  <si>
    <t>南极光</t>
  </si>
  <si>
    <t>www.lixinger.com/analytics/company/sz/300940/300940/detail</t>
  </si>
  <si>
    <t>利扬芯片</t>
  </si>
  <si>
    <t>www.lixinger.com/analytics/company/sh/688135/688135/detail</t>
  </si>
  <si>
    <t>西仪股份</t>
  </si>
  <si>
    <t>www.lixinger.com/analytics/company/sz/002265/2265/detail</t>
  </si>
  <si>
    <t>ST时万</t>
  </si>
  <si>
    <t>www.lixinger.com/analytics/company/sh/600241/600241/detail</t>
  </si>
  <si>
    <t>浩通科技</t>
  </si>
  <si>
    <t>www.lixinger.com/analytics/company/sz/301026/301026/detail</t>
  </si>
  <si>
    <t>安必平</t>
  </si>
  <si>
    <t>www.lixinger.com/analytics/company/sh/688393/688393/detail</t>
  </si>
  <si>
    <t>金牛化工</t>
  </si>
  <si>
    <t>www.lixinger.com/analytics/company/sh/600722/600722/detail</t>
  </si>
  <si>
    <t>千味央厨</t>
  </si>
  <si>
    <t>www.lixinger.com/analytics/company/sz/001215/1215/detail</t>
  </si>
  <si>
    <t>新光光电</t>
  </si>
  <si>
    <t>www.lixinger.com/analytics/company/sh/688011/688011/detail</t>
  </si>
  <si>
    <t>开尔新材</t>
  </si>
  <si>
    <t>www.lixinger.com/analytics/company/sz/300234/300234/detail</t>
  </si>
  <si>
    <t>万通智控</t>
  </si>
  <si>
    <t>www.lixinger.com/analytics/company/sz/300643/300643/detail</t>
  </si>
  <si>
    <t>日久光电</t>
  </si>
  <si>
    <t>www.lixinger.com/analytics/company/sz/003015/3015/detail</t>
  </si>
  <si>
    <t>跃岭股份</t>
  </si>
  <si>
    <t>www.lixinger.com/analytics/company/sz/002725/2725/detail</t>
  </si>
  <si>
    <t>茶花股份</t>
  </si>
  <si>
    <t>www.lixinger.com/analytics/company/sh/603615/603615/detail</t>
  </si>
  <si>
    <t>三羊马</t>
  </si>
  <si>
    <t>www.lixinger.com/analytics/company/sz/001317/1317/detail</t>
  </si>
  <si>
    <t>中毅达</t>
  </si>
  <si>
    <t>www.lixinger.com/analytics/company/sh/600610/600610/detail</t>
  </si>
  <si>
    <t>中元股份</t>
  </si>
  <si>
    <t>www.lixinger.com/analytics/company/sz/300018/300018/detail</t>
  </si>
  <si>
    <t>雅创电子</t>
  </si>
  <si>
    <t>www.lixinger.com/analytics/company/sz/301099/301099/detail</t>
  </si>
  <si>
    <t>酷特智能</t>
  </si>
  <si>
    <t>www.lixinger.com/analytics/company/sz/300840/300840/detail</t>
  </si>
  <si>
    <t>协和电子</t>
  </si>
  <si>
    <t>www.lixinger.com/analytics/company/sh/605258/605258/detail</t>
  </si>
  <si>
    <t>威唐工业</t>
  </si>
  <si>
    <t>www.lixinger.com/analytics/company/sz/300707/300707/detail</t>
  </si>
  <si>
    <t>思林杰</t>
  </si>
  <si>
    <t>www.lixinger.com/analytics/company/sh/688115/688115/detail</t>
  </si>
  <si>
    <t>宏昌科技</t>
  </si>
  <si>
    <t>www.lixinger.com/analytics/company/sz/301008/301008/detail</t>
  </si>
  <si>
    <t>本立科技</t>
  </si>
  <si>
    <t>www.lixinger.com/analytics/company/sz/301065/301065/detail</t>
  </si>
  <si>
    <t>超达装备</t>
  </si>
  <si>
    <t>www.lixinger.com/analytics/company/sz/301186/301186/detail</t>
  </si>
  <si>
    <t>普丽盛</t>
  </si>
  <si>
    <t>www.lixinger.com/analytics/company/sz/300442/300442/detail</t>
  </si>
  <si>
    <t>*ST当代</t>
  </si>
  <si>
    <t>www.lixinger.com/analytics/company/sz/000673/673/detail</t>
  </si>
  <si>
    <t>镇海股份</t>
  </si>
  <si>
    <t>www.lixinger.com/analytics/company/sh/603637/603637/detail</t>
  </si>
  <si>
    <t>中通国脉</t>
  </si>
  <si>
    <t>www.lixinger.com/analytics/company/sh/603559/603559/detail</t>
  </si>
  <si>
    <t>大洋生物</t>
  </si>
  <si>
    <t>www.lixinger.com/analytics/company/sz/003017/3017/detail</t>
  </si>
  <si>
    <t>创源股份</t>
  </si>
  <si>
    <t>www.lixinger.com/analytics/company/sz/300703/300703/detail</t>
  </si>
  <si>
    <t>中船汉光</t>
  </si>
  <si>
    <t>www.lixinger.com/analytics/company/sz/300847/300847/detail</t>
  </si>
  <si>
    <t>松井股份</t>
  </si>
  <si>
    <t>www.lixinger.com/analytics/company/sh/688157/688157/detail</t>
  </si>
  <si>
    <t>第一医药</t>
  </si>
  <si>
    <t>www.lixinger.com/analytics/company/sh/600833/600833/detail</t>
  </si>
  <si>
    <t>钢研纳克</t>
  </si>
  <si>
    <t>www.lixinger.com/analytics/company/sz/300797/300797/detail</t>
  </si>
  <si>
    <t>信测标准</t>
  </si>
  <si>
    <t>www.lixinger.com/analytics/company/sz/300938/300938/detail</t>
  </si>
  <si>
    <t>阿拉丁</t>
  </si>
  <si>
    <t>www.lixinger.com/analytics/company/sh/688179/688179/detail</t>
  </si>
  <si>
    <t>金盾股份</t>
  </si>
  <si>
    <t>www.lixinger.com/analytics/company/sz/300411/300411/detail</t>
  </si>
  <si>
    <t>青达环保</t>
  </si>
  <si>
    <t>www.lixinger.com/analytics/company/sh/688501/688501/detail</t>
  </si>
  <si>
    <t>研奥股份</t>
  </si>
  <si>
    <t>www.lixinger.com/analytics/company/sz/300923/300923/detail</t>
  </si>
  <si>
    <t>中嘉博创</t>
  </si>
  <si>
    <t>www.lixinger.com/analytics/company/sz/000889/889/detail</t>
  </si>
  <si>
    <t>本川智能</t>
  </si>
  <si>
    <t>www.lixinger.com/analytics/company/sz/300964/300964/detail</t>
  </si>
  <si>
    <t>贤丰控股</t>
  </si>
  <si>
    <t>www.lixinger.com/analytics/company/sz/002141/2141/detail</t>
  </si>
  <si>
    <t>天鹅股份</t>
  </si>
  <si>
    <t>www.lixinger.com/analytics/company/sh/603029/603029/detail</t>
  </si>
  <si>
    <t>澳华内镜</t>
  </si>
  <si>
    <t>www.lixinger.com/analytics/company/sh/688212/688212/detail</t>
  </si>
  <si>
    <t>百龙创园</t>
  </si>
  <si>
    <t>www.lixinger.com/analytics/company/sh/605016/605016/detail</t>
  </si>
  <si>
    <t>新劲刚</t>
  </si>
  <si>
    <t>www.lixinger.com/analytics/company/sz/300629/300629/detail</t>
  </si>
  <si>
    <t>中银绒业</t>
  </si>
  <si>
    <t>www.lixinger.com/analytics/company/sz/000982/982/detail</t>
  </si>
  <si>
    <t>世华科技</t>
  </si>
  <si>
    <t>www.lixinger.com/analytics/company/sh/688093/688093/detail</t>
  </si>
  <si>
    <t>易瑞生物</t>
  </si>
  <si>
    <t>www.lixinger.com/analytics/company/sz/300942/300942/detail</t>
  </si>
  <si>
    <t>宝塔实业</t>
  </si>
  <si>
    <t>www.lixinger.com/analytics/company/sz/000595/595/detail</t>
  </si>
  <si>
    <t>冠龙节能</t>
  </si>
  <si>
    <t>www.lixinger.com/analytics/company/sz/301151/301151/detail</t>
  </si>
  <si>
    <t>永安林业</t>
  </si>
  <si>
    <t>www.lixinger.com/analytics/company/sz/000663/663/detail</t>
  </si>
  <si>
    <t>利和兴</t>
  </si>
  <si>
    <t>www.lixinger.com/analytics/company/sz/301013/301013/detail</t>
  </si>
  <si>
    <t>锐奇股份</t>
  </si>
  <si>
    <t>www.lixinger.com/analytics/company/sz/300126/300126/detail</t>
  </si>
  <si>
    <t>严牌股份</t>
  </si>
  <si>
    <t>www.lixinger.com/analytics/company/sz/301081/301081/detail</t>
  </si>
  <si>
    <t>科泰电源</t>
  </si>
  <si>
    <t>www.lixinger.com/analytics/company/sz/300153/300153/detail</t>
  </si>
  <si>
    <t>凯立新材</t>
  </si>
  <si>
    <t>www.lixinger.com/analytics/company/sh/688269/688269/detail</t>
  </si>
  <si>
    <t>征和工业</t>
  </si>
  <si>
    <t>www.lixinger.com/analytics/company/sz/003033/3033/detail</t>
  </si>
  <si>
    <t>新中港</t>
  </si>
  <si>
    <t>www.lixinger.com/analytics/company/sh/605162/605162/detail</t>
  </si>
  <si>
    <t>联瑞新材</t>
  </si>
  <si>
    <t>www.lixinger.com/analytics/company/sh/688300/688300/detail</t>
  </si>
  <si>
    <t>交大思诺</t>
  </si>
  <si>
    <t>www.lixinger.com/analytics/company/sz/300851/300851/detail</t>
  </si>
  <si>
    <t>惠泉啤酒</t>
  </si>
  <si>
    <t>www.lixinger.com/analytics/company/sh/600573/600573/detail</t>
  </si>
  <si>
    <t>立霸股份</t>
  </si>
  <si>
    <t>www.lixinger.com/analytics/company/sh/603519/603519/detail</t>
  </si>
  <si>
    <t>共同药业</t>
  </si>
  <si>
    <t>www.lixinger.com/analytics/company/sz/300966/300966/detail</t>
  </si>
  <si>
    <t>南卫股份</t>
  </si>
  <si>
    <t>www.lixinger.com/analytics/company/sh/603880/603880/detail</t>
  </si>
  <si>
    <t>津荣天宇</t>
  </si>
  <si>
    <t>www.lixinger.com/analytics/company/sz/300988/300988/detail</t>
  </si>
  <si>
    <t>海南椰岛</t>
  </si>
  <si>
    <t>www.lixinger.com/analytics/company/sh/600238/600238/detail</t>
  </si>
  <si>
    <t>朗科科技</t>
  </si>
  <si>
    <t>www.lixinger.com/analytics/company/sz/300042/300042/detail</t>
  </si>
  <si>
    <t>药易购</t>
  </si>
  <si>
    <t>www.lixinger.com/analytics/company/sz/300937/300937/detail</t>
  </si>
  <si>
    <t>金力泰</t>
  </si>
  <si>
    <t>www.lixinger.com/analytics/company/sz/300225/300225/detail</t>
  </si>
  <si>
    <t>民德电子</t>
  </si>
  <si>
    <t>www.lixinger.com/analytics/company/sz/300656/300656/detail</t>
  </si>
  <si>
    <t>永泰运</t>
  </si>
  <si>
    <t>www.lixinger.com/analytics/company/sz/001228/1228/detail</t>
  </si>
  <si>
    <t>嘉亨家化</t>
  </si>
  <si>
    <t>www.lixinger.com/analytics/company/sz/300955/300955/detail</t>
  </si>
  <si>
    <t>海辰药业</t>
  </si>
  <si>
    <t>www.lixinger.com/analytics/company/sz/300584/300584/detail</t>
  </si>
  <si>
    <t>杭州园林</t>
  </si>
  <si>
    <t>www.lixinger.com/analytics/company/sz/300649/300649/detail</t>
  </si>
  <si>
    <t>智明达</t>
  </si>
  <si>
    <t>www.lixinger.com/analytics/company/sh/688636/688636/detail</t>
  </si>
  <si>
    <t>麦迪科技</t>
  </si>
  <si>
    <t>www.lixinger.com/analytics/company/sh/603990/603990/detail</t>
  </si>
  <si>
    <t>星光农机</t>
  </si>
  <si>
    <t>www.lixinger.com/analytics/company/sh/603789/603789/detail</t>
  </si>
  <si>
    <t>江龙船艇</t>
  </si>
  <si>
    <t>www.lixinger.com/analytics/company/sz/300589/300589/detail</t>
  </si>
  <si>
    <t>纳微科技</t>
  </si>
  <si>
    <t>www.lixinger.com/analytics/company/sh/688690/688690/detail</t>
  </si>
  <si>
    <t>法狮龙</t>
  </si>
  <si>
    <t>www.lixinger.com/analytics/company/sh/605318/605318/detail</t>
  </si>
  <si>
    <t>如通股份</t>
  </si>
  <si>
    <t>www.lixinger.com/analytics/company/sh/603036/603036/detail</t>
  </si>
  <si>
    <t>汇纳科技</t>
  </si>
  <si>
    <t>www.lixinger.com/analytics/company/sz/300609/300609/detail</t>
  </si>
  <si>
    <t>北纬科技</t>
  </si>
  <si>
    <t>www.lixinger.com/analytics/company/sz/002148/2148/detail</t>
  </si>
  <si>
    <t>华安鑫创</t>
  </si>
  <si>
    <t>www.lixinger.com/analytics/company/sz/300928/300928/detail</t>
  </si>
  <si>
    <t>新通联</t>
  </si>
  <si>
    <t>www.lixinger.com/analytics/company/sh/603022/603022/detail</t>
  </si>
  <si>
    <t>康普顿</t>
  </si>
  <si>
    <t>www.lixinger.com/analytics/company/sh/603798/603798/detail</t>
  </si>
  <si>
    <t>华体科技</t>
  </si>
  <si>
    <t>www.lixinger.com/analytics/company/sh/603679/603679/detail</t>
  </si>
  <si>
    <t>神宇股份</t>
  </si>
  <si>
    <t>www.lixinger.com/analytics/company/sz/300563/300563/detail</t>
  </si>
  <si>
    <t>*ST天成</t>
  </si>
  <si>
    <t>www.lixinger.com/analytics/company/sh/600112/600112/detail</t>
  </si>
  <si>
    <t>赛摩智能</t>
  </si>
  <si>
    <t>www.lixinger.com/analytics/company/sz/300466/300466/detail</t>
  </si>
  <si>
    <t>通合科技</t>
  </si>
  <si>
    <t>www.lixinger.com/analytics/company/sz/300491/300491/detail</t>
  </si>
  <si>
    <t>佳隆股份</t>
  </si>
  <si>
    <t>www.lixinger.com/analytics/company/sz/002495/2495/detail</t>
  </si>
  <si>
    <t>朗特智能</t>
  </si>
  <si>
    <t>www.lixinger.com/analytics/company/sz/300916/300916/detail</t>
  </si>
  <si>
    <t>骏成科技</t>
  </si>
  <si>
    <t>www.lixinger.com/analytics/company/sz/301106/301106/detail</t>
  </si>
  <si>
    <t>ST天润</t>
  </si>
  <si>
    <t>www.lixinger.com/analytics/company/sz/002113/2113/detail</t>
  </si>
  <si>
    <t>伟创电气</t>
  </si>
  <si>
    <t>www.lixinger.com/analytics/company/sh/688698/688698/detail</t>
  </si>
  <si>
    <t>兰州黄河</t>
  </si>
  <si>
    <t>www.lixinger.com/analytics/company/sz/000929/929/detail</t>
  </si>
  <si>
    <t>阳光诺和</t>
  </si>
  <si>
    <t>www.lixinger.com/analytics/company/sh/688621/688621/detail</t>
  </si>
  <si>
    <t>万里石</t>
  </si>
  <si>
    <t>www.lixinger.com/analytics/company/sz/002785/2785/detail</t>
  </si>
  <si>
    <t>创识科技</t>
  </si>
  <si>
    <t>www.lixinger.com/analytics/company/sz/300941/300941/detail</t>
  </si>
  <si>
    <t>赛福天</t>
  </si>
  <si>
    <t>www.lixinger.com/analytics/company/sh/603028/603028/detail</t>
  </si>
  <si>
    <t>华瑞股份</t>
  </si>
  <si>
    <t>www.lixinger.com/analytics/company/sz/300626/300626/detail</t>
  </si>
  <si>
    <t>海泰科</t>
  </si>
  <si>
    <t>www.lixinger.com/analytics/company/sz/301022/301022/detail</t>
  </si>
  <si>
    <t>美尔雅</t>
  </si>
  <si>
    <t>www.lixinger.com/analytics/company/sh/600107/600107/detail</t>
  </si>
  <si>
    <t>北矿科技</t>
  </si>
  <si>
    <t>www.lixinger.com/analytics/company/sh/600980/600980/detail</t>
  </si>
  <si>
    <t>宁波方正</t>
  </si>
  <si>
    <t>www.lixinger.com/analytics/company/sz/300998/300998/detail</t>
  </si>
  <si>
    <t>金鸿顺</t>
  </si>
  <si>
    <t>www.lixinger.com/analytics/company/sh/603922/603922/detail</t>
  </si>
  <si>
    <t>肇民科技</t>
  </si>
  <si>
    <t>www.lixinger.com/analytics/company/sz/301000/301000/detail</t>
  </si>
  <si>
    <t>中创环保</t>
  </si>
  <si>
    <t>www.lixinger.com/analytics/company/sz/300056/300056/detail</t>
  </si>
  <si>
    <t>迪贝电气</t>
  </si>
  <si>
    <t>www.lixinger.com/analytics/company/sh/603320/603320/detail</t>
  </si>
  <si>
    <t>味知香</t>
  </si>
  <si>
    <t>www.lixinger.com/analytics/company/sh/605089/605089/detail</t>
  </si>
  <si>
    <t>建科院</t>
  </si>
  <si>
    <t>www.lixinger.com/analytics/company/sz/300675/300675/detail</t>
  </si>
  <si>
    <t>三变科技</t>
  </si>
  <si>
    <t>www.lixinger.com/analytics/company/sz/002112/2112/detail</t>
  </si>
  <si>
    <t>矩子科技</t>
  </si>
  <si>
    <t>www.lixinger.com/analytics/company/sz/300802/300802/detail</t>
  </si>
  <si>
    <t>浙江恒威</t>
  </si>
  <si>
    <t>www.lixinger.com/analytics/company/sz/301222/301222/detail</t>
  </si>
  <si>
    <t>瑞玛精密</t>
  </si>
  <si>
    <t>www.lixinger.com/analytics/company/sz/002976/2976/detail</t>
  </si>
  <si>
    <t>国瑞科技</t>
  </si>
  <si>
    <t>www.lixinger.com/analytics/company/sz/300600/300600/detail</t>
  </si>
  <si>
    <t>锋龙股份</t>
  </si>
  <si>
    <t>www.lixinger.com/analytics/company/sz/002931/2931/detail</t>
  </si>
  <si>
    <t>金海高科</t>
  </si>
  <si>
    <t>www.lixinger.com/analytics/company/sh/603311/603311/detail</t>
  </si>
  <si>
    <t>建科机械</t>
  </si>
  <si>
    <t>www.lixinger.com/analytics/company/sz/300823/300823/detail</t>
  </si>
  <si>
    <t>金现代</t>
  </si>
  <si>
    <t>www.lixinger.com/analytics/company/sz/300830/300830/detail</t>
  </si>
  <si>
    <t>天箭科技</t>
  </si>
  <si>
    <t>www.lixinger.com/analytics/company/sz/002977/2977/detail</t>
  </si>
  <si>
    <t>阿石创</t>
  </si>
  <si>
    <t>www.lixinger.com/analytics/company/sz/300706/300706/detail</t>
  </si>
  <si>
    <t>三星新材</t>
  </si>
  <si>
    <t>www.lixinger.com/analytics/company/sh/603578/603578/detail</t>
  </si>
  <si>
    <t>安联锐视</t>
  </si>
  <si>
    <t>www.lixinger.com/analytics/company/sz/301042/301042/detail</t>
  </si>
  <si>
    <t>芯碁微装</t>
  </si>
  <si>
    <t>www.lixinger.com/analytics/company/sh/688630/688630/detail</t>
  </si>
  <si>
    <t>优利德</t>
  </si>
  <si>
    <t>www.lixinger.com/analytics/company/sh/688628/688628/detail</t>
  </si>
  <si>
    <t>岩石股份</t>
  </si>
  <si>
    <t>www.lixinger.com/analytics/company/sh/600696/600696/detail</t>
  </si>
  <si>
    <t>京华激光</t>
  </si>
  <si>
    <t>www.lixinger.com/analytics/company/sh/603607/603607/detail</t>
  </si>
  <si>
    <t>国力股份</t>
  </si>
  <si>
    <t>www.lixinger.com/analytics/company/sh/688103/688103/detail</t>
  </si>
  <si>
    <t>长春一东</t>
  </si>
  <si>
    <t>www.lixinger.com/analytics/company/sh/600148/600148/detail</t>
  </si>
  <si>
    <t>欣龙控股</t>
  </si>
  <si>
    <t>www.lixinger.com/analytics/company/sz/000955/955/detail</t>
  </si>
  <si>
    <t>博亚精工</t>
  </si>
  <si>
    <t>www.lixinger.com/analytics/company/sz/300971/300971/detail</t>
  </si>
  <si>
    <t>泰禾智能</t>
  </si>
  <si>
    <t>www.lixinger.com/analytics/company/sh/603656/603656/detail</t>
  </si>
  <si>
    <t>天智航</t>
  </si>
  <si>
    <t>www.lixinger.com/analytics/company/sh/688277/688277/detail</t>
  </si>
  <si>
    <t>恒辉安防</t>
  </si>
  <si>
    <t>www.lixinger.com/analytics/company/sz/300952/300952/detail</t>
  </si>
  <si>
    <t>昂立教育</t>
  </si>
  <si>
    <t>www.lixinger.com/analytics/company/sh/600661/600661/detail</t>
  </si>
  <si>
    <t>双飞股份</t>
  </si>
  <si>
    <t>www.lixinger.com/analytics/company/sz/300817/300817/detail</t>
  </si>
  <si>
    <t>康平科技</t>
  </si>
  <si>
    <t>www.lixinger.com/analytics/company/sz/300907/300907/detail</t>
  </si>
  <si>
    <t>佳发教育</t>
  </si>
  <si>
    <t>www.lixinger.com/analytics/company/sz/300559/300559/detail</t>
  </si>
  <si>
    <t>众望布艺</t>
  </si>
  <si>
    <t>www.lixinger.com/analytics/company/sh/605003/605003/detail</t>
  </si>
  <si>
    <t>绿康生化</t>
  </si>
  <si>
    <t>www.lixinger.com/analytics/company/sz/002868/2868/detail</t>
  </si>
  <si>
    <t>上海洗霸</t>
  </si>
  <si>
    <t>www.lixinger.com/analytics/company/sh/603200/603200/detail</t>
  </si>
  <si>
    <t>呈和科技</t>
  </si>
  <si>
    <t>www.lixinger.com/analytics/company/sh/688625/688625/detail</t>
  </si>
  <si>
    <t>晓鸣股份</t>
  </si>
  <si>
    <t>www.lixinger.com/analytics/company/sz/300967/300967/detail</t>
  </si>
  <si>
    <t>浙海德曼</t>
  </si>
  <si>
    <t>www.lixinger.com/analytics/company/sh/688577/688577/detail</t>
  </si>
  <si>
    <t>万里马</t>
  </si>
  <si>
    <t>www.lixinger.com/analytics/company/sz/300591/300591/detail</t>
  </si>
  <si>
    <t>天泽信息</t>
  </si>
  <si>
    <t>www.lixinger.com/analytics/company/sz/300209/300209/detail</t>
  </si>
  <si>
    <t>玉马遮阳</t>
  </si>
  <si>
    <t>www.lixinger.com/analytics/company/sz/300993/300993/detail</t>
  </si>
  <si>
    <t>浙江力诺</t>
  </si>
  <si>
    <t>www.lixinger.com/analytics/company/sz/300838/300838/detail</t>
  </si>
  <si>
    <t>嘉麟杰</t>
  </si>
  <si>
    <t>www.lixinger.com/analytics/company/sz/002486/2486/detail</t>
  </si>
  <si>
    <t>若羽臣</t>
  </si>
  <si>
    <t>www.lixinger.com/analytics/company/sz/003010/3010/detail</t>
  </si>
  <si>
    <t>克来机电</t>
  </si>
  <si>
    <t>www.lixinger.com/analytics/company/sh/603960/603960/detail</t>
  </si>
  <si>
    <t>凯尔达</t>
  </si>
  <si>
    <t>www.lixinger.com/analytics/company/sh/688255/688255/detail</t>
  </si>
  <si>
    <t>江苏博云</t>
  </si>
  <si>
    <t>www.lixinger.com/analytics/company/sz/301003/301003/detail</t>
  </si>
  <si>
    <t>上海谊众</t>
  </si>
  <si>
    <t>www.lixinger.com/analytics/company/sh/688091/688091/detail</t>
  </si>
  <si>
    <t>四方达</t>
  </si>
  <si>
    <t>www.lixinger.com/analytics/company/sz/300179/300179/detail</t>
  </si>
  <si>
    <t>洁特生物</t>
  </si>
  <si>
    <t>www.lixinger.com/analytics/company/sh/688026/688026/detail</t>
  </si>
  <si>
    <t>开元教育</t>
  </si>
  <si>
    <t>www.lixinger.com/analytics/company/sz/300338/300338/detail</t>
  </si>
  <si>
    <t>大烨智能</t>
  </si>
  <si>
    <t>www.lixinger.com/analytics/company/sz/300670/300670/detail</t>
  </si>
  <si>
    <t>达威股份</t>
  </si>
  <si>
    <t>www.lixinger.com/analytics/company/sz/300535/300535/detail</t>
  </si>
  <si>
    <t>迈拓股份</t>
  </si>
  <si>
    <t>www.lixinger.com/analytics/company/sz/301006/301006/detail</t>
  </si>
  <si>
    <t>金陵体育</t>
  </si>
  <si>
    <t>www.lixinger.com/analytics/company/sz/300651/300651/detail</t>
  </si>
  <si>
    <t>欧林生物</t>
  </si>
  <si>
    <t>www.lixinger.com/analytics/company/sh/688319/688319/detail</t>
  </si>
  <si>
    <t>奥普光电</t>
  </si>
  <si>
    <t>www.lixinger.com/analytics/company/sz/002338/2338/detail</t>
  </si>
  <si>
    <t>海泰新光</t>
  </si>
  <si>
    <t>www.lixinger.com/analytics/company/sh/688677/688677/detail</t>
  </si>
  <si>
    <t>世茂能源</t>
  </si>
  <si>
    <t>www.lixinger.com/analytics/company/sh/605028/605028/detail</t>
  </si>
  <si>
    <t>华盛昌</t>
  </si>
  <si>
    <t>www.lixinger.com/analytics/company/sz/002980/2980/detail</t>
  </si>
  <si>
    <t>宝光股份</t>
  </si>
  <si>
    <t>www.lixinger.com/analytics/company/sh/600379/600379/detail</t>
  </si>
  <si>
    <t>劲拓股份</t>
  </si>
  <si>
    <t>www.lixinger.com/analytics/company/sz/300400/300400/detail</t>
  </si>
  <si>
    <t>双枪科技</t>
  </si>
  <si>
    <t>www.lixinger.com/analytics/company/sz/001211/1211/detail</t>
  </si>
  <si>
    <t>艾隆科技</t>
  </si>
  <si>
    <t>www.lixinger.com/analytics/company/sh/688329/688329/detail</t>
  </si>
  <si>
    <t>能辉科技</t>
  </si>
  <si>
    <t>www.lixinger.com/analytics/company/sz/301046/301046/detail</t>
  </si>
  <si>
    <t>智洋创新</t>
  </si>
  <si>
    <t>www.lixinger.com/analytics/company/sh/688191/688191/detail</t>
  </si>
  <si>
    <t>波导股份</t>
  </si>
  <si>
    <t>www.lixinger.com/analytics/company/sh/600130/600130/detail</t>
  </si>
  <si>
    <t>安达维尔</t>
  </si>
  <si>
    <t>www.lixinger.com/analytics/company/sz/300719/300719/detail</t>
  </si>
  <si>
    <t>容大感光</t>
  </si>
  <si>
    <t>www.lixinger.com/analytics/company/sz/300576/300576/detail</t>
  </si>
  <si>
    <t>线上线下</t>
  </si>
  <si>
    <t>www.lixinger.com/analytics/company/sz/300959/300959/detail</t>
  </si>
  <si>
    <t>雄帝科技</t>
  </si>
  <si>
    <t>www.lixinger.com/analytics/company/sz/300546/300546/detail</t>
  </si>
  <si>
    <t>全通教育</t>
  </si>
  <si>
    <t>www.lixinger.com/analytics/company/sz/300359/300359/detail</t>
  </si>
  <si>
    <t>祥源文化</t>
  </si>
  <si>
    <t>www.lixinger.com/analytics/company/sh/600576/600576/detail</t>
  </si>
  <si>
    <t>云鼎科技</t>
  </si>
  <si>
    <t>www.lixinger.com/analytics/company/sz/000409/409/detail</t>
  </si>
  <si>
    <t>安博通</t>
  </si>
  <si>
    <t>www.lixinger.com/analytics/company/sh/688168/688168/detail</t>
  </si>
  <si>
    <t>华生科技</t>
  </si>
  <si>
    <t>www.lixinger.com/analytics/company/sh/605180/605180/detail</t>
  </si>
  <si>
    <t>宏英智能</t>
  </si>
  <si>
    <t>www.lixinger.com/analytics/company/sz/001266/1266/detail</t>
  </si>
  <si>
    <t>泽达易盛</t>
  </si>
  <si>
    <t>www.lixinger.com/analytics/company/sh/688555/688555/detail</t>
  </si>
  <si>
    <t>新炬网络</t>
  </si>
  <si>
    <t>www.lixinger.com/analytics/company/sh/605398/605398/detail</t>
  </si>
  <si>
    <t>科威尔</t>
  </si>
  <si>
    <t>www.lixinger.com/analytics/company/sh/688551/688551/detail</t>
  </si>
  <si>
    <t>雷柏科技</t>
  </si>
  <si>
    <t>www.lixinger.com/analytics/company/sz/002577/2577/detail</t>
  </si>
  <si>
    <t>国机通用</t>
  </si>
  <si>
    <t>www.lixinger.com/analytics/company/sh/600444/600444/detail</t>
  </si>
  <si>
    <t>华升股份</t>
  </si>
  <si>
    <t>www.lixinger.com/analytics/company/sh/600156/600156/detail</t>
  </si>
  <si>
    <t>润禾材料</t>
  </si>
  <si>
    <t>www.lixinger.com/analytics/company/sz/300727/300727/detail</t>
  </si>
  <si>
    <t>力芯微</t>
  </si>
  <si>
    <t>www.lixinger.com/analytics/company/sh/688601/688601/detail</t>
  </si>
  <si>
    <t>赛伦生物</t>
  </si>
  <si>
    <t>www.lixinger.com/analytics/company/sh/688163/688163/detail</t>
  </si>
  <si>
    <t>*ST索菱</t>
  </si>
  <si>
    <t>www.lixinger.com/analytics/company/sz/002766/2766/detail</t>
  </si>
  <si>
    <t>莫高股份</t>
  </si>
  <si>
    <t>www.lixinger.com/analytics/company/sh/600543/600543/detail</t>
  </si>
  <si>
    <t>超越科技</t>
  </si>
  <si>
    <t>www.lixinger.com/analytics/company/sz/301049/301049/detail</t>
  </si>
  <si>
    <t>华是科技</t>
  </si>
  <si>
    <t>www.lixinger.com/analytics/company/sz/301218/301218/detail</t>
  </si>
  <si>
    <t>ST八菱</t>
  </si>
  <si>
    <t>www.lixinger.com/analytics/company/sz/002592/2592/detail</t>
  </si>
  <si>
    <t>纳芯微</t>
  </si>
  <si>
    <t>www.lixinger.com/analytics/company/sh/688052/688052/detail</t>
  </si>
  <si>
    <t>京源环保</t>
  </si>
  <si>
    <t>www.lixinger.com/analytics/company/sh/688096/688096/detail</t>
  </si>
  <si>
    <t>同益中</t>
  </si>
  <si>
    <t>www.lixinger.com/analytics/company/sh/688722/688722/detail</t>
  </si>
  <si>
    <t>凯旺科技</t>
  </si>
  <si>
    <t>www.lixinger.com/analytics/company/sz/301182/301182/detail</t>
  </si>
  <si>
    <t>*ST明科</t>
  </si>
  <si>
    <t>www.lixinger.com/analytics/company/sh/600091/600091/detail</t>
  </si>
  <si>
    <t>卓易信息</t>
  </si>
  <si>
    <t>www.lixinger.com/analytics/company/sh/688258/688258/detail</t>
  </si>
  <si>
    <t>新晨科技</t>
  </si>
  <si>
    <t>www.lixinger.com/analytics/company/sz/300542/300542/detail</t>
  </si>
  <si>
    <t>思进智能</t>
  </si>
  <si>
    <t>www.lixinger.com/analytics/company/sz/003025/3025/detail</t>
  </si>
  <si>
    <t>晓程科技</t>
  </si>
  <si>
    <t>www.lixinger.com/analytics/company/sz/300139/300139/detail</t>
  </si>
  <si>
    <t>恒而达</t>
  </si>
  <si>
    <t>www.lixinger.com/analytics/company/sz/300946/300946/detail</t>
  </si>
  <si>
    <t>中电电机</t>
  </si>
  <si>
    <t>www.lixinger.com/analytics/company/sh/603988/603988/detail</t>
  </si>
  <si>
    <t>华锐精密</t>
  </si>
  <si>
    <t>www.lixinger.com/analytics/company/sh/688059/688059/detail</t>
  </si>
  <si>
    <t>森赫股份</t>
  </si>
  <si>
    <t>www.lixinger.com/analytics/company/sz/301056/301056/detail</t>
  </si>
  <si>
    <t>中设股份</t>
  </si>
  <si>
    <t>www.lixinger.com/analytics/company/sz/002883/2883/detail</t>
  </si>
  <si>
    <t>中达安</t>
  </si>
  <si>
    <t>www.lixinger.com/analytics/company/sz/300635/300635/detail</t>
  </si>
  <si>
    <t>西大门</t>
  </si>
  <si>
    <t>www.lixinger.com/analytics/company/sh/605155/605155/detail</t>
  </si>
  <si>
    <t>科德教育</t>
  </si>
  <si>
    <t>www.lixinger.com/analytics/company/sz/300192/300192/detail</t>
  </si>
  <si>
    <t>键凯科技</t>
  </si>
  <si>
    <t>www.lixinger.com/analytics/company/sh/688356/688356/detail</t>
  </si>
  <si>
    <t>天顺股份</t>
  </si>
  <si>
    <t>www.lixinger.com/analytics/company/sz/002800/2800/detail</t>
  </si>
  <si>
    <t>信安世纪</t>
  </si>
  <si>
    <t>www.lixinger.com/analytics/company/sh/688201/688201/detail</t>
  </si>
  <si>
    <t>大宏立</t>
  </si>
  <si>
    <t>www.lixinger.com/analytics/company/sz/300865/300865/detail</t>
  </si>
  <si>
    <t>龙高股份</t>
  </si>
  <si>
    <t>www.lixinger.com/analytics/company/sh/605086/605086/detail</t>
  </si>
  <si>
    <t>实朴检测</t>
  </si>
  <si>
    <t>www.lixinger.com/analytics/company/sz/301228/301228/detail</t>
  </si>
  <si>
    <t>四通股份</t>
  </si>
  <si>
    <t>www.lixinger.com/analytics/company/sh/603838/603838/detail</t>
  </si>
  <si>
    <t>展鹏科技</t>
  </si>
  <si>
    <t>www.lixinger.com/analytics/company/sh/603488/603488/detail</t>
  </si>
  <si>
    <t>西部牧业</t>
  </si>
  <si>
    <t>www.lixinger.com/analytics/company/sz/300106/300106/detail</t>
  </si>
  <si>
    <t>赛特新材</t>
  </si>
  <si>
    <t>www.lixinger.com/analytics/company/sh/688398/688398/detail</t>
  </si>
  <si>
    <t>翔港科技</t>
  </si>
  <si>
    <t>www.lixinger.com/analytics/company/sh/603499/603499/detail</t>
  </si>
  <si>
    <t>建车B</t>
  </si>
  <si>
    <t>www.lixinger.com/analytics/company/sz/200054/200054/detail</t>
  </si>
  <si>
    <t>敏芯股份</t>
  </si>
  <si>
    <t>www.lixinger.com/analytics/company/sh/688286/688286/detail</t>
  </si>
  <si>
    <t>原尚股份</t>
  </si>
  <si>
    <t>www.lixinger.com/analytics/company/sh/603813/603813/detail</t>
  </si>
  <si>
    <t>博济医药</t>
  </si>
  <si>
    <t>www.lixinger.com/analytics/company/sz/300404/300404/detail</t>
  </si>
  <si>
    <t>中洲特材</t>
  </si>
  <si>
    <t>www.lixinger.com/analytics/company/sz/300963/300963/detail</t>
  </si>
  <si>
    <t>川环科技</t>
  </si>
  <si>
    <t>www.lixinger.com/analytics/company/sz/300547/300547/detail</t>
  </si>
  <si>
    <t>日播时尚</t>
  </si>
  <si>
    <t>www.lixinger.com/analytics/company/sh/603196/603196/detail</t>
  </si>
  <si>
    <t>戴维医疗</t>
  </si>
  <si>
    <t>www.lixinger.com/analytics/company/sz/300314/300314/detail</t>
  </si>
  <si>
    <t>岳阳兴长</t>
  </si>
  <si>
    <t>www.lixinger.com/analytics/company/sz/000819/819/detail</t>
  </si>
  <si>
    <t>新坐标</t>
  </si>
  <si>
    <t>www.lixinger.com/analytics/company/sh/603040/603040/detail</t>
  </si>
  <si>
    <t>华立科技</t>
  </si>
  <si>
    <t>www.lixinger.com/analytics/company/sz/301011/301011/detail</t>
  </si>
  <si>
    <t>皖仪科技</t>
  </si>
  <si>
    <t>www.lixinger.com/analytics/company/sh/688600/688600/detail</t>
  </si>
  <si>
    <t>创益通</t>
  </si>
  <si>
    <t>www.lixinger.com/analytics/company/sz/300991/300991/detail</t>
  </si>
  <si>
    <t>崧盛股份</t>
  </si>
  <si>
    <t>www.lixinger.com/analytics/company/sz/301002/301002/detail</t>
  </si>
  <si>
    <t>梅安森</t>
  </si>
  <si>
    <t>www.lixinger.com/analytics/company/sz/300275/300275/detail</t>
  </si>
  <si>
    <t>中胤时尚</t>
  </si>
  <si>
    <t>www.lixinger.com/analytics/company/sz/300901/300901/detail</t>
  </si>
  <si>
    <t>中光防雷</t>
  </si>
  <si>
    <t>www.lixinger.com/analytics/company/sz/300414/300414/detail</t>
  </si>
  <si>
    <t>*ST博信</t>
  </si>
  <si>
    <t>www.lixinger.com/analytics/company/sh/600083/600083/detail</t>
  </si>
  <si>
    <t>冀凯股份</t>
  </si>
  <si>
    <t>www.lixinger.com/analytics/company/sz/002691/2691/detail</t>
  </si>
  <si>
    <t>飞马国际</t>
  </si>
  <si>
    <t>www.lixinger.com/analytics/company/sz/002210/2210/detail</t>
  </si>
  <si>
    <t>山水比德</t>
  </si>
  <si>
    <t>www.lixinger.com/analytics/company/sz/300844/300844/detail</t>
  </si>
  <si>
    <t>台基股份</t>
  </si>
  <si>
    <t>www.lixinger.com/analytics/company/sz/300046/300046/detail</t>
  </si>
  <si>
    <t>芯海科技</t>
  </si>
  <si>
    <t>www.lixinger.com/analytics/company/sh/688595/688595/detail</t>
  </si>
  <si>
    <t>宁波精达</t>
  </si>
  <si>
    <t>www.lixinger.com/analytics/company/sh/603088/603088/detail</t>
  </si>
  <si>
    <t>煜邦电力</t>
  </si>
  <si>
    <t>www.lixinger.com/analytics/company/sh/688597/688597/detail</t>
  </si>
  <si>
    <t>美思德</t>
  </si>
  <si>
    <t>www.lixinger.com/analytics/company/sh/603041/603041/detail</t>
  </si>
  <si>
    <t>同为股份</t>
  </si>
  <si>
    <t>www.lixinger.com/analytics/company/sz/002835/2835/detail</t>
  </si>
  <si>
    <t>欧圣电气</t>
  </si>
  <si>
    <t>www.lixinger.com/analytics/company/sz/301187/301187/detail</t>
  </si>
  <si>
    <t>雪龙集团</t>
  </si>
  <si>
    <t>www.lixinger.com/analytics/company/sh/603949/603949/detail</t>
  </si>
  <si>
    <t>禾川科技</t>
  </si>
  <si>
    <t>www.lixinger.com/analytics/company/sh/688320/688320/detail</t>
  </si>
  <si>
    <t>桂发祥</t>
  </si>
  <si>
    <t>www.lixinger.com/analytics/company/sz/002820/2820/detail</t>
  </si>
  <si>
    <t>瑞德智能</t>
  </si>
  <si>
    <t>www.lixinger.com/analytics/company/sz/301135/301135/detail</t>
  </si>
  <si>
    <t>GQY视讯</t>
  </si>
  <si>
    <t>www.lixinger.com/analytics/company/sz/300076/300076/detail</t>
  </si>
  <si>
    <t>共达电声</t>
  </si>
  <si>
    <t>www.lixinger.com/analytics/company/sz/002655/2655/detail</t>
  </si>
  <si>
    <t>祥明智能</t>
  </si>
  <si>
    <t>www.lixinger.com/analytics/company/sz/301226/301226/detail</t>
  </si>
  <si>
    <t>春晖智控</t>
  </si>
  <si>
    <t>www.lixinger.com/analytics/company/sz/300943/300943/detail</t>
  </si>
  <si>
    <t>长白山</t>
  </si>
  <si>
    <t>www.lixinger.com/analytics/company/sh/603099/603099/detail</t>
  </si>
  <si>
    <t>湖南天雁</t>
  </si>
  <si>
    <t>www.lixinger.com/analytics/company/sh/600698/600698/detail</t>
  </si>
  <si>
    <t>宝莫股份</t>
  </si>
  <si>
    <t>www.lixinger.com/analytics/company/sz/002476/2476/detail</t>
  </si>
  <si>
    <t>松原股份</t>
  </si>
  <si>
    <t>www.lixinger.com/analytics/company/sz/300893/300893/detail</t>
  </si>
  <si>
    <t>必得科技</t>
  </si>
  <si>
    <t>www.lixinger.com/analytics/company/sh/605298/605298/detail</t>
  </si>
  <si>
    <t>冠中生态</t>
  </si>
  <si>
    <t>www.lixinger.com/analytics/company/sz/300948/300948/detail</t>
  </si>
  <si>
    <t>中科通达</t>
  </si>
  <si>
    <t>www.lixinger.com/analytics/company/sh/688038/688038/detail</t>
  </si>
  <si>
    <t>科德数控</t>
  </si>
  <si>
    <t>www.lixinger.com/analytics/company/sh/688305/688305/detail</t>
  </si>
  <si>
    <t>万胜智能</t>
  </si>
  <si>
    <t>www.lixinger.com/analytics/company/sz/300882/300882/detail</t>
  </si>
  <si>
    <t>新瀚新材</t>
  </si>
  <si>
    <t>www.lixinger.com/analytics/company/sz/301076/301076/detail</t>
  </si>
  <si>
    <t>冠昊生物</t>
  </si>
  <si>
    <t>www.lixinger.com/analytics/company/sz/300238/300238/detail</t>
  </si>
  <si>
    <t>蕾奥规划</t>
  </si>
  <si>
    <t>www.lixinger.com/analytics/company/sz/300989/300989/detail</t>
  </si>
  <si>
    <t>国新健康</t>
  </si>
  <si>
    <t>www.lixinger.com/analytics/company/sz/000503/503/detail</t>
  </si>
  <si>
    <t>中科海讯</t>
  </si>
  <si>
    <t>www.lixinger.com/analytics/company/sz/300810/300810/detail</t>
  </si>
  <si>
    <t>建研设计</t>
  </si>
  <si>
    <t>www.lixinger.com/analytics/company/sz/301167/301167/detail</t>
  </si>
  <si>
    <t>恒天海龙</t>
  </si>
  <si>
    <t>www.lixinger.com/analytics/company/sz/000677/677/detail</t>
  </si>
  <si>
    <t>劲仔食品</t>
  </si>
  <si>
    <t>www.lixinger.com/analytics/company/sz/003000/3000/detail</t>
  </si>
  <si>
    <t>雷尔伟</t>
  </si>
  <si>
    <t>www.lixinger.com/analytics/company/sz/301016/301016/detail</t>
  </si>
  <si>
    <t>大地海洋</t>
  </si>
  <si>
    <t>www.lixinger.com/analytics/company/sz/301068/301068/detail</t>
  </si>
  <si>
    <t>山科智能</t>
  </si>
  <si>
    <t>www.lixinger.com/analytics/company/sz/300897/300897/detail</t>
  </si>
  <si>
    <t>友讯达</t>
  </si>
  <si>
    <t>www.lixinger.com/analytics/company/sz/300514/300514/detail</t>
  </si>
  <si>
    <t>英诺激光</t>
  </si>
  <si>
    <t>www.lixinger.com/analytics/company/sz/301021/301021/detail</t>
  </si>
  <si>
    <t>元琛科技</t>
  </si>
  <si>
    <t>www.lixinger.com/analytics/company/sh/688659/688659/detail</t>
  </si>
  <si>
    <t>海量数据</t>
  </si>
  <si>
    <t>www.lixinger.com/analytics/company/sh/603138/603138/detail</t>
  </si>
  <si>
    <t>亚世光电</t>
  </si>
  <si>
    <t>www.lixinger.com/analytics/company/sz/002952/2952/detail</t>
  </si>
  <si>
    <t>祥和实业</t>
  </si>
  <si>
    <t>www.lixinger.com/analytics/company/sh/603500/603500/detail</t>
  </si>
  <si>
    <t>宁通信B</t>
  </si>
  <si>
    <t>www.lixinger.com/analytics/company/sz/200468/200468/detail</t>
  </si>
  <si>
    <t>兆龙互连</t>
  </si>
  <si>
    <t>www.lixinger.com/analytics/company/sz/300913/300913/detail</t>
  </si>
  <si>
    <t>ST摩登</t>
  </si>
  <si>
    <t>www.lixinger.com/analytics/company/sz/002656/2656/detail</t>
  </si>
  <si>
    <t>广信材料</t>
  </si>
  <si>
    <t>www.lixinger.com/analytics/company/sz/300537/300537/detail</t>
  </si>
  <si>
    <t>岱勒新材</t>
  </si>
  <si>
    <t>www.lixinger.com/analytics/company/sz/300700/300700/detail</t>
  </si>
  <si>
    <t>*ST金洲</t>
  </si>
  <si>
    <t>www.lixinger.com/analytics/company/sz/000587/587/detail</t>
  </si>
  <si>
    <t>通用电梯</t>
  </si>
  <si>
    <t>www.lixinger.com/analytics/company/sz/300931/300931/detail</t>
  </si>
  <si>
    <t>赛诺医疗</t>
  </si>
  <si>
    <t>www.lixinger.com/analytics/company/sh/688108/688108/detail</t>
  </si>
  <si>
    <t>国发股份</t>
  </si>
  <si>
    <t>www.lixinger.com/analytics/company/sh/600538/600538/detail</t>
  </si>
  <si>
    <t>黄山胶囊</t>
  </si>
  <si>
    <t>www.lixinger.com/analytics/company/sz/002817/2817/detail</t>
  </si>
  <si>
    <t>嘉戎技术</t>
  </si>
  <si>
    <t>www.lixinger.com/analytics/company/sz/301148/301148/detail</t>
  </si>
  <si>
    <t>仁度生物</t>
  </si>
  <si>
    <t>www.lixinger.com/analytics/company/sh/688193/688193/detail</t>
  </si>
  <si>
    <t>汇中股份</t>
  </si>
  <si>
    <t>www.lixinger.com/analytics/company/sz/300371/300371/detail</t>
  </si>
  <si>
    <t>国华网安</t>
  </si>
  <si>
    <t>www.lixinger.com/analytics/company/sz/000004/4/detail</t>
  </si>
  <si>
    <t>恒大高新</t>
  </si>
  <si>
    <t>www.lixinger.com/analytics/company/sz/002591/2591/detail</t>
  </si>
  <si>
    <t>登云股份</t>
  </si>
  <si>
    <t>www.lixinger.com/analytics/company/sz/002715/2715/detail</t>
  </si>
  <si>
    <t>宁波色母</t>
  </si>
  <si>
    <t>www.lixinger.com/analytics/company/sz/301019/301019/detail</t>
  </si>
  <si>
    <t>万隆光电</t>
  </si>
  <si>
    <t>www.lixinger.com/analytics/company/sz/300710/300710/detail</t>
  </si>
  <si>
    <t>泰嘉股份</t>
  </si>
  <si>
    <t>www.lixinger.com/analytics/company/sz/002843/2843/detail</t>
  </si>
  <si>
    <t>开普检测</t>
  </si>
  <si>
    <t>www.lixinger.com/analytics/company/sz/003008/3008/detail</t>
  </si>
  <si>
    <t>金冠电气</t>
  </si>
  <si>
    <t>www.lixinger.com/analytics/company/sh/688517/688517/detail</t>
  </si>
  <si>
    <t>海源复材</t>
  </si>
  <si>
    <t>www.lixinger.com/analytics/company/sz/002529/2529/detail</t>
  </si>
  <si>
    <t>熊猫乳品</t>
  </si>
  <si>
    <t>www.lixinger.com/analytics/company/sz/300898/300898/detail</t>
  </si>
  <si>
    <t>金发拉比</t>
  </si>
  <si>
    <t>www.lixinger.com/analytics/company/sz/002762/2762/detail</t>
  </si>
  <si>
    <t>四方光电</t>
  </si>
  <si>
    <t>www.lixinger.com/analytics/company/sh/688665/688665/detail</t>
  </si>
  <si>
    <t>迦南智能</t>
  </si>
  <si>
    <t>www.lixinger.com/analytics/company/sz/300880/300880/detail</t>
  </si>
  <si>
    <t>哈森股份</t>
  </si>
  <si>
    <t>www.lixinger.com/analytics/company/sh/603958/603958/detail</t>
  </si>
  <si>
    <t>华亚智能</t>
  </si>
  <si>
    <t>www.lixinger.com/analytics/company/sz/003043/3043/detail</t>
  </si>
  <si>
    <t>棒杰股份</t>
  </si>
  <si>
    <t>www.lixinger.com/analytics/company/sz/002634/2634/detail</t>
  </si>
  <si>
    <t>健麾信息</t>
  </si>
  <si>
    <t>www.lixinger.com/analytics/company/sh/605186/605186/detail</t>
  </si>
  <si>
    <t>中青宝</t>
  </si>
  <si>
    <t>www.lixinger.com/analytics/company/sz/300052/300052/detail</t>
  </si>
  <si>
    <t>科拓生物</t>
  </si>
  <si>
    <t>www.lixinger.com/analytics/company/sz/300858/300858/detail</t>
  </si>
  <si>
    <t>鸿泉物联</t>
  </si>
  <si>
    <t>www.lixinger.com/analytics/company/sh/688288/688288/detail</t>
  </si>
  <si>
    <t>唐源电气</t>
  </si>
  <si>
    <t>www.lixinger.com/analytics/company/sz/300789/300789/detail</t>
  </si>
  <si>
    <t>沃华医药</t>
  </si>
  <si>
    <t>www.lixinger.com/analytics/company/sz/002107/2107/detail</t>
  </si>
  <si>
    <t>鼎通科技</t>
  </si>
  <si>
    <t>www.lixinger.com/analytics/company/sh/688668/688668/detail</t>
  </si>
  <si>
    <t>力盛赛车</t>
  </si>
  <si>
    <t>www.lixinger.com/analytics/company/sz/002858/2858/detail</t>
  </si>
  <si>
    <t>神农科技</t>
  </si>
  <si>
    <t>www.lixinger.com/analytics/company/sz/300189/300189/detail</t>
  </si>
  <si>
    <t>炬申股份</t>
  </si>
  <si>
    <t>www.lixinger.com/analytics/company/sz/001202/1202/detail</t>
  </si>
  <si>
    <t>聚力文化</t>
  </si>
  <si>
    <t>www.lixinger.com/analytics/company/sz/002247/2247/detail</t>
  </si>
  <si>
    <t>佰仁医疗</t>
  </si>
  <si>
    <t>www.lixinger.com/analytics/company/sh/688198/688198/detail</t>
  </si>
  <si>
    <t>天禄科技</t>
  </si>
  <si>
    <t>www.lixinger.com/analytics/company/sz/301045/301045/detail</t>
  </si>
  <si>
    <t>三夫户外</t>
  </si>
  <si>
    <t>www.lixinger.com/analytics/company/sz/002780/2780/detail</t>
  </si>
  <si>
    <t>密封科技</t>
  </si>
  <si>
    <t>www.lixinger.com/analytics/company/sz/301020/301020/detail</t>
  </si>
  <si>
    <t>吉大通信</t>
  </si>
  <si>
    <t>www.lixinger.com/analytics/company/sz/300597/300597/detail</t>
  </si>
  <si>
    <t>沐邦高科</t>
  </si>
  <si>
    <t>www.lixinger.com/analytics/company/sh/603398/603398/detail</t>
  </si>
  <si>
    <t>华依科技</t>
  </si>
  <si>
    <t>www.lixinger.com/analytics/company/sh/688071/688071/detail</t>
  </si>
  <si>
    <t>横河精密</t>
  </si>
  <si>
    <t>www.lixinger.com/analytics/company/sz/300539/300539/detail</t>
  </si>
  <si>
    <t>药康生物</t>
  </si>
  <si>
    <t>www.lixinger.com/analytics/company/sh/688046/688046/detail</t>
  </si>
  <si>
    <t>开开实业</t>
  </si>
  <si>
    <t>www.lixinger.com/analytics/company/sh/600272/600272/detail</t>
  </si>
  <si>
    <t>中熔电气</t>
  </si>
  <si>
    <t>www.lixinger.com/analytics/company/sz/301031/301031/detail</t>
  </si>
  <si>
    <t>宏微科技</t>
  </si>
  <si>
    <t>www.lixinger.com/analytics/company/sh/688711/688711/detail</t>
  </si>
  <si>
    <t>*ST实达</t>
  </si>
  <si>
    <t>www.lixinger.com/analytics/company/sh/600734/600734/detail</t>
  </si>
  <si>
    <t>祥源新材</t>
  </si>
  <si>
    <t>www.lixinger.com/analytics/company/sz/300980/300980/detail</t>
  </si>
  <si>
    <t>盈建科</t>
  </si>
  <si>
    <t>www.lixinger.com/analytics/company/sz/300935/300935/detail</t>
  </si>
  <si>
    <t>ST中昌</t>
  </si>
  <si>
    <t>www.lixinger.com/analytics/company/sh/600242/600242/detail</t>
  </si>
  <si>
    <t>联测科技</t>
  </si>
  <si>
    <t>www.lixinger.com/analytics/company/sh/688113/688113/detail</t>
  </si>
  <si>
    <t>世纪天鸿</t>
  </si>
  <si>
    <t>www.lixinger.com/analytics/company/sz/300654/300654/detail</t>
  </si>
  <si>
    <t>中金辐照</t>
  </si>
  <si>
    <t>其他专业服务</t>
  </si>
  <si>
    <t>www.lixinger.com/analytics/company/sz/300962/300962/detail</t>
  </si>
  <si>
    <t>立航科技</t>
  </si>
  <si>
    <t>www.lixinger.com/analytics/company/sh/603261/603261/detail</t>
  </si>
  <si>
    <t>中科信息</t>
  </si>
  <si>
    <t>www.lixinger.com/analytics/company/sz/300678/300678/detail</t>
  </si>
  <si>
    <t>康斯特</t>
  </si>
  <si>
    <t>www.lixinger.com/analytics/company/sz/300445/300445/detail</t>
  </si>
  <si>
    <t>亚康股份</t>
  </si>
  <si>
    <t>www.lixinger.com/analytics/company/sz/301085/301085/detail</t>
  </si>
  <si>
    <t>真视通</t>
  </si>
  <si>
    <t>www.lixinger.com/analytics/company/sz/002771/2771/detail</t>
  </si>
  <si>
    <t>滨海能源</t>
  </si>
  <si>
    <t>www.lixinger.com/analytics/company/sz/000695/695/detail</t>
  </si>
  <si>
    <t>普联软件</t>
  </si>
  <si>
    <t>www.lixinger.com/analytics/company/sz/300996/300996/detail</t>
  </si>
  <si>
    <t>中源家居</t>
  </si>
  <si>
    <t>www.lixinger.com/analytics/company/sh/603709/603709/detail</t>
  </si>
  <si>
    <t>显盈科技</t>
  </si>
  <si>
    <t>www.lixinger.com/analytics/company/sz/301067/301067/detail</t>
  </si>
  <si>
    <t>融捷健康</t>
  </si>
  <si>
    <t>www.lixinger.com/analytics/company/sz/300247/300247/detail</t>
  </si>
  <si>
    <t>普元信息</t>
  </si>
  <si>
    <t>www.lixinger.com/analytics/company/sh/688118/688118/detail</t>
  </si>
  <si>
    <t>凯淳股份</t>
  </si>
  <si>
    <t>www.lixinger.com/analytics/company/sz/301001/301001/detail</t>
  </si>
  <si>
    <t>恒盛能源</t>
  </si>
  <si>
    <t>www.lixinger.com/analytics/company/sh/605580/605580/detail</t>
  </si>
  <si>
    <t>云涌科技</t>
  </si>
  <si>
    <t>www.lixinger.com/analytics/company/sh/688060/688060/detail</t>
  </si>
  <si>
    <t>农尚环境</t>
  </si>
  <si>
    <t>www.lixinger.com/analytics/company/sz/300536/300536/detail</t>
  </si>
  <si>
    <t>金钟股份</t>
  </si>
  <si>
    <t>www.lixinger.com/analytics/company/sz/301133/301133/detail</t>
  </si>
  <si>
    <t>华阳新材</t>
  </si>
  <si>
    <t>www.lixinger.com/analytics/company/sh/600281/600281/detail</t>
  </si>
  <si>
    <t>金沃股份</t>
  </si>
  <si>
    <t>www.lixinger.com/analytics/company/sz/300984/300984/detail</t>
  </si>
  <si>
    <t>喜悦智行</t>
  </si>
  <si>
    <t>www.lixinger.com/analytics/company/sz/301198/301198/detail</t>
  </si>
  <si>
    <t>莱尔科技</t>
  </si>
  <si>
    <t>www.lixinger.com/analytics/company/sh/688683/688683/detail</t>
  </si>
  <si>
    <t>金道科技</t>
  </si>
  <si>
    <t>www.lixinger.com/analytics/company/sz/301279/301279/detail</t>
  </si>
  <si>
    <t>纽泰格</t>
  </si>
  <si>
    <t>www.lixinger.com/analytics/company/sz/301229/301229/detail</t>
  </si>
  <si>
    <t>大连友谊</t>
  </si>
  <si>
    <t>www.lixinger.com/analytics/company/sz/000679/679/detail</t>
  </si>
  <si>
    <t>山河药辅</t>
  </si>
  <si>
    <t>www.lixinger.com/analytics/company/sz/300452/300452/detail</t>
  </si>
  <si>
    <t>博士眼镜</t>
  </si>
  <si>
    <t>www.lixinger.com/analytics/company/sz/300622/300622/detail</t>
  </si>
  <si>
    <t>恒锋信息</t>
  </si>
  <si>
    <t>www.lixinger.com/analytics/company/sz/300605/300605/detail</t>
  </si>
  <si>
    <t>三维天地</t>
  </si>
  <si>
    <t>www.lixinger.com/analytics/company/sz/301159/301159/detail</t>
  </si>
  <si>
    <t>西点药业</t>
  </si>
  <si>
    <t>www.lixinger.com/analytics/company/sz/301130/301130/detail</t>
  </si>
  <si>
    <t>秦川物联</t>
  </si>
  <si>
    <t>www.lixinger.com/analytics/company/sh/688528/688528/detail</t>
  </si>
  <si>
    <t>昀冢科技</t>
  </si>
  <si>
    <t>www.lixinger.com/analytics/company/sh/688260/688260/detail</t>
  </si>
  <si>
    <t>宇环数控</t>
  </si>
  <si>
    <t>www.lixinger.com/analytics/company/sz/002903/2903/detail</t>
  </si>
  <si>
    <t>先锋电子</t>
  </si>
  <si>
    <t>www.lixinger.com/analytics/company/sz/002767/2767/detail</t>
  </si>
  <si>
    <t>德宏股份</t>
  </si>
  <si>
    <t>www.lixinger.com/analytics/company/sh/603701/603701/detail</t>
  </si>
  <si>
    <t>天普股份</t>
  </si>
  <si>
    <t>www.lixinger.com/analytics/company/sh/605255/605255/detail</t>
  </si>
  <si>
    <t>腾景科技</t>
  </si>
  <si>
    <t>www.lixinger.com/analytics/company/sh/688195/688195/detail</t>
  </si>
  <si>
    <t>*ST赫美</t>
  </si>
  <si>
    <t>www.lixinger.com/analytics/company/sz/002356/2356/detail</t>
  </si>
  <si>
    <t>中水渔业</t>
  </si>
  <si>
    <t>www.lixinger.com/analytics/company/sz/000798/798/detail</t>
  </si>
  <si>
    <t>圣诺生物</t>
  </si>
  <si>
    <t>www.lixinger.com/analytics/company/sh/688117/688117/detail</t>
  </si>
  <si>
    <t>神思电子</t>
  </si>
  <si>
    <t>www.lixinger.com/analytics/company/sz/300479/300479/detail</t>
  </si>
  <si>
    <t>宝兰德</t>
  </si>
  <si>
    <t>www.lixinger.com/analytics/company/sh/688058/688058/detail</t>
  </si>
  <si>
    <t>科新发展</t>
  </si>
  <si>
    <t>www.lixinger.com/analytics/company/sh/600234/600234/detail</t>
  </si>
  <si>
    <t>凯众股份</t>
  </si>
  <si>
    <t>www.lixinger.com/analytics/company/sh/603037/603037/detail</t>
  </si>
  <si>
    <t>正海生物</t>
  </si>
  <si>
    <t>www.lixinger.com/analytics/company/sz/300653/300653/detail</t>
  </si>
  <si>
    <t>英可瑞</t>
  </si>
  <si>
    <t>www.lixinger.com/analytics/company/sz/300713/300713/detail</t>
  </si>
  <si>
    <t>信息发展</t>
  </si>
  <si>
    <t>www.lixinger.com/analytics/company/sz/300469/300469/detail</t>
  </si>
  <si>
    <t>ST熊猫</t>
  </si>
  <si>
    <t>www.lixinger.com/analytics/company/sh/600599/600599/detail</t>
  </si>
  <si>
    <t>蒙泰高新</t>
  </si>
  <si>
    <t>www.lixinger.com/analytics/company/sz/300876/300876/detail</t>
  </si>
  <si>
    <t>ST升达</t>
  </si>
  <si>
    <t>www.lixinger.com/analytics/company/sz/002259/2259/detail</t>
  </si>
  <si>
    <t>因赛集团</t>
  </si>
  <si>
    <t>www.lixinger.com/analytics/company/sz/300781/300781/detail</t>
  </si>
  <si>
    <t>泰慕士</t>
  </si>
  <si>
    <t>www.lixinger.com/analytics/company/sz/001234/1234/detail</t>
  </si>
  <si>
    <t>张小泉</t>
  </si>
  <si>
    <t>www.lixinger.com/analytics/company/sz/301055/301055/detail</t>
  </si>
  <si>
    <t>东来技术</t>
  </si>
  <si>
    <t>www.lixinger.com/analytics/company/sh/688129/688129/detail</t>
  </si>
  <si>
    <t>和顺电气</t>
  </si>
  <si>
    <t>www.lixinger.com/analytics/company/sz/300141/300141/detail</t>
  </si>
  <si>
    <t>科创新源</t>
  </si>
  <si>
    <t>www.lixinger.com/analytics/company/sz/300731/300731/detail</t>
  </si>
  <si>
    <t>日盈电子</t>
  </si>
  <si>
    <t>www.lixinger.com/analytics/company/sh/603286/603286/detail</t>
  </si>
  <si>
    <t>*ST嘉信</t>
  </si>
  <si>
    <t>www.lixinger.com/analytics/company/sz/300071/300071/detail</t>
  </si>
  <si>
    <t>联盛化学</t>
  </si>
  <si>
    <t>www.lixinger.com/analytics/company/sz/301212/301212/detail</t>
  </si>
  <si>
    <t>恒帅股份</t>
  </si>
  <si>
    <t>www.lixinger.com/analytics/company/sz/300969/300969/detail</t>
  </si>
  <si>
    <t>*ST百花</t>
  </si>
  <si>
    <t>www.lixinger.com/analytics/company/sh/600721/600721/detail</t>
  </si>
  <si>
    <t>新光药业</t>
  </si>
  <si>
    <t>www.lixinger.com/analytics/company/sz/300519/300519/detail</t>
  </si>
  <si>
    <t>聚杰微纤</t>
  </si>
  <si>
    <t>www.lixinger.com/analytics/company/sz/300819/300819/detail</t>
  </si>
  <si>
    <t>路德环境</t>
  </si>
  <si>
    <t>www.lixinger.com/analytics/company/sh/688156/688156/detail</t>
  </si>
  <si>
    <t>新宏泰</t>
  </si>
  <si>
    <t>www.lixinger.com/analytics/company/sh/603016/603016/detail</t>
  </si>
  <si>
    <t>富春股份</t>
  </si>
  <si>
    <t>www.lixinger.com/analytics/company/sz/300299/300299/detail</t>
  </si>
  <si>
    <t>中路股份</t>
  </si>
  <si>
    <t>www.lixinger.com/analytics/company/sh/600818/600818/detail</t>
  </si>
  <si>
    <t>中威电子</t>
  </si>
  <si>
    <t>www.lixinger.com/analytics/company/sz/300270/300270/detail</t>
  </si>
  <si>
    <t>中捷精工</t>
  </si>
  <si>
    <t>www.lixinger.com/analytics/company/sz/301072/301072/detail</t>
  </si>
  <si>
    <t>力源科技</t>
  </si>
  <si>
    <t>www.lixinger.com/analytics/company/sh/688565/688565/detail</t>
  </si>
  <si>
    <t>鸥玛软件</t>
  </si>
  <si>
    <t>www.lixinger.com/analytics/company/sz/301185/301185/detail</t>
  </si>
  <si>
    <t>熙菱信息</t>
  </si>
  <si>
    <t>www.lixinger.com/analytics/company/sz/300588/300588/detail</t>
  </si>
  <si>
    <t>启迪药业</t>
  </si>
  <si>
    <t>www.lixinger.com/analytics/company/sz/000590/590/detail</t>
  </si>
  <si>
    <t>品茗股份</t>
  </si>
  <si>
    <t>www.lixinger.com/analytics/company/sh/688109/688109/detail</t>
  </si>
  <si>
    <t>阿科力</t>
  </si>
  <si>
    <t>www.lixinger.com/analytics/company/sh/603722/603722/detail</t>
  </si>
  <si>
    <t>直真科技</t>
  </si>
  <si>
    <t>www.lixinger.com/analytics/company/sz/003007/3007/detail</t>
  </si>
  <si>
    <t>强瑞技术</t>
  </si>
  <si>
    <t>www.lixinger.com/analytics/company/sz/301128/301128/detail</t>
  </si>
  <si>
    <t>天亿马</t>
  </si>
  <si>
    <t>www.lixinger.com/analytics/company/sz/301178/301178/detail</t>
  </si>
  <si>
    <t>力合微</t>
  </si>
  <si>
    <t>www.lixinger.com/analytics/company/sh/688589/688589/detail</t>
  </si>
  <si>
    <t>南凌科技</t>
  </si>
  <si>
    <t>www.lixinger.com/analytics/company/sz/300921/300921/detail</t>
  </si>
  <si>
    <t>青岛食品</t>
  </si>
  <si>
    <t>www.lixinger.com/analytics/company/sz/001219/1219/detail</t>
  </si>
  <si>
    <t>名臣健康</t>
  </si>
  <si>
    <t>www.lixinger.com/analytics/company/sz/002919/2919/detail</t>
  </si>
  <si>
    <t>世名科技</t>
  </si>
  <si>
    <t>www.lixinger.com/analytics/company/sz/300522/300522/detail</t>
  </si>
  <si>
    <t>中英科技</t>
  </si>
  <si>
    <t>www.lixinger.com/analytics/company/sz/300936/300936/detail</t>
  </si>
  <si>
    <t>远信工业</t>
  </si>
  <si>
    <t>www.lixinger.com/analytics/company/sz/301053/301053/detail</t>
  </si>
  <si>
    <t>睿昂基因</t>
  </si>
  <si>
    <t>www.lixinger.com/analytics/company/sh/688217/688217/detail</t>
  </si>
  <si>
    <t>蓝海华腾</t>
  </si>
  <si>
    <t>www.lixinger.com/analytics/company/sz/300484/300484/detail</t>
  </si>
  <si>
    <t>沪宁股份</t>
  </si>
  <si>
    <t>www.lixinger.com/analytics/company/sz/300669/300669/detail</t>
  </si>
  <si>
    <t>迅游科技</t>
  </si>
  <si>
    <t>www.lixinger.com/analytics/company/sz/300467/300467/detail</t>
  </si>
  <si>
    <t>普源精电</t>
  </si>
  <si>
    <t>www.lixinger.com/analytics/company/sh/688337/688337/detail</t>
  </si>
  <si>
    <t>民生控股</t>
  </si>
  <si>
    <t>www.lixinger.com/analytics/company/sz/000416/416/detail</t>
  </si>
  <si>
    <t>天微电子</t>
  </si>
  <si>
    <t>www.lixinger.com/analytics/company/sh/688511/688511/detail</t>
  </si>
  <si>
    <t>沃尔德</t>
  </si>
  <si>
    <t>www.lixinger.com/analytics/company/sh/688028/688028/detail</t>
  </si>
  <si>
    <t>宁波中百</t>
  </si>
  <si>
    <t>www.lixinger.com/analytics/company/sh/600857/600857/detail</t>
  </si>
  <si>
    <t>国安达</t>
  </si>
  <si>
    <t>www.lixinger.com/analytics/company/sz/300902/300902/detail</t>
  </si>
  <si>
    <t>佳云科技</t>
  </si>
  <si>
    <t>www.lixinger.com/analytics/company/sz/300242/300242/detail</t>
  </si>
  <si>
    <t>晨曦航空</t>
  </si>
  <si>
    <t>www.lixinger.com/analytics/company/sz/300581/300581/detail</t>
  </si>
  <si>
    <t>天秦装备</t>
  </si>
  <si>
    <t>www.lixinger.com/analytics/company/sz/300922/300922/detail</t>
  </si>
  <si>
    <t>惠程科技</t>
  </si>
  <si>
    <t>www.lixinger.com/analytics/company/sz/002168/2168/detail</t>
  </si>
  <si>
    <t>富信科技</t>
  </si>
  <si>
    <t>www.lixinger.com/analytics/company/sh/688662/688662/detail</t>
  </si>
  <si>
    <t>康众医疗</t>
  </si>
  <si>
    <t>www.lixinger.com/analytics/company/sh/688607/688607/detail</t>
  </si>
  <si>
    <t>伟隆股份</t>
  </si>
  <si>
    <t>www.lixinger.com/analytics/company/sz/002871/2871/detail</t>
  </si>
  <si>
    <t>*ST西发</t>
  </si>
  <si>
    <t>www.lixinger.com/analytics/company/sz/000752/752/detail</t>
  </si>
  <si>
    <t>海创药业</t>
  </si>
  <si>
    <t>www.lixinger.com/analytics/company/sh/688302/688302/detail</t>
  </si>
  <si>
    <t>德龙激光</t>
  </si>
  <si>
    <t>www.lixinger.com/analytics/company/sh/688170/688170/detail</t>
  </si>
  <si>
    <t>北鼎股份</t>
  </si>
  <si>
    <t>www.lixinger.com/analytics/company/sz/300824/300824/detail</t>
  </si>
  <si>
    <t>万马科技</t>
  </si>
  <si>
    <t>www.lixinger.com/analytics/company/sz/300698/300698/detail</t>
  </si>
  <si>
    <t>宏德股份</t>
  </si>
  <si>
    <t>www.lixinger.com/analytics/company/sz/301163/301163/detail</t>
  </si>
  <si>
    <t>扬电科技</t>
  </si>
  <si>
    <t>www.lixinger.com/analytics/company/sz/301012/301012/detail</t>
  </si>
  <si>
    <t>日月明</t>
  </si>
  <si>
    <t>www.lixinger.com/analytics/company/sz/300906/300906/detail</t>
  </si>
  <si>
    <t>安硕信息</t>
  </si>
  <si>
    <t>www.lixinger.com/analytics/company/sz/300380/300380/detail</t>
  </si>
  <si>
    <t>金太阳</t>
  </si>
  <si>
    <t>www.lixinger.com/analytics/company/sz/300606/300606/detail</t>
  </si>
  <si>
    <t>倍轻松</t>
  </si>
  <si>
    <t>www.lixinger.com/analytics/company/sh/688793/688793/detail</t>
  </si>
  <si>
    <t>霍普股份</t>
  </si>
  <si>
    <t>www.lixinger.com/analytics/company/sz/301024/301024/detail</t>
  </si>
  <si>
    <t>泰福泵业</t>
  </si>
  <si>
    <t>www.lixinger.com/analytics/company/sz/300992/300992/detail</t>
  </si>
  <si>
    <t>奥联电子</t>
  </si>
  <si>
    <t>www.lixinger.com/analytics/company/sz/300585/300585/detail</t>
  </si>
  <si>
    <t>江南奕帆</t>
  </si>
  <si>
    <t>www.lixinger.com/analytics/company/sz/301023/301023/detail</t>
  </si>
  <si>
    <t>开勒股份</t>
  </si>
  <si>
    <t>www.lixinger.com/analytics/company/sz/301070/301070/detail</t>
  </si>
  <si>
    <t>川网传媒</t>
  </si>
  <si>
    <t>www.lixinger.com/analytics/company/sz/300987/300987/detail</t>
  </si>
  <si>
    <t>坤恒顺维</t>
  </si>
  <si>
    <t>www.lixinger.com/analytics/company/sh/688283/688283/detail</t>
  </si>
  <si>
    <t>绿岛风</t>
  </si>
  <si>
    <t>www.lixinger.com/analytics/company/sz/301043/301043/detail</t>
  </si>
  <si>
    <t>杭州柯林</t>
  </si>
  <si>
    <t>www.lixinger.com/analytics/company/sh/688611/688611/detail</t>
  </si>
  <si>
    <t>和达科技</t>
  </si>
  <si>
    <t>www.lixinger.com/analytics/company/sh/688296/688296/detail</t>
  </si>
  <si>
    <t>超捷股份</t>
  </si>
  <si>
    <t>www.lixinger.com/analytics/company/sz/301005/301005/detail</t>
  </si>
  <si>
    <t>三德科技</t>
  </si>
  <si>
    <t>www.lixinger.com/analytics/company/sz/300515/300515/detail</t>
  </si>
  <si>
    <t>通业科技</t>
  </si>
  <si>
    <t>www.lixinger.com/analytics/company/sz/300960/300960/detail</t>
  </si>
  <si>
    <t>初灵信息</t>
  </si>
  <si>
    <t>www.lixinger.com/analytics/company/sz/300250/300250/detail</t>
  </si>
  <si>
    <t>正强股份</t>
  </si>
  <si>
    <t>www.lixinger.com/analytics/company/sz/301119/301119/detail</t>
  </si>
  <si>
    <t>莱伯泰科</t>
  </si>
  <si>
    <t>www.lixinger.com/analytics/company/sh/688056/688056/detail</t>
  </si>
  <si>
    <t>ST龙韵</t>
  </si>
  <si>
    <t>www.lixinger.com/analytics/company/sh/603729/603729/detail</t>
  </si>
  <si>
    <t>派瑞股份</t>
  </si>
  <si>
    <t>www.lixinger.com/analytics/company/sz/300831/300831/detail</t>
  </si>
  <si>
    <t>西力科技</t>
  </si>
  <si>
    <t>www.lixinger.com/analytics/company/sh/688616/688616/detail</t>
  </si>
  <si>
    <t>双成药业</t>
  </si>
  <si>
    <t>www.lixinger.com/analytics/company/sz/002693/2693/detail</t>
  </si>
  <si>
    <t>佰奥智能</t>
  </si>
  <si>
    <t>www.lixinger.com/analytics/company/sz/300836/300836/detail</t>
  </si>
  <si>
    <t>观想科技</t>
  </si>
  <si>
    <t>www.lixinger.com/analytics/company/sz/301213/301213/detail</t>
  </si>
  <si>
    <t>万辰生物</t>
  </si>
  <si>
    <t>www.lixinger.com/analytics/company/sz/300972/300972/detail</t>
  </si>
  <si>
    <t>浩欧博</t>
  </si>
  <si>
    <t>www.lixinger.com/analytics/company/sh/688656/688656/detail</t>
  </si>
  <si>
    <t>捷安高科</t>
  </si>
  <si>
    <t>www.lixinger.com/analytics/company/sz/300845/300845/detail</t>
  </si>
  <si>
    <t>赛隆药业</t>
  </si>
  <si>
    <t>www.lixinger.com/analytics/company/sz/002898/2898/detail</t>
  </si>
  <si>
    <t>*ST雅博</t>
  </si>
  <si>
    <t>www.lixinger.com/analytics/company/sz/002323/2323/detail</t>
  </si>
  <si>
    <t>新宁物流</t>
  </si>
  <si>
    <t>www.lixinger.com/analytics/company/sz/300013/300013/detail</t>
  </si>
  <si>
    <t>爱朋医疗</t>
  </si>
  <si>
    <t>www.lixinger.com/analytics/company/sz/300753/300753/detail</t>
  </si>
  <si>
    <t>安达智能</t>
  </si>
  <si>
    <t>www.lixinger.com/analytics/company/sh/688125/688125/detail</t>
  </si>
  <si>
    <t>百胜智能</t>
  </si>
  <si>
    <t>www.lixinger.com/analytics/company/sz/301083/301083/detail</t>
  </si>
  <si>
    <t>三旺通信</t>
  </si>
  <si>
    <t>www.lixinger.com/analytics/company/sh/688618/688618/detail</t>
  </si>
  <si>
    <t>泰林生物</t>
  </si>
  <si>
    <t>www.lixinger.com/analytics/company/sz/300813/300813/detail</t>
  </si>
  <si>
    <t>新特电气</t>
  </si>
  <si>
    <t>www.lixinger.com/analytics/company/sz/301120/301120/detail</t>
  </si>
  <si>
    <t>泛亚微透</t>
  </si>
  <si>
    <t>www.lixinger.com/analytics/company/sh/688386/688386/detail</t>
  </si>
  <si>
    <t>迈得医疗</t>
  </si>
  <si>
    <t>www.lixinger.com/analytics/company/sh/688310/688310/detail</t>
  </si>
  <si>
    <t>文一科技</t>
  </si>
  <si>
    <t>www.lixinger.com/analytics/company/sh/600520/600520/detail</t>
  </si>
  <si>
    <t>中坚科技</t>
  </si>
  <si>
    <t>www.lixinger.com/analytics/company/sz/002779/2779/detail</t>
  </si>
  <si>
    <t>德迈仕</t>
  </si>
  <si>
    <t>www.lixinger.com/analytics/company/sz/301007/301007/detail</t>
  </si>
  <si>
    <t>英集芯</t>
  </si>
  <si>
    <t>www.lixinger.com/analytics/company/sh/688209/688209/detail</t>
  </si>
  <si>
    <t>高乐股份</t>
  </si>
  <si>
    <t>www.lixinger.com/analytics/company/sz/002348/2348/detail</t>
  </si>
  <si>
    <t>科融环境</t>
  </si>
  <si>
    <t>www.lixinger.com/analytics/company/sz/300152/300152/detail</t>
  </si>
  <si>
    <t>迈信林</t>
  </si>
  <si>
    <t>www.lixinger.com/analytics/company/sh/688685/688685/detail</t>
  </si>
  <si>
    <t>纬德信息</t>
  </si>
  <si>
    <t>www.lixinger.com/analytics/company/sh/688171/688171/detail</t>
  </si>
  <si>
    <t>ST浩源</t>
  </si>
  <si>
    <t>www.lixinger.com/analytics/company/sz/002700/2700/detail</t>
  </si>
  <si>
    <t>曼卡龙</t>
  </si>
  <si>
    <t>www.lixinger.com/analytics/company/sz/300945/300945/detail</t>
  </si>
  <si>
    <t>天地数码</t>
  </si>
  <si>
    <t>www.lixinger.com/analytics/company/sz/300743/300743/detail</t>
  </si>
  <si>
    <t>德艺文创</t>
  </si>
  <si>
    <t>www.lixinger.com/analytics/company/sz/300640/300640/detail</t>
  </si>
  <si>
    <t>禾信仪器</t>
  </si>
  <si>
    <t>www.lixinger.com/analytics/company/sh/688622/688622/detail</t>
  </si>
  <si>
    <t>锐新科技</t>
  </si>
  <si>
    <t>www.lixinger.com/analytics/company/sz/300828/300828/detail</t>
  </si>
  <si>
    <t>兆日科技</t>
  </si>
  <si>
    <t>www.lixinger.com/analytics/company/sz/300333/300333/detail</t>
  </si>
  <si>
    <t>多瑞医药</t>
  </si>
  <si>
    <t>www.lixinger.com/analytics/company/sz/301075/301075/detail</t>
  </si>
  <si>
    <t>金百泽</t>
  </si>
  <si>
    <t>www.lixinger.com/analytics/company/sz/301041/301041/detail</t>
  </si>
  <si>
    <t>青云科技</t>
  </si>
  <si>
    <t>www.lixinger.com/analytics/company/sh/688316/688316/detail</t>
  </si>
  <si>
    <t>海天瑞声</t>
  </si>
  <si>
    <t>www.lixinger.com/analytics/company/sh/688787/688787/detail</t>
  </si>
  <si>
    <t>迅捷兴</t>
  </si>
  <si>
    <t>www.lixinger.com/analytics/company/sh/688655/688655/detail</t>
  </si>
  <si>
    <t>*ST群兴</t>
  </si>
  <si>
    <t>www.lixinger.com/analytics/company/sz/002575/2575/detail</t>
  </si>
  <si>
    <t>映翰通</t>
  </si>
  <si>
    <t>www.lixinger.com/analytics/company/sh/688080/688080/detail</t>
  </si>
  <si>
    <t>ST天山</t>
  </si>
  <si>
    <t>www.lixinger.com/analytics/company/sz/300313/300313/detail</t>
  </si>
  <si>
    <t>亚振家居</t>
  </si>
  <si>
    <t>www.lixinger.com/analytics/company/sh/603389/603389/detail</t>
  </si>
  <si>
    <t>易明医药</t>
  </si>
  <si>
    <t>www.lixinger.com/analytics/company/sz/002826/2826/detail</t>
  </si>
  <si>
    <t>日辰股份</t>
  </si>
  <si>
    <t>www.lixinger.com/analytics/company/sh/603755/603755/detail</t>
  </si>
  <si>
    <t>声迅股份</t>
  </si>
  <si>
    <t>www.lixinger.com/analytics/company/sz/003004/3004/detail</t>
  </si>
  <si>
    <t>艾布鲁</t>
  </si>
  <si>
    <t>www.lixinger.com/analytics/company/sz/301259/301259/detail</t>
  </si>
  <si>
    <t>森霸传感</t>
  </si>
  <si>
    <t>www.lixinger.com/analytics/company/sz/300701/300701/detail</t>
  </si>
  <si>
    <t>纵横股份</t>
  </si>
  <si>
    <t>www.lixinger.com/analytics/company/sh/688070/688070/detail</t>
  </si>
  <si>
    <t>霍莱沃</t>
  </si>
  <si>
    <t>www.lixinger.com/analytics/company/sh/688682/688682/detail</t>
  </si>
  <si>
    <t>粤万年青</t>
  </si>
  <si>
    <t>www.lixinger.com/analytics/company/sz/301111/301111/detail</t>
  </si>
  <si>
    <t>*ST乐材</t>
  </si>
  <si>
    <t>www.lixinger.com/analytics/company/sz/300446/300446/detail</t>
  </si>
  <si>
    <t>正虹科技</t>
  </si>
  <si>
    <t>www.lixinger.com/analytics/company/sz/000702/702/detail</t>
  </si>
  <si>
    <t>博通股份</t>
  </si>
  <si>
    <t>www.lixinger.com/analytics/company/sh/600455/600455/detail</t>
  </si>
  <si>
    <t>左江科技</t>
  </si>
  <si>
    <t>www.lixinger.com/analytics/company/sz/300799/300799/detail</t>
  </si>
  <si>
    <t>龙津药业</t>
  </si>
  <si>
    <t>www.lixinger.com/analytics/company/sz/002750/2750/detail</t>
  </si>
  <si>
    <t>同大股份</t>
  </si>
  <si>
    <t>www.lixinger.com/analytics/company/sz/300321/300321/detail</t>
  </si>
  <si>
    <t>海昌新材</t>
  </si>
  <si>
    <t>www.lixinger.com/analytics/company/sz/300885/300885/detail</t>
  </si>
  <si>
    <t>金瑞矿业</t>
  </si>
  <si>
    <t>www.lixinger.com/analytics/company/sh/600714/600714/detail</t>
  </si>
  <si>
    <t>东方材料</t>
  </si>
  <si>
    <t>www.lixinger.com/analytics/company/sh/603110/603110/detail</t>
  </si>
  <si>
    <t>*ST绿庭</t>
  </si>
  <si>
    <t>www.lixinger.com/analytics/company/sh/600695/600695/detail</t>
  </si>
  <si>
    <t>江天化学</t>
  </si>
  <si>
    <t>www.lixinger.com/analytics/company/sz/300927/300927/detail</t>
  </si>
  <si>
    <t>卓锦股份</t>
  </si>
  <si>
    <t>www.lixinger.com/analytics/company/sh/688701/688701/detail</t>
  </si>
  <si>
    <t>零点有数</t>
  </si>
  <si>
    <t>www.lixinger.com/analytics/company/sz/301169/301169/detail</t>
  </si>
  <si>
    <t>陇神戎发</t>
  </si>
  <si>
    <t>www.lixinger.com/analytics/company/sz/300534/300534/detail</t>
  </si>
  <si>
    <t>长航凤凰</t>
  </si>
  <si>
    <t>www.lixinger.com/analytics/company/sz/000520/520/detail</t>
  </si>
  <si>
    <t>万事利</t>
  </si>
  <si>
    <t>www.lixinger.com/analytics/company/sz/301066/301066/detail</t>
  </si>
  <si>
    <t>林海股份</t>
  </si>
  <si>
    <t>www.lixinger.com/analytics/company/sh/600099/600099/detail</t>
  </si>
  <si>
    <t>杰恩设计</t>
  </si>
  <si>
    <t>www.lixinger.com/analytics/company/sz/300668/300668/detail</t>
  </si>
  <si>
    <t>天迈科技</t>
  </si>
  <si>
    <t>www.lixinger.com/analytics/company/sz/300807/300807/detail</t>
  </si>
  <si>
    <t>雅艺科技</t>
  </si>
  <si>
    <t>www.lixinger.com/analytics/company/sz/301113/301113/detail</t>
  </si>
  <si>
    <t>万向德农</t>
  </si>
  <si>
    <t>www.lixinger.com/analytics/company/sh/600371/600371/detail</t>
  </si>
  <si>
    <t>长江投资</t>
  </si>
  <si>
    <t>www.lixinger.com/analytics/company/sh/600119/600119/detail</t>
  </si>
  <si>
    <t>路通视信</t>
  </si>
  <si>
    <t>www.lixinger.com/analytics/company/sz/300555/300555/detail</t>
  </si>
  <si>
    <t>维宏股份</t>
  </si>
  <si>
    <t>www.lixinger.com/analytics/company/sz/300508/300508/detail</t>
  </si>
  <si>
    <t>博睿数据</t>
  </si>
  <si>
    <t>www.lixinger.com/analytics/company/sh/688229/688229/detail</t>
  </si>
  <si>
    <t>悦安新材</t>
  </si>
  <si>
    <t>www.lixinger.com/analytics/company/sh/688786/688786/detail</t>
  </si>
  <si>
    <t>ST荣华</t>
  </si>
  <si>
    <t>www.lixinger.com/analytics/company/sh/600311/600311/detail</t>
  </si>
  <si>
    <t>博闻科技</t>
  </si>
  <si>
    <t>www.lixinger.com/analytics/company/sh/600883/600883/detail</t>
  </si>
  <si>
    <t>广哈通信</t>
  </si>
  <si>
    <t>www.lixinger.com/analytics/company/sz/300711/300711/detail</t>
  </si>
  <si>
    <t>天津普林</t>
  </si>
  <si>
    <t>www.lixinger.com/analytics/company/sz/002134/2134/detail</t>
  </si>
  <si>
    <t>嘉应制药</t>
  </si>
  <si>
    <t>www.lixinger.com/analytics/company/sz/002198/2198/detail</t>
  </si>
  <si>
    <t>博汇科技</t>
  </si>
  <si>
    <t>www.lixinger.com/analytics/company/sh/688004/688004/detail</t>
  </si>
  <si>
    <t>创业黑马</t>
  </si>
  <si>
    <t>www.lixinger.com/analytics/company/sz/300688/300688/detail</t>
  </si>
  <si>
    <t>*ST恒誉</t>
  </si>
  <si>
    <t>www.lixinger.com/analytics/company/sh/688309/688309/detail</t>
  </si>
  <si>
    <t>威帝股份</t>
  </si>
  <si>
    <t>www.lixinger.com/analytics/company/sh/603023/603023/detail</t>
  </si>
  <si>
    <t>读客文化</t>
  </si>
  <si>
    <t>www.lixinger.com/analytics/company/sz/301025/301025/detail</t>
  </si>
  <si>
    <t>三超新材</t>
  </si>
  <si>
    <t>www.lixinger.com/analytics/company/sz/300554/300554/detail</t>
  </si>
  <si>
    <t>宝鼎科技</t>
  </si>
  <si>
    <t>www.lixinger.com/analytics/company/sz/002552/2552/detail</t>
  </si>
  <si>
    <t>锦盛新材</t>
  </si>
  <si>
    <t>www.lixinger.com/analytics/company/sz/300849/300849/detail</t>
  </si>
  <si>
    <t>屹通新材</t>
  </si>
  <si>
    <t>www.lixinger.com/analytics/company/sz/300930/300930/detail</t>
  </si>
  <si>
    <t>*ST德奥</t>
  </si>
  <si>
    <t>www.lixinger.com/analytics/company/sz/002260/2260/detail</t>
  </si>
  <si>
    <t>中公高科</t>
  </si>
  <si>
    <t>www.lixinger.com/analytics/company/sh/603860/603860/detail</t>
  </si>
  <si>
    <t>步科股份</t>
  </si>
  <si>
    <t>www.lixinger.com/analytics/company/sh/688160/688160/detail</t>
  </si>
  <si>
    <t>华星创业</t>
  </si>
  <si>
    <t>www.lixinger.com/analytics/company/sz/300025/300025/detail</t>
  </si>
  <si>
    <t>科创信息</t>
  </si>
  <si>
    <t>www.lixinger.com/analytics/company/sz/300730/300730/detail</t>
  </si>
  <si>
    <t>ST通葡</t>
  </si>
  <si>
    <t>www.lixinger.com/analytics/company/sh/600365/600365/detail</t>
  </si>
  <si>
    <t>富吉瑞</t>
  </si>
  <si>
    <t>www.lixinger.com/analytics/company/sh/688272/688272/detail</t>
  </si>
  <si>
    <t>宏盛股份</t>
  </si>
  <si>
    <t>www.lixinger.com/analytics/company/sh/603090/603090/detail</t>
  </si>
  <si>
    <t>深华发Ｂ</t>
  </si>
  <si>
    <t>www.lixinger.com/analytics/company/sz/200020/200020/detail</t>
  </si>
  <si>
    <t>松发股份</t>
  </si>
  <si>
    <t>www.lixinger.com/analytics/company/sh/603268/603268/detail</t>
  </si>
  <si>
    <t>德固特</t>
  </si>
  <si>
    <t>www.lixinger.com/analytics/company/sz/300950/300950/detail</t>
  </si>
  <si>
    <t>正弦电气</t>
  </si>
  <si>
    <t>www.lixinger.com/analytics/company/sh/688395/688395/detail</t>
  </si>
  <si>
    <t>朗源股份</t>
  </si>
  <si>
    <t>www.lixinger.com/analytics/company/sz/300175/300175/detail</t>
  </si>
  <si>
    <t>唯赛勃</t>
  </si>
  <si>
    <t>www.lixinger.com/analytics/company/sh/688718/688718/detail</t>
  </si>
  <si>
    <t>立方数科</t>
  </si>
  <si>
    <t>www.lixinger.com/analytics/company/sz/300344/300344/detail</t>
  </si>
  <si>
    <t>迪威迅</t>
  </si>
  <si>
    <t>www.lixinger.com/analytics/company/sz/300167/300167/detail</t>
  </si>
  <si>
    <t>容知日新</t>
  </si>
  <si>
    <t>www.lixinger.com/analytics/company/sh/688768/688768/detail</t>
  </si>
  <si>
    <t>嘉益股份</t>
  </si>
  <si>
    <t>www.lixinger.com/analytics/company/sz/301004/301004/detail</t>
  </si>
  <si>
    <t>澄天伟业</t>
  </si>
  <si>
    <t>www.lixinger.com/analytics/company/sz/300689/300689/detail</t>
  </si>
  <si>
    <t>四环生物</t>
  </si>
  <si>
    <t>www.lixinger.com/analytics/company/sz/000518/518/detail</t>
  </si>
  <si>
    <t>弘宇股份</t>
  </si>
  <si>
    <t>www.lixinger.com/analytics/company/sz/002890/2890/detail</t>
  </si>
  <si>
    <t>优德精密</t>
  </si>
  <si>
    <t>www.lixinger.com/analytics/company/sz/300549/300549/detail</t>
  </si>
  <si>
    <t>万里股份</t>
  </si>
  <si>
    <t>www.lixinger.com/analytics/company/sh/600847/600847/detail</t>
  </si>
  <si>
    <t>科汇股份</t>
  </si>
  <si>
    <t>www.lixinger.com/analytics/company/sh/688681/688681/detail</t>
  </si>
  <si>
    <t>创兴资源</t>
  </si>
  <si>
    <t>www.lixinger.com/analytics/company/sh/600193/600193/detail</t>
  </si>
  <si>
    <t>宣亚国际</t>
  </si>
  <si>
    <t>www.lixinger.com/analytics/company/sz/300612/300612/detail</t>
  </si>
  <si>
    <t>奇德新材</t>
  </si>
  <si>
    <t>www.lixinger.com/analytics/company/sz/300995/300995/detail</t>
  </si>
  <si>
    <t>洪汇新材</t>
  </si>
  <si>
    <t>www.lixinger.com/analytics/company/sz/002802/2802/detail</t>
  </si>
  <si>
    <t>亚太实业</t>
  </si>
  <si>
    <t>www.lixinger.com/analytics/company/sz/000691/691/detail</t>
  </si>
  <si>
    <t>大庆华科</t>
  </si>
  <si>
    <t>www.lixinger.com/analytics/company/sz/000985/985/detail</t>
  </si>
  <si>
    <t>汇金科技</t>
  </si>
  <si>
    <t>www.lixinger.com/analytics/company/sz/300561/300561/detail</t>
  </si>
  <si>
    <t>兴图新科</t>
  </si>
  <si>
    <t>www.lixinger.com/analytics/company/sh/688081/688081/detail</t>
  </si>
  <si>
    <t>中广天择</t>
  </si>
  <si>
    <t>www.lixinger.com/analytics/company/sh/603721/603721/detail</t>
  </si>
  <si>
    <t>迈普医学</t>
  </si>
  <si>
    <t>www.lixinger.com/analytics/company/sz/301033/301033/detail</t>
  </si>
  <si>
    <t>凯马Ｂ</t>
  </si>
  <si>
    <t>www.lixinger.com/analytics/company/sh/900953/900953/detail</t>
  </si>
  <si>
    <t>上海三毛</t>
  </si>
  <si>
    <t>www.lixinger.com/analytics/company/sh/600689/600689/detail</t>
  </si>
  <si>
    <t>海联讯</t>
  </si>
  <si>
    <t>www.lixinger.com/analytics/company/sz/300277/300277/detail</t>
  </si>
  <si>
    <t>保力新</t>
  </si>
  <si>
    <t>www.lixinger.com/analytics/company/sz/300116/300116/detail</t>
  </si>
  <si>
    <t>*ST西域</t>
  </si>
  <si>
    <t>www.lixinger.com/analytics/company/sz/300859/300859/detail</t>
  </si>
  <si>
    <t>*ST新文</t>
  </si>
  <si>
    <t>www.lixinger.com/analytics/company/sz/300336/300336/detail</t>
  </si>
  <si>
    <t>中国中期</t>
  </si>
  <si>
    <t>www.lixinger.com/analytics/company/sz/000996/996/detail</t>
  </si>
  <si>
    <t>*ST丰华</t>
  </si>
  <si>
    <t>www.lixinger.com/analytics/company/sh/600615/600615/detail</t>
  </si>
  <si>
    <t>*ST中基</t>
  </si>
  <si>
    <t>www.lixinger.com/analytics/company/sz/000972/972/detail</t>
  </si>
  <si>
    <t>方直科技</t>
  </si>
  <si>
    <t>www.lixinger.com/analytics/company/sz/300235/300235/detail</t>
  </si>
  <si>
    <t>扬子新材</t>
  </si>
  <si>
    <t>www.lixinger.com/analytics/company/sz/002652/2652/detail</t>
  </si>
  <si>
    <t>上海凯鑫</t>
  </si>
  <si>
    <t>www.lixinger.com/analytics/company/sz/300899/300899/detail</t>
  </si>
  <si>
    <t>和林微纳</t>
  </si>
  <si>
    <t>www.lixinger.com/analytics/company/sh/688661/688661/detail</t>
  </si>
  <si>
    <t>华信新材</t>
  </si>
  <si>
    <t>www.lixinger.com/analytics/company/sz/300717/300717/detail</t>
  </si>
  <si>
    <t>实丰文化</t>
  </si>
  <si>
    <t>www.lixinger.com/analytics/company/sz/002862/2862/detail</t>
  </si>
  <si>
    <t>景业智能</t>
  </si>
  <si>
    <t>www.lixinger.com/analytics/company/sh/688290/688290/detail</t>
  </si>
  <si>
    <t>汇隆新材</t>
  </si>
  <si>
    <t>www.lixinger.com/analytics/company/sz/301057/301057/detail</t>
  </si>
  <si>
    <t>乐通股份</t>
  </si>
  <si>
    <t>www.lixinger.com/analytics/company/sz/002319/2319/detail</t>
  </si>
  <si>
    <t>*ST科林</t>
  </si>
  <si>
    <t>www.lixinger.com/analytics/company/sz/002499/2499/detail</t>
  </si>
  <si>
    <t>狮头股份</t>
  </si>
  <si>
    <t>www.lixinger.com/analytics/company/sh/600539/600539/detail</t>
  </si>
  <si>
    <t>果麦文化</t>
  </si>
  <si>
    <t>www.lixinger.com/analytics/company/sz/301052/301052/detail</t>
  </si>
  <si>
    <t>龙软科技</t>
  </si>
  <si>
    <t>www.lixinger.com/analytics/company/sh/688078/688078/detail</t>
  </si>
  <si>
    <t>金三江</t>
  </si>
  <si>
    <t>www.lixinger.com/analytics/company/sz/301059/301059/detail</t>
  </si>
  <si>
    <t>三孚新科</t>
  </si>
  <si>
    <t>www.lixinger.com/analytics/company/sh/688359/688359/detail</t>
  </si>
  <si>
    <t>邵阳液压</t>
  </si>
  <si>
    <t>www.lixinger.com/analytics/company/sz/301079/301079/detail</t>
  </si>
  <si>
    <t>先锋新材</t>
  </si>
  <si>
    <t>www.lixinger.com/analytics/company/sz/300163/300163/detail</t>
  </si>
  <si>
    <t>大为股份</t>
  </si>
  <si>
    <t>www.lixinger.com/analytics/company/sz/002213/2213/detail</t>
  </si>
  <si>
    <t>退市中新</t>
  </si>
  <si>
    <t>www.lixinger.com/analytics/company/sh/603996/603996/detail</t>
  </si>
  <si>
    <t>申科股份</t>
  </si>
  <si>
    <t>www.lixinger.com/analytics/company/sz/002633/2633/detail</t>
  </si>
  <si>
    <t>南华生物</t>
  </si>
  <si>
    <t>www.lixinger.com/analytics/company/sz/000504/504/detail</t>
  </si>
  <si>
    <t>工大高科</t>
  </si>
  <si>
    <t>www.lixinger.com/analytics/company/sh/688367/688367/detail</t>
  </si>
  <si>
    <t>高斯贝尔</t>
  </si>
  <si>
    <t>www.lixinger.com/analytics/company/sz/002848/2848/detail</t>
  </si>
  <si>
    <t>东晶电子</t>
  </si>
  <si>
    <t>www.lixinger.com/analytics/company/sz/002199/2199/detail</t>
  </si>
  <si>
    <t>碳元科技</t>
  </si>
  <si>
    <t>www.lixinger.com/analytics/company/sh/603133/603133/detail</t>
  </si>
  <si>
    <t>浪莎股份</t>
  </si>
  <si>
    <t>www.lixinger.com/analytics/company/sh/600137/600137/detail</t>
  </si>
  <si>
    <t>海川智能</t>
  </si>
  <si>
    <t>www.lixinger.com/analytics/company/sz/300720/300720/detail</t>
  </si>
  <si>
    <t>上海亚虹</t>
  </si>
  <si>
    <t>www.lixinger.com/analytics/company/sh/603159/603159/detail</t>
  </si>
  <si>
    <t>奥维通信</t>
  </si>
  <si>
    <t>www.lixinger.com/analytics/company/sz/002231/2231/detail</t>
  </si>
  <si>
    <t>天利科技</t>
  </si>
  <si>
    <t>www.lixinger.com/analytics/company/sz/300399/300399/detail</t>
  </si>
  <si>
    <t>*ST华塑</t>
  </si>
  <si>
    <t>www.lixinger.com/analytics/company/sz/000509/509/detail</t>
  </si>
  <si>
    <t>安记食品</t>
  </si>
  <si>
    <t>www.lixinger.com/analytics/company/sh/603696/603696/detail</t>
  </si>
  <si>
    <t>爱科科技</t>
  </si>
  <si>
    <t>www.lixinger.com/analytics/company/sh/688092/688092/detail</t>
  </si>
  <si>
    <t>深华发Ａ</t>
  </si>
  <si>
    <t>www.lixinger.com/analytics/company/sz/000020/20/detail</t>
  </si>
  <si>
    <t>向日葵</t>
  </si>
  <si>
    <t>www.lixinger.com/analytics/company/sz/300111/300111/detail</t>
  </si>
  <si>
    <t>华虹计通</t>
  </si>
  <si>
    <t>www.lixinger.com/analytics/company/sz/300330/300330/detail</t>
  </si>
  <si>
    <t>廊坊发展</t>
  </si>
  <si>
    <t>www.lixinger.com/analytics/company/sh/600149/600149/detail</t>
  </si>
  <si>
    <t>ST三五</t>
  </si>
  <si>
    <t>www.lixinger.com/analytics/company/sz/300051/300051/detail</t>
  </si>
  <si>
    <t>*ST晨鑫</t>
  </si>
  <si>
    <t>www.lixinger.com/analytics/company/sz/002447/2447/detail</t>
  </si>
  <si>
    <t>三晖电气</t>
  </si>
  <si>
    <t>www.lixinger.com/analytics/company/sz/002857/2857/detail</t>
  </si>
  <si>
    <t>新余国科</t>
  </si>
  <si>
    <t>www.lixinger.com/analytics/company/sz/300722/300722/detail</t>
  </si>
  <si>
    <t>国美通讯</t>
  </si>
  <si>
    <t>www.lixinger.com/analytics/company/sh/600898/600898/detail</t>
  </si>
  <si>
    <t>康拓医疗</t>
  </si>
  <si>
    <t>www.lixinger.com/analytics/company/sh/688314/688314/detail</t>
  </si>
  <si>
    <t>东方网络</t>
  </si>
  <si>
    <t>www.lixinger.com/analytics/company/sz/002175/2175/detail</t>
  </si>
  <si>
    <t>*ST宝德</t>
  </si>
  <si>
    <t>www.lixinger.com/analytics/company/sz/300023/300023/detail</t>
  </si>
  <si>
    <t>亿通科技</t>
  </si>
  <si>
    <t>www.lixinger.com/analytics/company/sz/300211/300211/detail</t>
  </si>
  <si>
    <t>湘邮科技</t>
  </si>
  <si>
    <t>www.lixinger.com/analytics/company/sh/600476/600476/detail</t>
  </si>
  <si>
    <t>瑞晟智能</t>
  </si>
  <si>
    <t>www.lixinger.com/analytics/company/sh/688215/688215/detail</t>
  </si>
  <si>
    <t>路畅科技</t>
  </si>
  <si>
    <t>www.lixinger.com/analytics/company/sz/002813/2813/detail</t>
  </si>
  <si>
    <t>汉邦高科</t>
  </si>
  <si>
    <t>www.lixinger.com/analytics/company/sz/300449/300449/detail</t>
  </si>
  <si>
    <t>恒久科技</t>
  </si>
  <si>
    <t>www.lixinger.com/analytics/company/sz/002808/2808/detail</t>
  </si>
  <si>
    <t>欣天科技</t>
  </si>
  <si>
    <t>www.lixinger.com/analytics/company/sz/300615/300615/detail</t>
  </si>
  <si>
    <t>集智股份</t>
  </si>
  <si>
    <t>www.lixinger.com/analytics/company/sz/300553/300553/detail</t>
  </si>
  <si>
    <t>国旅联合</t>
  </si>
  <si>
    <t>www.lixinger.com/analytics/company/sh/600358/600358/detail</t>
  </si>
  <si>
    <t>爱司凯</t>
  </si>
  <si>
    <t>www.lixinger.com/analytics/company/sz/300521/300521/detail</t>
  </si>
  <si>
    <t>四川金顶</t>
  </si>
  <si>
    <t>www.lixinger.com/analytics/company/sh/600678/600678/detail</t>
  </si>
  <si>
    <t>华业香料</t>
  </si>
  <si>
    <t>www.lixinger.com/analytics/company/sz/300886/300886/detail</t>
  </si>
  <si>
    <t>华民股份</t>
  </si>
  <si>
    <t>www.lixinger.com/analytics/company/sz/300345/300345/detail</t>
  </si>
  <si>
    <t>*ST罗顿</t>
  </si>
  <si>
    <t>www.lixinger.com/analytics/company/sh/600209/600209/detail</t>
  </si>
  <si>
    <t>江泉实业</t>
  </si>
  <si>
    <t>www.lixinger.com/analytics/company/sh/600212/600212/detail</t>
  </si>
  <si>
    <t>朗博科技</t>
  </si>
  <si>
    <t>www.lixinger.com/analytics/company/sh/603655/603655/detail</t>
  </si>
  <si>
    <t>峰岹科技</t>
  </si>
  <si>
    <t>www.lixinger.com/analytics/company/sh/688279/688279/detail</t>
  </si>
  <si>
    <t>*ST雪莱</t>
  </si>
  <si>
    <t>www.lixinger.com/analytics/company/sz/002076/2076/detail</t>
  </si>
  <si>
    <t>永悦科技</t>
  </si>
  <si>
    <t>www.lixinger.com/analytics/company/sh/603879/603879/detail</t>
  </si>
  <si>
    <t>天臣医疗</t>
  </si>
  <si>
    <t>www.lixinger.com/analytics/company/sh/688013/688013/detail</t>
  </si>
  <si>
    <t>东华测试</t>
  </si>
  <si>
    <t>www.lixinger.com/analytics/company/sz/300354/300354/detail</t>
  </si>
  <si>
    <t>爱威科技</t>
  </si>
  <si>
    <t>www.lixinger.com/analytics/company/sh/688067/688067/detail</t>
  </si>
  <si>
    <t>艾艾精工</t>
  </si>
  <si>
    <t>www.lixinger.com/analytics/company/sh/603580/603580/detail</t>
  </si>
  <si>
    <t>田中精机</t>
  </si>
  <si>
    <t>www.lixinger.com/analytics/company/sz/300461/300461/detail</t>
  </si>
  <si>
    <t>好利科技</t>
  </si>
  <si>
    <t>www.lixinger.com/analytics/company/sz/002729/2729/detail</t>
  </si>
  <si>
    <t>米奥会展</t>
  </si>
  <si>
    <t>www.lixinger.com/analytics/company/sz/300795/300795/detail</t>
  </si>
  <si>
    <t>汇源通信</t>
  </si>
  <si>
    <t>www.lixinger.com/analytics/company/sz/000586/586/detail</t>
  </si>
  <si>
    <t>大理药业</t>
  </si>
  <si>
    <t>www.lixinger.com/analytics/company/sh/603963/603963/detail</t>
  </si>
  <si>
    <t>华东数控</t>
  </si>
  <si>
    <t>www.lixinger.com/analytics/company/sz/002248/2248/detail</t>
  </si>
  <si>
    <t>南华仪器</t>
  </si>
  <si>
    <t>www.lixinger.com/analytics/company/sz/300417/300417/detail</t>
  </si>
  <si>
    <t>东方银星</t>
  </si>
  <si>
    <t>www.lixinger.com/analytics/company/sh/600753/600753/detail</t>
  </si>
  <si>
    <t>宏达新材</t>
  </si>
  <si>
    <t>www.lixinger.com/analytics/company/sz/002211/2211/detail</t>
  </si>
  <si>
    <t>*ST南化</t>
  </si>
  <si>
    <t>www.lixinger.com/analytics/company/sh/600301/600301/detail</t>
  </si>
  <si>
    <t>柳化股份</t>
  </si>
  <si>
    <t>www.lixinger.com/analytics/company/sh/600423/600423/detail</t>
  </si>
  <si>
    <t>*ST万方</t>
  </si>
  <si>
    <t>www.lixinger.com/analytics/company/sz/000638/638/detail</t>
  </si>
  <si>
    <t>*ST皇台</t>
  </si>
  <si>
    <t>www.lixinger.com/analytics/company/sz/000995/995/detail</t>
  </si>
  <si>
    <t>*ST同洲</t>
  </si>
  <si>
    <t>www.lixinger.com/analytics/company/sz/002052/2052/detail</t>
  </si>
  <si>
    <t>云维股份</t>
  </si>
  <si>
    <t>www.lixinger.com/analytics/company/sh/600725/600725/detail</t>
  </si>
  <si>
    <t>ST西源</t>
  </si>
  <si>
    <t>www.lixinger.com/analytics/company/sh/600139/600139/detail</t>
  </si>
  <si>
    <t>惠威科技</t>
  </si>
  <si>
    <t>www.lixinger.com/analytics/company/sz/002888/2888/detail</t>
  </si>
  <si>
    <t>和科达</t>
  </si>
  <si>
    <t>www.lixinger.com/analytics/company/sz/002816/2816/detail</t>
  </si>
  <si>
    <t>新宏泽</t>
  </si>
  <si>
    <t>www.lixinger.com/analytics/company/sz/002836/2836/detail</t>
  </si>
  <si>
    <t>*ST华讯</t>
  </si>
  <si>
    <t>www.lixinger.com/analytics/company/sz/000687/687/detail</t>
  </si>
  <si>
    <t>金利华电</t>
  </si>
  <si>
    <t>www.lixinger.com/analytics/company/sz/300069/300069/detail</t>
  </si>
  <si>
    <t>清研环境</t>
  </si>
  <si>
    <t>www.lixinger.com/analytics/company/sz/301288/301288/detail</t>
  </si>
  <si>
    <t>*ST全新</t>
  </si>
  <si>
    <t>www.lixinger.com/analytics/company/sz/000007/7/detail</t>
  </si>
  <si>
    <t>ST顺利</t>
  </si>
  <si>
    <t>www.lixinger.com/analytics/company/sz/000606/606/detail</t>
  </si>
  <si>
    <t>大晟文化</t>
  </si>
  <si>
    <t>www.lixinger.com/analytics/company/sh/600892/600892/detail</t>
  </si>
  <si>
    <t>至正股份</t>
  </si>
  <si>
    <t>www.lixinger.com/analytics/company/sh/603991/603991/detail</t>
  </si>
  <si>
    <t>国能日新</t>
  </si>
  <si>
    <t>www.lixinger.com/analytics/company/sz/301162/301162/detail</t>
  </si>
  <si>
    <t>河化股份</t>
  </si>
  <si>
    <t>www.lixinger.com/analytics/company/sz/000953/953/detail</t>
  </si>
  <si>
    <t>ST目药</t>
  </si>
  <si>
    <t>www.lixinger.com/analytics/company/sh/600671/600671/detail</t>
  </si>
  <si>
    <t>同达创业</t>
  </si>
  <si>
    <t>www.lixinger.com/analytics/company/sh/600647/600647/detail</t>
  </si>
  <si>
    <t>精伦电子</t>
  </si>
  <si>
    <t>www.lixinger.com/analytics/company/sh/600355/600355/detail</t>
  </si>
  <si>
    <t>*ST中潜</t>
  </si>
  <si>
    <t>www.lixinger.com/analytics/company/sz/300526/300526/detail</t>
  </si>
  <si>
    <t>金运激光</t>
  </si>
  <si>
    <t>www.lixinger.com/analytics/company/sz/300220/300220/detail</t>
  </si>
  <si>
    <t>杭州高新</t>
  </si>
  <si>
    <t>www.lixinger.com/analytics/company/sz/300478/300478/detail</t>
  </si>
  <si>
    <t>*ST绿景</t>
  </si>
  <si>
    <t>www.lixinger.com/analytics/company/sz/000502/502/detail</t>
  </si>
  <si>
    <t>ST九有</t>
  </si>
  <si>
    <t>www.lixinger.com/analytics/company/sh/600462/600462/detail</t>
  </si>
  <si>
    <t>*ST威尔</t>
  </si>
  <si>
    <t>www.lixinger.com/analytics/company/sz/002058/2058/detail</t>
  </si>
  <si>
    <t>恒立实业</t>
  </si>
  <si>
    <t>www.lixinger.com/analytics/company/sz/000622/622/detail</t>
  </si>
  <si>
    <t>宇顺电子</t>
  </si>
  <si>
    <t>www.lixinger.com/analytics/company/sz/002289/2289/detail</t>
  </si>
  <si>
    <t>ST步森</t>
  </si>
  <si>
    <t>www.lixinger.com/analytics/company/sz/002569/2569/detail</t>
  </si>
  <si>
    <t>仁智股份</t>
  </si>
  <si>
    <t>www.lixinger.com/analytics/company/sz/002629/2629/detail</t>
  </si>
  <si>
    <t>华图山鼎</t>
  </si>
  <si>
    <t>www.lixinger.com/analytics/company/sz/300492/300492/detail</t>
  </si>
  <si>
    <t>*ST运盛</t>
  </si>
  <si>
    <t>www.lixinger.com/analytics/company/sh/600767/600767/detail</t>
  </si>
  <si>
    <t>准油股份</t>
  </si>
  <si>
    <t>www.lixinger.com/analytics/company/sz/002207/2207/detail</t>
  </si>
  <si>
    <t>*ST景谷</t>
  </si>
  <si>
    <t>www.lixinger.com/analytics/company/sh/600265/600265/detail</t>
  </si>
  <si>
    <t>宁波富邦</t>
  </si>
  <si>
    <t>www.lixinger.com/analytics/company/sh/600768/600768/detail</t>
  </si>
  <si>
    <t>佳创视讯</t>
  </si>
  <si>
    <t>www.lixinger.com/analytics/company/sz/300264/300264/detail</t>
  </si>
  <si>
    <t>赛微微电</t>
  </si>
  <si>
    <t>www.lixinger.com/analytics/company/sh/688325/688325/detail</t>
  </si>
  <si>
    <t>*ST节能</t>
  </si>
  <si>
    <t>www.lixinger.com/analytics/company/sz/000820/820/detail</t>
  </si>
  <si>
    <t>*ST天龙</t>
  </si>
  <si>
    <t>www.lixinger.com/analytics/company/sz/300029/300029/detail</t>
  </si>
  <si>
    <t>*ST巴士</t>
  </si>
  <si>
    <t>www.lixinger.com/analytics/company/sz/002188/2188/detail</t>
  </si>
  <si>
    <t>*ST中房</t>
  </si>
  <si>
    <t>www.lixinger.com/analytics/company/sh/600890/600890/detail</t>
  </si>
  <si>
    <t>合金投资</t>
  </si>
  <si>
    <t>www.lixinger.com/analytics/company/sz/000633/633/detail</t>
  </si>
  <si>
    <t>*ST深南</t>
  </si>
  <si>
    <t>www.lixinger.com/analytics/company/sz/002417/2417/detail</t>
  </si>
  <si>
    <t>百邦科技</t>
  </si>
  <si>
    <t>www.lixinger.com/analytics/company/sz/300736/300736/detail</t>
  </si>
  <si>
    <t>*ST厦华</t>
  </si>
  <si>
    <t>www.lixinger.com/analytics/company/sh/600870/600870/detail</t>
  </si>
  <si>
    <t>祥龙电业</t>
  </si>
  <si>
    <t>www.lixinger.com/analytics/company/sh/600769/600769/detail</t>
  </si>
  <si>
    <t>东电退</t>
  </si>
  <si>
    <t>www.lixinger.com/analytics/company/sz/000585/585/detail</t>
  </si>
  <si>
    <t>ST沪科</t>
  </si>
  <si>
    <t>www.lixinger.com/analytics/company/sh/600608/600608/detail</t>
  </si>
  <si>
    <t>中科云网</t>
  </si>
  <si>
    <t>www.lixinger.com/analytics/company/sz/002306/2306/detail</t>
  </si>
  <si>
    <t>锦旅Ｂ股</t>
  </si>
  <si>
    <t>www.lixinger.com/analytics/company/sh/900929/900929/detail</t>
  </si>
  <si>
    <t>凌云Ｂ股</t>
  </si>
  <si>
    <t>www.lixinger.com/analytics/company/sh/900957/900957/detail</t>
  </si>
  <si>
    <t>*ST园城</t>
  </si>
  <si>
    <t>www.lixinger.com/analytics/company/sh/600766/600766/detail</t>
  </si>
  <si>
    <t>*ST金泰</t>
  </si>
  <si>
    <t>www.lixinger.com/analytics/company/sh/600385/600385/detail</t>
  </si>
  <si>
    <t>深中华B</t>
  </si>
  <si>
    <t>www.lixinger.com/analytics/company/sz/200017/200017/detail</t>
  </si>
  <si>
    <t>长动退</t>
  </si>
  <si>
    <t>www.lixinger.com/analytics/company/sz/000835/835/detail</t>
  </si>
  <si>
    <t>*ST圣莱</t>
  </si>
  <si>
    <t>www.lixinger.com/analytics/company/sz/002473/2473/detail</t>
  </si>
  <si>
    <t>华嵘控股</t>
  </si>
  <si>
    <t>www.lixinger.com/analytics/company/sh/600421/600421/detail</t>
  </si>
  <si>
    <t>*ST昌鱼</t>
  </si>
  <si>
    <t>www.lixinger.com/analytics/company/sh/600275/600275/detail</t>
  </si>
  <si>
    <t>*ST东海B</t>
  </si>
  <si>
    <t>www.lixinger.com/analytics/company/sz/200613/200613/detail</t>
  </si>
  <si>
    <t>深中华A</t>
  </si>
  <si>
    <t>www.lixinger.com/analytics/company/sz/000017/17/detail</t>
  </si>
  <si>
    <t>*ST凯瑞</t>
  </si>
  <si>
    <t>www.lixinger.com/analytics/company/sz/002072/2072/detail</t>
  </si>
  <si>
    <t>*ST东海A</t>
  </si>
  <si>
    <t>www.lixinger.com/analytics/company/sz/000613/613/detail</t>
  </si>
  <si>
    <t>汇丽B</t>
  </si>
  <si>
    <t>www.lixinger.com/analytics/company/sh/900939/900939/detail</t>
  </si>
  <si>
    <t>武钢股份</t>
  </si>
  <si>
    <t>www.lixinger.com/analytics/company/sh/600005/600005/detail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</si>
  <si>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</si>
  <si>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</si>
  <si>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</si>
  <si>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</si>
  <si>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</si>
  <si>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</si>
  <si>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</si>
  <si>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</si>
  <si>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</si>
  <si>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</si>
  <si>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</si>
  <si>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</si>
  <si>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</si>
  <si>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</si>
  <si>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</si>
  <si>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</si>
  <si>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</si>
  <si>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</si>
  <si>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</si>
  <si>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</si>
  <si>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</si>
  <si>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</si>
  <si>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</si>
  <si>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</si>
  <si>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</si>
  <si>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</si>
  <si>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</si>
  <si>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</si>
  <si>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</si>
  <si>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</si>
  <si>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</si>
  <si>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</si>
  <si>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</si>
  <si>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</si>
  <si>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营口港</t>
  </si>
  <si>
    <t>www.lixinger.com/analytics/company/sh/600317/600317/detail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</si>
  <si>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</si>
  <si>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</si>
  <si>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</si>
  <si>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</si>
  <si>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</si>
  <si>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</si>
  <si>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</si>
  <si>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</si>
  <si>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</si>
  <si>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</si>
  <si>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</si>
  <si>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</si>
  <si>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</si>
  <si>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</si>
  <si>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</si>
  <si>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</si>
  <si>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</si>
  <si>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</si>
  <si>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</si>
  <si>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</si>
  <si>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</si>
  <si>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</si>
  <si>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</si>
  <si>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</si>
  <si>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</si>
  <si>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</si>
  <si>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</si>
  <si>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</si>
  <si>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</si>
  <si>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</si>
  <si>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</si>
  <si>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</si>
  <si>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</si>
  <si>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</si>
  <si>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</si>
  <si>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</si>
  <si>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</si>
  <si>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</si>
  <si>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</si>
  <si>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</si>
  <si>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</si>
  <si>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</si>
  <si>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</si>
  <si>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</si>
  <si>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</si>
  <si>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</si>
  <si>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</si>
  <si>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</si>
  <si>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</si>
  <si>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</si>
  <si>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</si>
  <si>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</si>
  <si>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</si>
  <si>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</si>
  <si>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</si>
  <si>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</si>
  <si>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</si>
  <si>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</si>
  <si>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</si>
  <si>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*ST宜生</t>
  </si>
  <si>
    <t>www.lixinger.com/analytics/company/sh/600978/600978/detail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</si>
  <si>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</si>
  <si>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</si>
  <si>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</si>
  <si>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</si>
  <si>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</si>
  <si>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</si>
  <si>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退市锐电</t>
  </si>
  <si>
    <t>www.lixinger.com/analytics/company/sh/601558/601558/detail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</si>
  <si>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</si>
  <si>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</si>
  <si>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</si>
  <si>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</si>
  <si>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</si>
  <si>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</si>
  <si>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</si>
  <si>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</si>
  <si>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</si>
  <si>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</si>
  <si>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</si>
  <si>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</si>
  <si>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</si>
  <si>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</si>
  <si>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</si>
  <si>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</si>
  <si>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</si>
  <si>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</si>
  <si>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</si>
  <si>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</si>
  <si>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</si>
  <si>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</si>
  <si>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</si>
  <si>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</si>
  <si>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</si>
  <si>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</si>
  <si>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</si>
  <si>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</si>
  <si>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</si>
  <si>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</si>
  <si>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</si>
  <si>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</si>
  <si>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</si>
  <si>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</si>
  <si>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</si>
  <si>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</si>
  <si>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</si>
  <si>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</si>
  <si>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</si>
  <si>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</si>
  <si>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</si>
  <si>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</si>
  <si>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</si>
  <si>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</si>
  <si>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</si>
  <si>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</si>
  <si>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</si>
  <si>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</si>
  <si>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</si>
  <si>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</si>
  <si>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</si>
  <si>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</si>
  <si>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</si>
  <si>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</si>
  <si>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</si>
  <si>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</si>
  <si>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</si>
  <si>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</si>
  <si>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</si>
  <si>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</si>
  <si>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</si>
  <si>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</si>
  <si>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</si>
  <si>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</si>
  <si>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</si>
  <si>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</si>
  <si>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</si>
  <si>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</si>
  <si>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</si>
  <si>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</si>
  <si>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</si>
  <si>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</si>
  <si>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</si>
  <si>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</si>
  <si>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</si>
  <si>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</si>
  <si>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</si>
  <si>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</si>
  <si>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</si>
  <si>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</si>
  <si>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</si>
  <si>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</si>
  <si>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</si>
  <si>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</si>
  <si>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</si>
  <si>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</si>
  <si>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</si>
  <si>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</si>
  <si>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</si>
  <si>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</si>
  <si>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</si>
  <si>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</si>
  <si>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</si>
  <si>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</si>
  <si>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</si>
  <si>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</si>
  <si>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</si>
  <si>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</si>
  <si>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</si>
  <si>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</si>
  <si>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</si>
  <si>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</si>
  <si>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</si>
  <si>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</si>
  <si>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</si>
  <si>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</si>
  <si>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</si>
  <si>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</si>
  <si>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</si>
  <si>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</si>
  <si>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</si>
  <si>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</si>
  <si>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</si>
  <si>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</si>
  <si>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</si>
  <si>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</si>
  <si>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</si>
  <si>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</si>
  <si>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</si>
  <si>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</si>
  <si>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</si>
  <si>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</si>
  <si>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</si>
  <si>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</si>
  <si>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</si>
  <si>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</si>
  <si>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</si>
  <si>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</si>
  <si>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</si>
  <si>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</si>
  <si>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</si>
  <si>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</si>
  <si>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</si>
  <si>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</si>
  <si>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</si>
  <si>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</si>
  <si>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</si>
  <si>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</si>
  <si>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</si>
  <si>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</si>
  <si>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</si>
  <si>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</si>
  <si>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</si>
  <si>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</si>
  <si>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</si>
  <si>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</si>
  <si>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</si>
  <si>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</si>
  <si>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</si>
  <si>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</si>
  <si>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</si>
  <si>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</si>
  <si>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</si>
  <si>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</si>
  <si>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</si>
  <si>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</si>
  <si>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</si>
  <si>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</si>
  <si>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</si>
  <si>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</si>
  <si>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</si>
  <si>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</si>
  <si>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</si>
  <si>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</si>
  <si>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</si>
  <si>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</si>
  <si>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</si>
  <si>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</si>
  <si>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</si>
  <si>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</si>
  <si>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</si>
  <si>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</si>
  <si>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</si>
  <si>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</si>
  <si>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</si>
  <si>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</si>
  <si>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</si>
  <si>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</si>
  <si>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</si>
  <si>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</si>
  <si>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</si>
  <si>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</si>
  <si>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</si>
  <si>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</si>
  <si>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</si>
  <si>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</si>
  <si>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</si>
  <si>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</si>
  <si>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</si>
  <si>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</si>
  <si>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</si>
  <si>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</si>
  <si>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</si>
  <si>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</si>
  <si>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</si>
  <si>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</si>
  <si>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</si>
  <si>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</si>
  <si>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</si>
  <si>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</si>
  <si>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</si>
  <si>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</si>
  <si>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</si>
  <si>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</si>
  <si>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</si>
  <si>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</si>
  <si>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</si>
  <si>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</si>
  <si>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</si>
  <si>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</si>
  <si>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</si>
  <si>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</si>
  <si>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欧浦退</t>
  </si>
  <si>
    <t>www.lixinger.com/analytics/company/sz/002711/2711/detail</t>
  </si>
  <si>
    <t>ST柏龙</t>
  </si>
  <si>
    <t>www.lixinger.com/analytics/company/sz/002776/2776/detail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</si>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</sst>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"601398"</f>
        <v>601398</v>
      </c>
      <c r="C2" t="s">
        <v>18</v>
      </c>
      <c r="D2" t="s">
        <v>19</v>
      </c>
      <c r="E2">
        <v>37296465000000</v>
      </c>
      <c r="F2">
        <v>34367549000000</v>
      </c>
      <c r="G2">
        <v>32094478000000</v>
      </c>
      <c r="H2">
        <v>29246572000000</v>
      </c>
      <c r="I2">
        <v>26493781000000</v>
      </c>
      <c r="J2">
        <v>24904936000000</v>
      </c>
      <c r="K2">
        <v>22883325000000</v>
      </c>
      <c r="L2">
        <v>21396633000000</v>
      </c>
      <c r="M2">
        <v>19734683000000</v>
      </c>
      <c r="N2">
        <v>18357278000000</v>
      </c>
      <c r="O2">
        <v>16431196000000</v>
      </c>
      <c r="P2">
        <v>20387</v>
      </c>
      <c r="Q2" t="s">
        <v>20</v>
      </c>
    </row>
    <row r="3" spans="1:17" x14ac:dyDescent="0.3">
      <c r="A3" t="s">
        <v>17</v>
      </c>
      <c r="B3" t="str">
        <f>"601939"</f>
        <v>601939</v>
      </c>
      <c r="C3" t="s">
        <v>21</v>
      </c>
      <c r="D3" t="s">
        <v>19</v>
      </c>
      <c r="E3">
        <v>32012252000000</v>
      </c>
      <c r="F3">
        <v>29378083000000</v>
      </c>
      <c r="G3">
        <v>27110165000000</v>
      </c>
      <c r="H3">
        <v>24190914000000</v>
      </c>
      <c r="I3">
        <v>22848740000000</v>
      </c>
      <c r="J3">
        <v>21695204000000</v>
      </c>
      <c r="K3">
        <v>19143791000000</v>
      </c>
      <c r="L3">
        <v>17475900000000</v>
      </c>
      <c r="M3">
        <v>16141448000000</v>
      </c>
      <c r="N3">
        <v>14676634000000</v>
      </c>
      <c r="O3">
        <v>13277382000000</v>
      </c>
      <c r="P3">
        <v>19332</v>
      </c>
      <c r="Q3" t="s">
        <v>22</v>
      </c>
    </row>
    <row r="4" spans="1:17" x14ac:dyDescent="0.3">
      <c r="A4" t="s">
        <v>17</v>
      </c>
      <c r="B4" t="str">
        <f>"601288"</f>
        <v>601288</v>
      </c>
      <c r="C4" t="s">
        <v>23</v>
      </c>
      <c r="D4" t="s">
        <v>19</v>
      </c>
      <c r="E4">
        <v>30888302000000</v>
      </c>
      <c r="F4">
        <v>28547154000000</v>
      </c>
      <c r="G4">
        <v>26226388000000</v>
      </c>
      <c r="H4">
        <v>23657926000000</v>
      </c>
      <c r="I4">
        <v>21639047000000</v>
      </c>
      <c r="J4">
        <v>20323984000000</v>
      </c>
      <c r="K4">
        <v>18413470000000</v>
      </c>
      <c r="L4">
        <v>16836530000000</v>
      </c>
      <c r="M4">
        <v>15322116000000</v>
      </c>
      <c r="N4">
        <v>14267738000000</v>
      </c>
      <c r="O4">
        <v>12559332000000</v>
      </c>
      <c r="P4">
        <v>9498</v>
      </c>
      <c r="Q4" t="s">
        <v>24</v>
      </c>
    </row>
    <row r="5" spans="1:17" x14ac:dyDescent="0.3">
      <c r="A5" t="s">
        <v>17</v>
      </c>
      <c r="B5" t="str">
        <f>"601988"</f>
        <v>601988</v>
      </c>
      <c r="C5" t="s">
        <v>25</v>
      </c>
      <c r="D5" t="s">
        <v>19</v>
      </c>
      <c r="E5">
        <v>27459038000000</v>
      </c>
      <c r="F5">
        <v>25834286000000</v>
      </c>
      <c r="G5">
        <v>24024645000000</v>
      </c>
      <c r="H5">
        <v>21616555000000</v>
      </c>
      <c r="I5">
        <v>20159826000000</v>
      </c>
      <c r="J5">
        <v>18917549000000</v>
      </c>
      <c r="K5">
        <v>17039969000000</v>
      </c>
      <c r="L5">
        <v>16019205000000</v>
      </c>
      <c r="M5">
        <v>15105367000000</v>
      </c>
      <c r="N5">
        <v>13242378000000</v>
      </c>
      <c r="O5">
        <v>12894015000000</v>
      </c>
      <c r="P5">
        <v>4259</v>
      </c>
      <c r="Q5" t="s">
        <v>26</v>
      </c>
    </row>
    <row r="6" spans="1:17" x14ac:dyDescent="0.3">
      <c r="A6" t="s">
        <v>17</v>
      </c>
      <c r="B6" t="str">
        <f>"601658"</f>
        <v>601658</v>
      </c>
      <c r="C6" t="s">
        <v>27</v>
      </c>
      <c r="D6" t="s">
        <v>19</v>
      </c>
      <c r="E6">
        <v>13274075000000</v>
      </c>
      <c r="F6">
        <v>11961876000000</v>
      </c>
      <c r="G6">
        <v>10798624000000</v>
      </c>
      <c r="H6">
        <v>10143800000000</v>
      </c>
      <c r="I6">
        <v>9227353000000</v>
      </c>
      <c r="J6">
        <v>8486867000000</v>
      </c>
      <c r="P6">
        <v>1193</v>
      </c>
      <c r="Q6" t="s">
        <v>28</v>
      </c>
    </row>
    <row r="7" spans="1:17" x14ac:dyDescent="0.3">
      <c r="A7" t="s">
        <v>17</v>
      </c>
      <c r="B7" t="str">
        <f>"601328"</f>
        <v>601328</v>
      </c>
      <c r="C7" t="s">
        <v>29</v>
      </c>
      <c r="D7" t="s">
        <v>19</v>
      </c>
      <c r="E7">
        <v>12323654000000</v>
      </c>
      <c r="F7">
        <v>11173220000000</v>
      </c>
      <c r="G7">
        <v>10454383000000</v>
      </c>
      <c r="H7">
        <v>9785747000000</v>
      </c>
      <c r="I7">
        <v>9266797000000</v>
      </c>
      <c r="J7">
        <v>8733711000000</v>
      </c>
      <c r="K7">
        <v>7404417000000</v>
      </c>
      <c r="L7">
        <v>6627239000000</v>
      </c>
      <c r="M7">
        <v>5979360000000</v>
      </c>
      <c r="N7">
        <v>5636378000000</v>
      </c>
      <c r="O7">
        <v>4882834000000</v>
      </c>
      <c r="P7">
        <v>4577</v>
      </c>
      <c r="Q7" t="s">
        <v>30</v>
      </c>
    </row>
    <row r="8" spans="1:17" x14ac:dyDescent="0.3">
      <c r="A8" t="s">
        <v>17</v>
      </c>
      <c r="B8" t="str">
        <f>"601318"</f>
        <v>601318</v>
      </c>
      <c r="C8" t="s">
        <v>31</v>
      </c>
      <c r="D8" t="s">
        <v>32</v>
      </c>
      <c r="E8">
        <v>10541097000000</v>
      </c>
      <c r="F8">
        <v>9751371000000</v>
      </c>
      <c r="G8">
        <v>8662952000000</v>
      </c>
      <c r="H8">
        <v>7412152000000</v>
      </c>
      <c r="I8">
        <v>6725766000000</v>
      </c>
      <c r="J8">
        <v>5773318000000</v>
      </c>
      <c r="K8">
        <v>5006993000000</v>
      </c>
      <c r="L8">
        <v>4215240000000</v>
      </c>
      <c r="M8">
        <v>3661234000000</v>
      </c>
      <c r="N8">
        <v>3110777000000</v>
      </c>
      <c r="O8">
        <v>2450973000000</v>
      </c>
      <c r="P8">
        <v>27845</v>
      </c>
      <c r="Q8" t="s">
        <v>33</v>
      </c>
    </row>
    <row r="9" spans="1:17" x14ac:dyDescent="0.3">
      <c r="A9" t="s">
        <v>17</v>
      </c>
      <c r="B9" t="str">
        <f>"600036"</f>
        <v>600036</v>
      </c>
      <c r="C9" t="s">
        <v>34</v>
      </c>
      <c r="D9" t="s">
        <v>35</v>
      </c>
      <c r="E9">
        <v>9415379000000</v>
      </c>
      <c r="F9">
        <v>8664641000000</v>
      </c>
      <c r="G9">
        <v>7766114000000</v>
      </c>
      <c r="H9">
        <v>6794347000000</v>
      </c>
      <c r="I9">
        <v>6252238000000</v>
      </c>
      <c r="J9">
        <v>6000674000000</v>
      </c>
      <c r="K9">
        <v>5432042000000</v>
      </c>
      <c r="L9">
        <v>4908944000000</v>
      </c>
      <c r="M9">
        <v>4404549000000</v>
      </c>
      <c r="N9">
        <v>3513426000000</v>
      </c>
      <c r="O9">
        <v>2963579000000</v>
      </c>
      <c r="P9">
        <v>68589</v>
      </c>
      <c r="Q9" t="s">
        <v>36</v>
      </c>
    </row>
    <row r="10" spans="1:17" x14ac:dyDescent="0.3">
      <c r="A10" t="s">
        <v>17</v>
      </c>
      <c r="B10" t="str">
        <f>"601166"</f>
        <v>601166</v>
      </c>
      <c r="C10" t="s">
        <v>37</v>
      </c>
      <c r="D10" t="s">
        <v>35</v>
      </c>
      <c r="E10">
        <v>8822450000000</v>
      </c>
      <c r="F10">
        <v>7993666000000</v>
      </c>
      <c r="G10">
        <v>7412117000000</v>
      </c>
      <c r="H10">
        <v>6697707000000</v>
      </c>
      <c r="I10">
        <v>6437006000000</v>
      </c>
      <c r="J10">
        <v>6229171000000</v>
      </c>
      <c r="K10">
        <v>5470783000000</v>
      </c>
      <c r="L10">
        <v>4513036000000</v>
      </c>
      <c r="M10">
        <v>3793145000000</v>
      </c>
      <c r="N10">
        <v>3469611000000</v>
      </c>
      <c r="O10">
        <v>2629398000000</v>
      </c>
      <c r="P10">
        <v>24372</v>
      </c>
      <c r="Q10" t="s">
        <v>38</v>
      </c>
    </row>
    <row r="11" spans="1:17" x14ac:dyDescent="0.3">
      <c r="A11" t="s">
        <v>17</v>
      </c>
      <c r="B11" t="str">
        <f>"600000"</f>
        <v>600000</v>
      </c>
      <c r="C11" t="s">
        <v>39</v>
      </c>
      <c r="D11" t="s">
        <v>35</v>
      </c>
      <c r="E11">
        <v>8423074000000</v>
      </c>
      <c r="F11">
        <v>8066995000000</v>
      </c>
      <c r="G11">
        <v>7300588000000</v>
      </c>
      <c r="H11">
        <v>6549576000000</v>
      </c>
      <c r="I11">
        <v>6132993000000</v>
      </c>
      <c r="J11">
        <v>5889663000000</v>
      </c>
      <c r="K11">
        <v>5227980000000</v>
      </c>
      <c r="L11">
        <v>4255333000000</v>
      </c>
      <c r="M11">
        <v>3740500000000</v>
      </c>
      <c r="N11">
        <v>3407917000000</v>
      </c>
      <c r="O11">
        <v>2804646567000</v>
      </c>
      <c r="P11">
        <v>17547</v>
      </c>
      <c r="Q11" t="s">
        <v>40</v>
      </c>
    </row>
    <row r="12" spans="1:17" x14ac:dyDescent="0.3">
      <c r="A12" t="s">
        <v>17</v>
      </c>
      <c r="B12" t="str">
        <f>"601998"</f>
        <v>601998</v>
      </c>
      <c r="C12" t="s">
        <v>41</v>
      </c>
      <c r="D12" t="s">
        <v>35</v>
      </c>
      <c r="E12">
        <v>8233997000000</v>
      </c>
      <c r="F12">
        <v>7785636000000</v>
      </c>
      <c r="G12">
        <v>7032434000000</v>
      </c>
      <c r="H12">
        <v>6241410000000</v>
      </c>
      <c r="I12">
        <v>5624705000000</v>
      </c>
      <c r="J12">
        <v>5751862000000</v>
      </c>
      <c r="K12">
        <v>5477758000000</v>
      </c>
      <c r="L12">
        <v>4430215000000</v>
      </c>
      <c r="M12">
        <v>3981514000000</v>
      </c>
      <c r="N12">
        <v>3119084000000</v>
      </c>
      <c r="O12">
        <v>2657376000000</v>
      </c>
      <c r="P12">
        <v>1903</v>
      </c>
      <c r="Q12" t="s">
        <v>42</v>
      </c>
    </row>
    <row r="13" spans="1:17" x14ac:dyDescent="0.3">
      <c r="A13" t="s">
        <v>17</v>
      </c>
      <c r="B13" t="str">
        <f>"600016"</f>
        <v>600016</v>
      </c>
      <c r="C13" t="s">
        <v>43</v>
      </c>
      <c r="D13" t="s">
        <v>35</v>
      </c>
      <c r="E13">
        <v>7157698000000</v>
      </c>
      <c r="F13">
        <v>7062721000000</v>
      </c>
      <c r="G13">
        <v>6961952000000</v>
      </c>
      <c r="H13">
        <v>6196748000000</v>
      </c>
      <c r="I13">
        <v>6002508000000</v>
      </c>
      <c r="J13">
        <v>5956607000000</v>
      </c>
      <c r="K13">
        <v>4820798000000</v>
      </c>
      <c r="L13">
        <v>4016757000000</v>
      </c>
      <c r="M13">
        <v>3282119000000</v>
      </c>
      <c r="N13">
        <v>3299881000000</v>
      </c>
      <c r="O13">
        <v>2417230000000</v>
      </c>
      <c r="P13">
        <v>20730</v>
      </c>
      <c r="Q13" t="s">
        <v>44</v>
      </c>
    </row>
    <row r="14" spans="1:17" x14ac:dyDescent="0.3">
      <c r="A14" t="s">
        <v>17</v>
      </c>
      <c r="B14" t="str">
        <f>"601818"</f>
        <v>601818</v>
      </c>
      <c r="C14" t="s">
        <v>45</v>
      </c>
      <c r="D14" t="s">
        <v>35</v>
      </c>
      <c r="E14">
        <v>6247231000000</v>
      </c>
      <c r="F14">
        <v>5581691000000</v>
      </c>
      <c r="G14">
        <v>5232011000000</v>
      </c>
      <c r="H14">
        <v>4520309000000</v>
      </c>
      <c r="I14">
        <v>4163187000000</v>
      </c>
      <c r="J14">
        <v>4126980000000</v>
      </c>
      <c r="K14">
        <v>3493951000000</v>
      </c>
      <c r="L14">
        <v>2868543000000</v>
      </c>
      <c r="M14">
        <v>2578202000000</v>
      </c>
      <c r="N14">
        <v>2414492000000</v>
      </c>
      <c r="O14">
        <v>2016707624000</v>
      </c>
      <c r="P14">
        <v>15856</v>
      </c>
      <c r="Q14" t="s">
        <v>46</v>
      </c>
    </row>
    <row r="15" spans="1:17" x14ac:dyDescent="0.3">
      <c r="A15" t="s">
        <v>47</v>
      </c>
      <c r="B15" t="str">
        <f>"000001"</f>
        <v>000001</v>
      </c>
      <c r="C15" t="s">
        <v>48</v>
      </c>
      <c r="D15" t="s">
        <v>35</v>
      </c>
      <c r="E15">
        <v>5117949000000</v>
      </c>
      <c r="F15">
        <v>4572974000000</v>
      </c>
      <c r="G15">
        <v>4132298000000</v>
      </c>
      <c r="H15">
        <v>3530180000000</v>
      </c>
      <c r="I15">
        <v>3338572000000</v>
      </c>
      <c r="J15">
        <v>3006195000000</v>
      </c>
      <c r="K15">
        <v>2681155000000</v>
      </c>
      <c r="L15">
        <v>2304775000000</v>
      </c>
      <c r="M15">
        <v>2097102000000</v>
      </c>
      <c r="N15">
        <v>1811249000000</v>
      </c>
      <c r="O15">
        <v>1368005065000</v>
      </c>
      <c r="P15">
        <v>6180</v>
      </c>
      <c r="Q15" t="s">
        <v>49</v>
      </c>
    </row>
    <row r="16" spans="1:17" x14ac:dyDescent="0.3">
      <c r="A16" t="s">
        <v>17</v>
      </c>
      <c r="B16" t="str">
        <f>"601628"</f>
        <v>601628</v>
      </c>
      <c r="C16" t="s">
        <v>50</v>
      </c>
      <c r="D16" t="s">
        <v>32</v>
      </c>
      <c r="E16">
        <v>4915845000000</v>
      </c>
      <c r="F16">
        <v>4469985000000</v>
      </c>
      <c r="G16">
        <v>3874719000000</v>
      </c>
      <c r="H16">
        <v>3373287000000</v>
      </c>
      <c r="I16">
        <v>2986319000000</v>
      </c>
      <c r="J16">
        <v>2805702000000</v>
      </c>
      <c r="K16">
        <v>2543697000000</v>
      </c>
      <c r="L16">
        <v>2296540000000</v>
      </c>
      <c r="M16">
        <v>2050036000000</v>
      </c>
      <c r="N16">
        <v>1938010000000</v>
      </c>
      <c r="O16">
        <v>1652057000000</v>
      </c>
      <c r="P16">
        <v>1729</v>
      </c>
      <c r="Q16" t="s">
        <v>51</v>
      </c>
    </row>
    <row r="17" spans="1:17" x14ac:dyDescent="0.3">
      <c r="A17" t="s">
        <v>17</v>
      </c>
      <c r="B17" t="str">
        <f>"600015"</f>
        <v>600015</v>
      </c>
      <c r="C17" t="s">
        <v>52</v>
      </c>
      <c r="D17" t="s">
        <v>35</v>
      </c>
      <c r="E17">
        <v>3824685000000</v>
      </c>
      <c r="F17">
        <v>3470365000000</v>
      </c>
      <c r="G17">
        <v>3108998000000</v>
      </c>
      <c r="H17">
        <v>2793622000000</v>
      </c>
      <c r="I17">
        <v>2544080000000</v>
      </c>
      <c r="J17">
        <v>2399055000000</v>
      </c>
      <c r="K17">
        <v>2094457000000</v>
      </c>
      <c r="L17">
        <v>1821084000000</v>
      </c>
      <c r="M17">
        <v>1734193000000</v>
      </c>
      <c r="N17">
        <v>1519061371555</v>
      </c>
      <c r="O17">
        <v>1250063986037</v>
      </c>
      <c r="P17">
        <v>1538</v>
      </c>
      <c r="Q17" t="s">
        <v>53</v>
      </c>
    </row>
    <row r="18" spans="1:17" x14ac:dyDescent="0.3">
      <c r="A18" t="s">
        <v>17</v>
      </c>
      <c r="B18" t="str">
        <f>"601169"</f>
        <v>601169</v>
      </c>
      <c r="C18" t="s">
        <v>54</v>
      </c>
      <c r="D18" t="s">
        <v>55</v>
      </c>
      <c r="E18">
        <v>3139910000000</v>
      </c>
      <c r="F18">
        <v>3031016000000</v>
      </c>
      <c r="G18">
        <v>2788267000000</v>
      </c>
      <c r="H18">
        <v>2637501000000</v>
      </c>
      <c r="I18">
        <v>2392952000000</v>
      </c>
      <c r="J18">
        <v>2174459000000</v>
      </c>
      <c r="K18">
        <v>1905056000000</v>
      </c>
      <c r="L18">
        <v>1527860000000</v>
      </c>
      <c r="M18">
        <v>1389590635000</v>
      </c>
      <c r="N18">
        <v>1150955584000</v>
      </c>
      <c r="O18">
        <v>1001266188000</v>
      </c>
      <c r="P18">
        <v>16385</v>
      </c>
      <c r="Q18" t="s">
        <v>56</v>
      </c>
    </row>
    <row r="19" spans="1:17" x14ac:dyDescent="0.3">
      <c r="A19" t="s">
        <v>17</v>
      </c>
      <c r="B19" t="str">
        <f>"600919"</f>
        <v>600919</v>
      </c>
      <c r="C19" t="s">
        <v>57</v>
      </c>
      <c r="D19" t="s">
        <v>55</v>
      </c>
      <c r="E19">
        <v>2764874181000</v>
      </c>
      <c r="F19">
        <v>2504781678000</v>
      </c>
      <c r="G19">
        <v>2197336954000</v>
      </c>
      <c r="H19">
        <v>2005474781000</v>
      </c>
      <c r="I19">
        <v>1797640402000</v>
      </c>
      <c r="J19">
        <v>1749021472000</v>
      </c>
      <c r="K19">
        <v>1345516202000</v>
      </c>
      <c r="P19">
        <v>1465</v>
      </c>
      <c r="Q19" t="s">
        <v>58</v>
      </c>
    </row>
    <row r="20" spans="1:17" x14ac:dyDescent="0.3">
      <c r="A20" t="s">
        <v>17</v>
      </c>
      <c r="B20" t="str">
        <f>"601229"</f>
        <v>601229</v>
      </c>
      <c r="C20" t="s">
        <v>59</v>
      </c>
      <c r="D20" t="s">
        <v>55</v>
      </c>
      <c r="E20">
        <v>2757977320000</v>
      </c>
      <c r="F20">
        <v>2551376936000</v>
      </c>
      <c r="G20">
        <v>2286314299000</v>
      </c>
      <c r="H20">
        <v>2061522441000</v>
      </c>
      <c r="I20">
        <v>1837474289000</v>
      </c>
      <c r="J20">
        <v>1782347344000</v>
      </c>
      <c r="K20">
        <v>1528377572000</v>
      </c>
      <c r="P20">
        <v>1546</v>
      </c>
      <c r="Q20" t="s">
        <v>60</v>
      </c>
    </row>
    <row r="21" spans="1:17" x14ac:dyDescent="0.3">
      <c r="A21" t="s">
        <v>17</v>
      </c>
      <c r="B21" t="str">
        <f>"601857"</f>
        <v>601857</v>
      </c>
      <c r="C21" t="s">
        <v>61</v>
      </c>
      <c r="D21" t="s">
        <v>62</v>
      </c>
      <c r="E21">
        <v>2611073000000</v>
      </c>
      <c r="F21">
        <v>2528028000000</v>
      </c>
      <c r="G21">
        <v>2727303000000</v>
      </c>
      <c r="H21">
        <v>2634448000000</v>
      </c>
      <c r="I21">
        <v>2397887000000</v>
      </c>
      <c r="J21">
        <v>2390153000000</v>
      </c>
      <c r="K21">
        <v>2393478000000</v>
      </c>
      <c r="L21">
        <v>2394157000000</v>
      </c>
      <c r="M21">
        <v>2382366000000</v>
      </c>
      <c r="N21">
        <v>2297115000000</v>
      </c>
      <c r="O21">
        <v>2034226000000</v>
      </c>
      <c r="P21">
        <v>1280</v>
      </c>
      <c r="Q21" t="s">
        <v>63</v>
      </c>
    </row>
    <row r="22" spans="1:17" x14ac:dyDescent="0.3">
      <c r="A22" t="s">
        <v>17</v>
      </c>
      <c r="B22" t="str">
        <f>"601668"</f>
        <v>601668</v>
      </c>
      <c r="C22" t="s">
        <v>64</v>
      </c>
      <c r="D22" t="s">
        <v>65</v>
      </c>
      <c r="E22">
        <v>2502711661000</v>
      </c>
      <c r="F22">
        <v>2282487601000</v>
      </c>
      <c r="G22">
        <v>2073222309000</v>
      </c>
      <c r="H22">
        <v>1930945936000</v>
      </c>
      <c r="I22">
        <v>1620469002000</v>
      </c>
      <c r="J22">
        <v>1374796334000</v>
      </c>
      <c r="K22">
        <v>1082813479000</v>
      </c>
      <c r="L22">
        <v>935976802000</v>
      </c>
      <c r="M22">
        <v>804360854000</v>
      </c>
      <c r="N22">
        <v>671532888000</v>
      </c>
      <c r="O22">
        <v>524985137000</v>
      </c>
      <c r="P22">
        <v>10290</v>
      </c>
      <c r="Q22" t="s">
        <v>66</v>
      </c>
    </row>
    <row r="23" spans="1:17" x14ac:dyDescent="0.3">
      <c r="A23" t="s">
        <v>17</v>
      </c>
      <c r="B23" t="str">
        <f>"601916"</f>
        <v>601916</v>
      </c>
      <c r="C23" t="s">
        <v>67</v>
      </c>
      <c r="D23" t="s">
        <v>35</v>
      </c>
      <c r="E23">
        <v>2481669000000</v>
      </c>
      <c r="F23">
        <v>2060155000000</v>
      </c>
      <c r="G23">
        <v>1827566138000</v>
      </c>
      <c r="H23">
        <v>1701285542000</v>
      </c>
      <c r="I23">
        <v>1565537535000</v>
      </c>
      <c r="J23">
        <v>1418599356000</v>
      </c>
      <c r="P23">
        <v>537</v>
      </c>
      <c r="Q23" t="s">
        <v>68</v>
      </c>
    </row>
    <row r="24" spans="1:17" x14ac:dyDescent="0.3">
      <c r="A24" t="s">
        <v>47</v>
      </c>
      <c r="B24" t="str">
        <f>"002142"</f>
        <v>002142</v>
      </c>
      <c r="C24" t="s">
        <v>69</v>
      </c>
      <c r="D24" t="s">
        <v>55</v>
      </c>
      <c r="E24">
        <v>2219192000000</v>
      </c>
      <c r="F24">
        <v>1722723000000</v>
      </c>
      <c r="G24">
        <v>1438948115000</v>
      </c>
      <c r="H24">
        <v>1160997363000</v>
      </c>
      <c r="I24">
        <v>1068649396000</v>
      </c>
      <c r="J24">
        <v>919582710000</v>
      </c>
      <c r="K24">
        <v>814209863000</v>
      </c>
      <c r="L24">
        <v>608484255000</v>
      </c>
      <c r="M24">
        <v>531748357000</v>
      </c>
      <c r="N24">
        <v>421619298000</v>
      </c>
      <c r="O24">
        <v>265556642000</v>
      </c>
      <c r="P24">
        <v>59332</v>
      </c>
      <c r="Q24" t="s">
        <v>70</v>
      </c>
    </row>
    <row r="25" spans="1:17" x14ac:dyDescent="0.3">
      <c r="A25" t="s">
        <v>17</v>
      </c>
      <c r="B25" t="str">
        <f>"601601"</f>
        <v>601601</v>
      </c>
      <c r="C25" t="s">
        <v>71</v>
      </c>
      <c r="D25" t="s">
        <v>32</v>
      </c>
      <c r="E25">
        <v>2025715000000</v>
      </c>
      <c r="F25">
        <v>1823247000000</v>
      </c>
      <c r="G25">
        <v>1611323000000</v>
      </c>
      <c r="H25">
        <v>1425015000000</v>
      </c>
      <c r="I25">
        <v>1227189000000</v>
      </c>
      <c r="J25">
        <v>1089171000000</v>
      </c>
      <c r="K25">
        <v>944239000000</v>
      </c>
      <c r="L25">
        <v>874775000000</v>
      </c>
      <c r="M25">
        <v>780414000000</v>
      </c>
      <c r="N25">
        <v>699388000000</v>
      </c>
      <c r="O25">
        <v>617930000000</v>
      </c>
      <c r="P25">
        <v>2648</v>
      </c>
      <c r="Q25" t="s">
        <v>72</v>
      </c>
    </row>
    <row r="26" spans="1:17" x14ac:dyDescent="0.3">
      <c r="A26" t="s">
        <v>17</v>
      </c>
      <c r="B26" t="str">
        <f>"600028"</f>
        <v>600028</v>
      </c>
      <c r="C26" t="s">
        <v>73</v>
      </c>
      <c r="D26" t="s">
        <v>62</v>
      </c>
      <c r="E26">
        <v>2014107000000</v>
      </c>
      <c r="F26">
        <v>1802144000000</v>
      </c>
      <c r="G26">
        <v>1807539000000</v>
      </c>
      <c r="H26">
        <v>1813445000000</v>
      </c>
      <c r="I26">
        <v>1572527000000</v>
      </c>
      <c r="J26">
        <v>1478917000000</v>
      </c>
      <c r="K26">
        <v>1397688000000</v>
      </c>
      <c r="L26">
        <v>1436051000000</v>
      </c>
      <c r="M26">
        <v>1408367000000</v>
      </c>
      <c r="N26">
        <v>1290018000000</v>
      </c>
      <c r="O26">
        <v>1197263000000</v>
      </c>
      <c r="P26">
        <v>2315</v>
      </c>
      <c r="Q26" t="s">
        <v>74</v>
      </c>
    </row>
    <row r="27" spans="1:17" x14ac:dyDescent="0.3">
      <c r="A27" t="s">
        <v>47</v>
      </c>
      <c r="B27" t="str">
        <f>"000002"</f>
        <v>000002</v>
      </c>
      <c r="C27" t="s">
        <v>75</v>
      </c>
      <c r="D27" t="s">
        <v>76</v>
      </c>
      <c r="E27">
        <v>1947369375454</v>
      </c>
      <c r="F27">
        <v>1907860492719</v>
      </c>
      <c r="G27">
        <v>1739794796343</v>
      </c>
      <c r="H27">
        <v>1551166452531</v>
      </c>
      <c r="I27">
        <v>1224264792316</v>
      </c>
      <c r="J27">
        <v>886753515226</v>
      </c>
      <c r="K27">
        <v>658837478396</v>
      </c>
      <c r="L27">
        <v>526040441430</v>
      </c>
      <c r="M27">
        <v>495118977269</v>
      </c>
      <c r="N27">
        <v>417894248035</v>
      </c>
      <c r="O27">
        <v>310436504322</v>
      </c>
      <c r="P27">
        <v>12436</v>
      </c>
      <c r="Q27" t="s">
        <v>77</v>
      </c>
    </row>
    <row r="28" spans="1:17" x14ac:dyDescent="0.3">
      <c r="A28" t="s">
        <v>17</v>
      </c>
      <c r="B28" t="str">
        <f>"601009"</f>
        <v>601009</v>
      </c>
      <c r="C28" t="s">
        <v>78</v>
      </c>
      <c r="D28" t="s">
        <v>55</v>
      </c>
      <c r="E28">
        <v>1882609453000</v>
      </c>
      <c r="F28">
        <v>1619818880000</v>
      </c>
      <c r="G28">
        <v>1482118732000</v>
      </c>
      <c r="H28">
        <v>1318233413000</v>
      </c>
      <c r="I28">
        <v>1179405220000</v>
      </c>
      <c r="J28">
        <v>1122565661000</v>
      </c>
      <c r="K28">
        <v>966741928000</v>
      </c>
      <c r="L28">
        <v>662295689000</v>
      </c>
      <c r="M28">
        <v>504164186077</v>
      </c>
      <c r="N28">
        <v>390518676312</v>
      </c>
      <c r="O28">
        <v>307885474109</v>
      </c>
      <c r="P28">
        <v>44247</v>
      </c>
      <c r="Q28" t="s">
        <v>79</v>
      </c>
    </row>
    <row r="29" spans="1:17" x14ac:dyDescent="0.3">
      <c r="A29" t="s">
        <v>17</v>
      </c>
      <c r="B29" t="str">
        <f>"600941"</f>
        <v>600941</v>
      </c>
      <c r="C29" t="s">
        <v>80</v>
      </c>
      <c r="D29" t="s">
        <v>81</v>
      </c>
      <c r="E29">
        <v>1845500000000</v>
      </c>
      <c r="P29">
        <v>114</v>
      </c>
      <c r="Q29" t="s">
        <v>82</v>
      </c>
    </row>
    <row r="30" spans="1:17" x14ac:dyDescent="0.3">
      <c r="A30" t="s">
        <v>17</v>
      </c>
      <c r="B30" t="str">
        <f>"601800"</f>
        <v>601800</v>
      </c>
      <c r="C30" t="s">
        <v>83</v>
      </c>
      <c r="D30" t="s">
        <v>84</v>
      </c>
      <c r="E30">
        <v>1477485305424</v>
      </c>
      <c r="F30">
        <v>1359997208041</v>
      </c>
      <c r="G30">
        <v>1166390172766</v>
      </c>
      <c r="H30">
        <v>973715279647</v>
      </c>
      <c r="I30">
        <v>853026572373</v>
      </c>
      <c r="J30">
        <v>816503848997</v>
      </c>
      <c r="K30">
        <v>750834048055</v>
      </c>
      <c r="L30">
        <v>639604961741</v>
      </c>
      <c r="M30">
        <v>537509797721</v>
      </c>
      <c r="N30">
        <v>435898021791</v>
      </c>
      <c r="O30">
        <v>371311768714</v>
      </c>
      <c r="P30">
        <v>899</v>
      </c>
      <c r="Q30" t="s">
        <v>85</v>
      </c>
    </row>
    <row r="31" spans="1:17" x14ac:dyDescent="0.3">
      <c r="A31" t="s">
        <v>17</v>
      </c>
      <c r="B31" t="str">
        <f>"600926"</f>
        <v>600926</v>
      </c>
      <c r="C31" t="s">
        <v>86</v>
      </c>
      <c r="D31" t="s">
        <v>55</v>
      </c>
      <c r="E31">
        <v>1456949445000</v>
      </c>
      <c r="F31">
        <v>1228039420000</v>
      </c>
      <c r="G31">
        <v>1040047666000</v>
      </c>
      <c r="H31">
        <v>934601150000</v>
      </c>
      <c r="I31">
        <v>842764468000</v>
      </c>
      <c r="J31">
        <v>740264626000</v>
      </c>
      <c r="P31">
        <v>1141</v>
      </c>
      <c r="Q31" t="s">
        <v>87</v>
      </c>
    </row>
    <row r="32" spans="1:17" x14ac:dyDescent="0.3">
      <c r="A32" t="s">
        <v>17</v>
      </c>
      <c r="B32" t="str">
        <f>"601186"</f>
        <v>601186</v>
      </c>
      <c r="C32" t="s">
        <v>88</v>
      </c>
      <c r="D32" t="s">
        <v>84</v>
      </c>
      <c r="E32">
        <v>1445211075000</v>
      </c>
      <c r="F32">
        <v>1278537294000</v>
      </c>
      <c r="G32">
        <v>1095439699000</v>
      </c>
      <c r="H32">
        <v>940523476000</v>
      </c>
      <c r="I32">
        <v>825050249000</v>
      </c>
      <c r="J32">
        <v>774765464000</v>
      </c>
      <c r="K32">
        <v>696043496000</v>
      </c>
      <c r="L32">
        <v>614885181000</v>
      </c>
      <c r="M32">
        <v>557859924000</v>
      </c>
      <c r="N32">
        <v>490139661000</v>
      </c>
      <c r="O32">
        <v>426255213000</v>
      </c>
      <c r="P32">
        <v>1361</v>
      </c>
      <c r="Q32" t="s">
        <v>89</v>
      </c>
    </row>
    <row r="33" spans="1:17" x14ac:dyDescent="0.3">
      <c r="A33" t="s">
        <v>17</v>
      </c>
      <c r="B33" t="str">
        <f>"601319"</f>
        <v>601319</v>
      </c>
      <c r="C33" t="s">
        <v>90</v>
      </c>
      <c r="D33" t="s">
        <v>32</v>
      </c>
      <c r="E33">
        <v>1442319000000</v>
      </c>
      <c r="F33">
        <v>1339181000000</v>
      </c>
      <c r="G33">
        <v>1204631000000</v>
      </c>
      <c r="H33">
        <v>1085313000000</v>
      </c>
      <c r="I33">
        <v>1006098000000</v>
      </c>
      <c r="P33">
        <v>901</v>
      </c>
      <c r="Q33" t="s">
        <v>91</v>
      </c>
    </row>
    <row r="34" spans="1:17" x14ac:dyDescent="0.3">
      <c r="A34" t="s">
        <v>17</v>
      </c>
      <c r="B34" t="str">
        <f>"600048"</f>
        <v>600048</v>
      </c>
      <c r="C34" t="s">
        <v>92</v>
      </c>
      <c r="D34" t="s">
        <v>76</v>
      </c>
      <c r="E34">
        <v>1429792170959</v>
      </c>
      <c r="F34">
        <v>1314170268881</v>
      </c>
      <c r="G34">
        <v>1058354273689</v>
      </c>
      <c r="H34">
        <v>901215417696</v>
      </c>
      <c r="I34">
        <v>761186802128</v>
      </c>
      <c r="J34">
        <v>512751772876</v>
      </c>
      <c r="K34">
        <v>420993995443</v>
      </c>
      <c r="L34">
        <v>377923695354</v>
      </c>
      <c r="M34">
        <v>338609276152</v>
      </c>
      <c r="N34">
        <v>274430929105</v>
      </c>
      <c r="O34">
        <v>203629577516</v>
      </c>
      <c r="P34">
        <v>8844</v>
      </c>
      <c r="Q34" t="s">
        <v>93</v>
      </c>
    </row>
    <row r="35" spans="1:17" x14ac:dyDescent="0.3">
      <c r="A35" t="s">
        <v>17</v>
      </c>
      <c r="B35" t="str">
        <f>"601390"</f>
        <v>601390</v>
      </c>
      <c r="C35" t="s">
        <v>94</v>
      </c>
      <c r="D35" t="s">
        <v>84</v>
      </c>
      <c r="E35">
        <v>1410512780000</v>
      </c>
      <c r="F35">
        <v>1264599965000</v>
      </c>
      <c r="G35">
        <v>1094718398000</v>
      </c>
      <c r="H35">
        <v>970130655000</v>
      </c>
      <c r="I35">
        <v>834260470000</v>
      </c>
      <c r="J35">
        <v>757814480000</v>
      </c>
      <c r="K35">
        <v>717797505000</v>
      </c>
      <c r="L35">
        <v>676344155000</v>
      </c>
      <c r="M35">
        <v>637245383000</v>
      </c>
      <c r="N35">
        <v>561947363000</v>
      </c>
      <c r="O35">
        <v>473834808000</v>
      </c>
      <c r="P35">
        <v>1323</v>
      </c>
      <c r="Q35" t="s">
        <v>95</v>
      </c>
    </row>
    <row r="36" spans="1:17" x14ac:dyDescent="0.3">
      <c r="A36" t="s">
        <v>17</v>
      </c>
      <c r="B36" t="str">
        <f>"600606"</f>
        <v>600606</v>
      </c>
      <c r="C36" t="s">
        <v>96</v>
      </c>
      <c r="D36" t="s">
        <v>76</v>
      </c>
      <c r="E36">
        <v>1404629895262</v>
      </c>
      <c r="F36">
        <v>1418727413084</v>
      </c>
      <c r="G36">
        <v>1130399381210</v>
      </c>
      <c r="H36">
        <v>1081022915421</v>
      </c>
      <c r="I36">
        <v>868574909527</v>
      </c>
      <c r="J36">
        <v>756056592086</v>
      </c>
      <c r="K36">
        <v>639928640853</v>
      </c>
      <c r="L36">
        <v>7497400633</v>
      </c>
      <c r="M36">
        <v>5889611606</v>
      </c>
      <c r="N36">
        <v>5923849626</v>
      </c>
      <c r="O36">
        <v>5409646595</v>
      </c>
      <c r="P36">
        <v>1970</v>
      </c>
      <c r="Q36" t="s">
        <v>97</v>
      </c>
    </row>
    <row r="37" spans="1:17" x14ac:dyDescent="0.3">
      <c r="A37" t="s">
        <v>17</v>
      </c>
      <c r="B37" t="str">
        <f>"600030"</f>
        <v>600030</v>
      </c>
      <c r="C37" t="s">
        <v>98</v>
      </c>
      <c r="D37" t="s">
        <v>99</v>
      </c>
      <c r="E37">
        <v>1362130539501</v>
      </c>
      <c r="F37">
        <v>1148634452696</v>
      </c>
      <c r="G37">
        <v>922327407805</v>
      </c>
      <c r="H37">
        <v>673338772756</v>
      </c>
      <c r="I37">
        <v>659668835076</v>
      </c>
      <c r="J37">
        <v>624579060467</v>
      </c>
      <c r="K37">
        <v>584584869021</v>
      </c>
      <c r="L37">
        <v>568657000558</v>
      </c>
      <c r="M37">
        <v>318987143174</v>
      </c>
      <c r="N37">
        <v>189574669392</v>
      </c>
      <c r="O37">
        <v>149603329295</v>
      </c>
      <c r="P37">
        <v>5754</v>
      </c>
      <c r="Q37" t="s">
        <v>100</v>
      </c>
    </row>
    <row r="38" spans="1:17" x14ac:dyDescent="0.3">
      <c r="A38" t="s">
        <v>17</v>
      </c>
      <c r="B38" t="str">
        <f>"601077"</f>
        <v>601077</v>
      </c>
      <c r="C38" t="s">
        <v>101</v>
      </c>
      <c r="D38" t="s">
        <v>102</v>
      </c>
      <c r="E38">
        <v>1309227045000</v>
      </c>
      <c r="F38">
        <v>1190433993000</v>
      </c>
      <c r="G38">
        <v>1049348780000</v>
      </c>
      <c r="H38">
        <v>988766609000</v>
      </c>
      <c r="K38">
        <v>725470504000</v>
      </c>
      <c r="L38">
        <v>637743059000</v>
      </c>
      <c r="M38">
        <v>549804956000</v>
      </c>
      <c r="N38">
        <v>478310165000</v>
      </c>
      <c r="P38">
        <v>509</v>
      </c>
      <c r="Q38" t="s">
        <v>103</v>
      </c>
    </row>
    <row r="39" spans="1:17" x14ac:dyDescent="0.3">
      <c r="A39" t="s">
        <v>17</v>
      </c>
      <c r="B39" t="str">
        <f>"601825"</f>
        <v>601825</v>
      </c>
      <c r="C39" t="s">
        <v>104</v>
      </c>
      <c r="D39" t="s">
        <v>102</v>
      </c>
      <c r="E39">
        <v>1181435709000</v>
      </c>
      <c r="F39">
        <v>1076847909000</v>
      </c>
      <c r="P39">
        <v>57</v>
      </c>
      <c r="Q39" t="s">
        <v>105</v>
      </c>
    </row>
    <row r="40" spans="1:17" x14ac:dyDescent="0.3">
      <c r="A40" t="s">
        <v>17</v>
      </c>
      <c r="B40" t="str">
        <f>"601336"</f>
        <v>601336</v>
      </c>
      <c r="C40" t="s">
        <v>106</v>
      </c>
      <c r="D40" t="s">
        <v>32</v>
      </c>
      <c r="E40">
        <v>1144393000000</v>
      </c>
      <c r="F40">
        <v>998897000000</v>
      </c>
      <c r="G40">
        <v>939040000000</v>
      </c>
      <c r="H40">
        <v>767646000000</v>
      </c>
      <c r="I40">
        <v>722150000000</v>
      </c>
      <c r="J40">
        <v>710533000000</v>
      </c>
      <c r="K40">
        <v>664676000000</v>
      </c>
      <c r="L40">
        <v>650674000000</v>
      </c>
      <c r="M40">
        <v>596543000000</v>
      </c>
      <c r="N40">
        <v>508361000000</v>
      </c>
      <c r="O40">
        <v>439523000000</v>
      </c>
      <c r="P40">
        <v>1856</v>
      </c>
      <c r="Q40" t="s">
        <v>107</v>
      </c>
    </row>
    <row r="41" spans="1:17" x14ac:dyDescent="0.3">
      <c r="A41" t="s">
        <v>47</v>
      </c>
      <c r="B41" t="str">
        <f>"000617"</f>
        <v>000617</v>
      </c>
      <c r="C41" t="s">
        <v>108</v>
      </c>
      <c r="D41" t="s">
        <v>109</v>
      </c>
      <c r="E41">
        <v>976574395098</v>
      </c>
      <c r="F41">
        <v>939493354294</v>
      </c>
      <c r="G41">
        <v>909604024785</v>
      </c>
      <c r="H41">
        <v>902110420960</v>
      </c>
      <c r="I41">
        <v>822820382744</v>
      </c>
      <c r="J41">
        <v>779129286491</v>
      </c>
      <c r="K41">
        <v>2157682848</v>
      </c>
      <c r="L41">
        <v>2198364264</v>
      </c>
      <c r="M41">
        <v>2319722473</v>
      </c>
      <c r="N41">
        <v>2647893378</v>
      </c>
      <c r="O41">
        <v>3221572790</v>
      </c>
      <c r="P41">
        <v>234</v>
      </c>
      <c r="Q41" t="s">
        <v>110</v>
      </c>
    </row>
    <row r="42" spans="1:17" x14ac:dyDescent="0.3">
      <c r="A42" t="s">
        <v>17</v>
      </c>
      <c r="B42" t="str">
        <f>"601669"</f>
        <v>601669</v>
      </c>
      <c r="C42" t="s">
        <v>111</v>
      </c>
      <c r="D42" t="s">
        <v>84</v>
      </c>
      <c r="E42">
        <v>957143462503</v>
      </c>
      <c r="F42">
        <v>932868519395</v>
      </c>
      <c r="G42">
        <v>839554380746</v>
      </c>
      <c r="H42">
        <v>751763031459</v>
      </c>
      <c r="I42">
        <v>606320711611</v>
      </c>
      <c r="J42">
        <v>515833750609</v>
      </c>
      <c r="K42">
        <v>423016997665</v>
      </c>
      <c r="L42">
        <v>302366745316</v>
      </c>
      <c r="M42">
        <v>241665304864</v>
      </c>
      <c r="N42">
        <v>190825418926</v>
      </c>
      <c r="O42">
        <v>169985589002</v>
      </c>
      <c r="P42">
        <v>752</v>
      </c>
      <c r="Q42" t="s">
        <v>112</v>
      </c>
    </row>
    <row r="43" spans="1:17" x14ac:dyDescent="0.3">
      <c r="A43" t="s">
        <v>17</v>
      </c>
      <c r="B43" t="str">
        <f>"600104"</f>
        <v>600104</v>
      </c>
      <c r="C43" t="s">
        <v>113</v>
      </c>
      <c r="D43" t="s">
        <v>114</v>
      </c>
      <c r="E43">
        <v>916440535839</v>
      </c>
      <c r="F43">
        <v>895800902521</v>
      </c>
      <c r="G43">
        <v>803658590441</v>
      </c>
      <c r="H43">
        <v>783598221058</v>
      </c>
      <c r="I43">
        <v>745150117268</v>
      </c>
      <c r="J43">
        <v>626967828966</v>
      </c>
      <c r="K43">
        <v>523545000755</v>
      </c>
      <c r="L43">
        <v>461554611382</v>
      </c>
      <c r="M43">
        <v>390545636023</v>
      </c>
      <c r="N43">
        <v>345604028508</v>
      </c>
      <c r="O43">
        <v>334881723096</v>
      </c>
      <c r="P43">
        <v>11366</v>
      </c>
      <c r="Q43" t="s">
        <v>115</v>
      </c>
    </row>
    <row r="44" spans="1:17" x14ac:dyDescent="0.3">
      <c r="A44" t="s">
        <v>47</v>
      </c>
      <c r="B44" t="str">
        <f>"001979"</f>
        <v>001979</v>
      </c>
      <c r="C44" t="s">
        <v>116</v>
      </c>
      <c r="D44" t="s">
        <v>117</v>
      </c>
      <c r="E44">
        <v>874328055811</v>
      </c>
      <c r="F44">
        <v>768133101705</v>
      </c>
      <c r="G44">
        <v>634082237029</v>
      </c>
      <c r="H44">
        <v>441599493378</v>
      </c>
      <c r="I44">
        <v>360608875437</v>
      </c>
      <c r="J44">
        <v>261686560059</v>
      </c>
      <c r="K44">
        <v>216974226426</v>
      </c>
      <c r="P44">
        <v>1456</v>
      </c>
      <c r="Q44" t="s">
        <v>118</v>
      </c>
    </row>
    <row r="45" spans="1:17" x14ac:dyDescent="0.3">
      <c r="A45" t="s">
        <v>17</v>
      </c>
      <c r="B45" t="str">
        <f>"601838"</f>
        <v>601838</v>
      </c>
      <c r="C45" t="s">
        <v>119</v>
      </c>
      <c r="D45" t="s">
        <v>55</v>
      </c>
      <c r="E45">
        <v>837798470000</v>
      </c>
      <c r="F45">
        <v>713740529000</v>
      </c>
      <c r="G45">
        <v>573029642000</v>
      </c>
      <c r="H45">
        <v>508886062000</v>
      </c>
      <c r="I45">
        <v>454379305000</v>
      </c>
      <c r="P45">
        <v>1326</v>
      </c>
      <c r="Q45" t="s">
        <v>120</v>
      </c>
    </row>
    <row r="46" spans="1:17" x14ac:dyDescent="0.3">
      <c r="A46" t="s">
        <v>17</v>
      </c>
      <c r="B46" t="str">
        <f>"601688"</f>
        <v>601688</v>
      </c>
      <c r="C46" t="s">
        <v>121</v>
      </c>
      <c r="D46" t="s">
        <v>99</v>
      </c>
      <c r="E46">
        <v>833459630799</v>
      </c>
      <c r="F46">
        <v>744600857042</v>
      </c>
      <c r="G46">
        <v>599233482468</v>
      </c>
      <c r="H46">
        <v>445581159111</v>
      </c>
      <c r="I46">
        <v>399762089636</v>
      </c>
      <c r="J46">
        <v>382254965520</v>
      </c>
      <c r="K46">
        <v>421775399317</v>
      </c>
      <c r="L46">
        <v>347684257219</v>
      </c>
      <c r="M46">
        <v>106002530022</v>
      </c>
      <c r="N46">
        <v>80877776557</v>
      </c>
      <c r="O46">
        <v>90303500553</v>
      </c>
      <c r="P46">
        <v>6874</v>
      </c>
      <c r="Q46" t="s">
        <v>122</v>
      </c>
    </row>
    <row r="47" spans="1:17" x14ac:dyDescent="0.3">
      <c r="A47" t="s">
        <v>17</v>
      </c>
      <c r="B47" t="str">
        <f>"601577"</f>
        <v>601577</v>
      </c>
      <c r="C47" t="s">
        <v>123</v>
      </c>
      <c r="D47" t="s">
        <v>55</v>
      </c>
      <c r="E47">
        <v>826535227000</v>
      </c>
      <c r="F47">
        <v>734953564000</v>
      </c>
      <c r="G47">
        <v>619829350000</v>
      </c>
      <c r="H47">
        <v>571641369000</v>
      </c>
      <c r="I47">
        <v>467748579000</v>
      </c>
      <c r="J47">
        <v>402765666000</v>
      </c>
      <c r="P47">
        <v>927</v>
      </c>
      <c r="Q47" t="s">
        <v>124</v>
      </c>
    </row>
    <row r="48" spans="1:17" x14ac:dyDescent="0.3">
      <c r="A48" t="s">
        <v>17</v>
      </c>
      <c r="B48" t="str">
        <f>"600938"</f>
        <v>600938</v>
      </c>
      <c r="C48" t="s">
        <v>125</v>
      </c>
      <c r="E48">
        <v>824763000000</v>
      </c>
      <c r="P48">
        <v>26</v>
      </c>
      <c r="Q48" t="s">
        <v>126</v>
      </c>
    </row>
    <row r="49" spans="1:17" x14ac:dyDescent="0.3">
      <c r="A49" t="s">
        <v>17</v>
      </c>
      <c r="B49" t="str">
        <f>"601211"</f>
        <v>601211</v>
      </c>
      <c r="C49" t="s">
        <v>127</v>
      </c>
      <c r="D49" t="s">
        <v>99</v>
      </c>
      <c r="E49">
        <v>815302811988</v>
      </c>
      <c r="F49">
        <v>673446675776</v>
      </c>
      <c r="G49">
        <v>600631400315</v>
      </c>
      <c r="H49">
        <v>496937869303</v>
      </c>
      <c r="I49">
        <v>454262387969</v>
      </c>
      <c r="J49">
        <v>390732142387</v>
      </c>
      <c r="K49">
        <v>433314128886</v>
      </c>
      <c r="L49">
        <v>379457225220</v>
      </c>
      <c r="P49">
        <v>3571</v>
      </c>
      <c r="Q49" t="s">
        <v>128</v>
      </c>
    </row>
    <row r="50" spans="1:17" x14ac:dyDescent="0.3">
      <c r="A50" t="s">
        <v>17</v>
      </c>
      <c r="B50" t="str">
        <f>"601728"</f>
        <v>601728</v>
      </c>
      <c r="C50" t="s">
        <v>129</v>
      </c>
      <c r="D50" t="s">
        <v>81</v>
      </c>
      <c r="E50">
        <v>768152953004</v>
      </c>
      <c r="F50">
        <v>713728000000</v>
      </c>
      <c r="P50">
        <v>144</v>
      </c>
      <c r="Q50" t="s">
        <v>130</v>
      </c>
    </row>
    <row r="51" spans="1:17" x14ac:dyDescent="0.3">
      <c r="A51" t="s">
        <v>17</v>
      </c>
      <c r="B51" t="str">
        <f>"600837"</f>
        <v>600837</v>
      </c>
      <c r="C51" t="s">
        <v>131</v>
      </c>
      <c r="D51" t="s">
        <v>99</v>
      </c>
      <c r="E51">
        <v>744110086704</v>
      </c>
      <c r="F51">
        <v>703570925584</v>
      </c>
      <c r="G51">
        <v>681815940032</v>
      </c>
      <c r="H51">
        <v>612032576764</v>
      </c>
      <c r="I51">
        <v>572970782481</v>
      </c>
      <c r="J51">
        <v>559054421640</v>
      </c>
      <c r="K51">
        <v>564771049089</v>
      </c>
      <c r="L51">
        <v>409071550529</v>
      </c>
      <c r="M51">
        <v>189345568251</v>
      </c>
      <c r="N51">
        <v>131338657738</v>
      </c>
      <c r="O51">
        <v>108236944383</v>
      </c>
      <c r="P51">
        <v>4976</v>
      </c>
      <c r="Q51" t="s">
        <v>132</v>
      </c>
    </row>
    <row r="52" spans="1:17" x14ac:dyDescent="0.3">
      <c r="A52" t="s">
        <v>17</v>
      </c>
      <c r="B52" t="str">
        <f>"600153"</f>
        <v>600153</v>
      </c>
      <c r="C52" t="s">
        <v>133</v>
      </c>
      <c r="D52" t="s">
        <v>134</v>
      </c>
      <c r="E52">
        <v>688519978030</v>
      </c>
      <c r="F52">
        <v>502852534787</v>
      </c>
      <c r="G52">
        <v>334355720853</v>
      </c>
      <c r="H52">
        <v>243369080266</v>
      </c>
      <c r="I52">
        <v>206285301796</v>
      </c>
      <c r="J52">
        <v>149409389719</v>
      </c>
      <c r="K52">
        <v>113740586535</v>
      </c>
      <c r="L52">
        <v>98068317133</v>
      </c>
      <c r="M52">
        <v>89991239576</v>
      </c>
      <c r="N52">
        <v>68143946777</v>
      </c>
      <c r="O52">
        <v>57624904187</v>
      </c>
      <c r="P52">
        <v>2153</v>
      </c>
      <c r="Q52" t="s">
        <v>135</v>
      </c>
    </row>
    <row r="53" spans="1:17" x14ac:dyDescent="0.3">
      <c r="A53" t="s">
        <v>17</v>
      </c>
      <c r="B53" t="str">
        <f>"601995"</f>
        <v>601995</v>
      </c>
      <c r="C53" t="s">
        <v>136</v>
      </c>
      <c r="D53" t="s">
        <v>99</v>
      </c>
      <c r="E53">
        <v>666093217041</v>
      </c>
      <c r="F53">
        <v>576739262797</v>
      </c>
      <c r="G53">
        <v>391943127316</v>
      </c>
      <c r="H53">
        <v>319475094289</v>
      </c>
      <c r="I53">
        <v>248891940886</v>
      </c>
      <c r="P53">
        <v>986</v>
      </c>
      <c r="Q53" t="s">
        <v>137</v>
      </c>
    </row>
    <row r="54" spans="1:17" x14ac:dyDescent="0.3">
      <c r="A54" t="s">
        <v>17</v>
      </c>
      <c r="B54" t="str">
        <f>"601963"</f>
        <v>601963</v>
      </c>
      <c r="C54" t="s">
        <v>138</v>
      </c>
      <c r="D54" t="s">
        <v>55</v>
      </c>
      <c r="E54">
        <v>643150436000</v>
      </c>
      <c r="F54">
        <v>586058847000</v>
      </c>
      <c r="G54">
        <v>511259634000</v>
      </c>
      <c r="H54">
        <v>457707718000</v>
      </c>
      <c r="I54">
        <v>423875068000</v>
      </c>
      <c r="J54">
        <v>399434744000</v>
      </c>
      <c r="K54">
        <v>335248124000</v>
      </c>
      <c r="L54">
        <v>280648055000</v>
      </c>
      <c r="P54">
        <v>149</v>
      </c>
      <c r="Q54" t="s">
        <v>139</v>
      </c>
    </row>
    <row r="55" spans="1:17" x14ac:dyDescent="0.3">
      <c r="A55" t="s">
        <v>17</v>
      </c>
      <c r="B55" t="str">
        <f>"601088"</f>
        <v>601088</v>
      </c>
      <c r="C55" t="s">
        <v>140</v>
      </c>
      <c r="D55" t="s">
        <v>141</v>
      </c>
      <c r="E55">
        <v>628446000000</v>
      </c>
      <c r="F55">
        <v>584272000000</v>
      </c>
      <c r="G55">
        <v>580146000000</v>
      </c>
      <c r="H55">
        <v>552326000000</v>
      </c>
      <c r="I55">
        <v>573655000000</v>
      </c>
      <c r="J55">
        <v>591510000000</v>
      </c>
      <c r="K55">
        <v>556239000000</v>
      </c>
      <c r="L55">
        <v>545259000000</v>
      </c>
      <c r="M55">
        <v>529054000000</v>
      </c>
      <c r="N55">
        <v>472116000000</v>
      </c>
      <c r="O55">
        <v>414219000000</v>
      </c>
      <c r="P55">
        <v>3939</v>
      </c>
      <c r="Q55" t="s">
        <v>142</v>
      </c>
    </row>
    <row r="56" spans="1:17" x14ac:dyDescent="0.3">
      <c r="A56" t="s">
        <v>17</v>
      </c>
      <c r="B56" t="str">
        <f>"601997"</f>
        <v>601997</v>
      </c>
      <c r="C56" t="s">
        <v>143</v>
      </c>
      <c r="D56" t="s">
        <v>55</v>
      </c>
      <c r="E56">
        <v>623627623000</v>
      </c>
      <c r="F56">
        <v>598330405000</v>
      </c>
      <c r="G56">
        <v>564930845000</v>
      </c>
      <c r="H56">
        <v>526662418000</v>
      </c>
      <c r="I56">
        <v>460328397000</v>
      </c>
      <c r="J56">
        <v>392400651000</v>
      </c>
      <c r="K56">
        <v>248357566000</v>
      </c>
      <c r="P56">
        <v>2050</v>
      </c>
      <c r="Q56" t="s">
        <v>144</v>
      </c>
    </row>
    <row r="57" spans="1:17" x14ac:dyDescent="0.3">
      <c r="A57" t="s">
        <v>47</v>
      </c>
      <c r="B57" t="str">
        <f>"000166"</f>
        <v>000166</v>
      </c>
      <c r="C57" t="s">
        <v>145</v>
      </c>
      <c r="D57" t="s">
        <v>99</v>
      </c>
      <c r="E57">
        <v>619863397873</v>
      </c>
      <c r="F57">
        <v>499976096974</v>
      </c>
      <c r="G57">
        <v>416188402780</v>
      </c>
      <c r="H57">
        <v>375150996227</v>
      </c>
      <c r="I57">
        <v>326232734718</v>
      </c>
      <c r="J57">
        <v>279042482284</v>
      </c>
      <c r="K57">
        <v>311756046927</v>
      </c>
      <c r="L57">
        <v>273838691511.67999</v>
      </c>
      <c r="M57">
        <v>74202016641.990005</v>
      </c>
      <c r="P57">
        <v>2819</v>
      </c>
      <c r="Q57" t="s">
        <v>146</v>
      </c>
    </row>
    <row r="58" spans="1:17" x14ac:dyDescent="0.3">
      <c r="A58" t="s">
        <v>17</v>
      </c>
      <c r="B58" t="str">
        <f>"600999"</f>
        <v>600999</v>
      </c>
      <c r="C58" t="s">
        <v>147</v>
      </c>
      <c r="D58" t="s">
        <v>99</v>
      </c>
      <c r="E58">
        <v>602653646126</v>
      </c>
      <c r="F58">
        <v>531966640447</v>
      </c>
      <c r="G58">
        <v>404248952981</v>
      </c>
      <c r="H58">
        <v>328828891577</v>
      </c>
      <c r="I58">
        <v>290679818719</v>
      </c>
      <c r="J58">
        <v>242937280491</v>
      </c>
      <c r="K58">
        <v>252633696839</v>
      </c>
      <c r="L58">
        <v>248832261750</v>
      </c>
      <c r="M58">
        <v>90803843129</v>
      </c>
      <c r="N58">
        <v>92143855456</v>
      </c>
      <c r="O58">
        <v>74877550038</v>
      </c>
      <c r="P58">
        <v>2820</v>
      </c>
      <c r="Q58" t="s">
        <v>148</v>
      </c>
    </row>
    <row r="59" spans="1:17" x14ac:dyDescent="0.3">
      <c r="A59" t="s">
        <v>17</v>
      </c>
      <c r="B59" t="str">
        <f>"600050"</f>
        <v>600050</v>
      </c>
      <c r="C59" t="s">
        <v>149</v>
      </c>
      <c r="D59" t="s">
        <v>81</v>
      </c>
      <c r="E59">
        <v>589363245987</v>
      </c>
      <c r="F59">
        <v>569695401565</v>
      </c>
      <c r="G59">
        <v>565118013153</v>
      </c>
      <c r="H59">
        <v>568877396357</v>
      </c>
      <c r="I59">
        <v>574649584386</v>
      </c>
      <c r="J59">
        <v>602593580608</v>
      </c>
      <c r="K59">
        <v>601484496919</v>
      </c>
      <c r="L59">
        <v>542413742751</v>
      </c>
      <c r="M59">
        <v>524222536223</v>
      </c>
      <c r="N59">
        <v>507013357725</v>
      </c>
      <c r="O59">
        <v>453702278291</v>
      </c>
      <c r="P59">
        <v>1304</v>
      </c>
      <c r="Q59" t="s">
        <v>150</v>
      </c>
    </row>
    <row r="60" spans="1:17" x14ac:dyDescent="0.3">
      <c r="A60" t="s">
        <v>17</v>
      </c>
      <c r="B60" t="str">
        <f>"601618"</f>
        <v>601618</v>
      </c>
      <c r="C60" t="s">
        <v>151</v>
      </c>
      <c r="D60" t="s">
        <v>152</v>
      </c>
      <c r="E60">
        <v>583639494000</v>
      </c>
      <c r="F60">
        <v>528299505000</v>
      </c>
      <c r="G60">
        <v>479384725000</v>
      </c>
      <c r="H60">
        <v>450462286000</v>
      </c>
      <c r="I60">
        <v>421756810000</v>
      </c>
      <c r="J60">
        <v>388802342000</v>
      </c>
      <c r="K60">
        <v>343330093000</v>
      </c>
      <c r="L60">
        <v>327555622000</v>
      </c>
      <c r="M60">
        <v>322718641000</v>
      </c>
      <c r="N60">
        <v>324901922000</v>
      </c>
      <c r="O60">
        <v>340896068000</v>
      </c>
      <c r="P60">
        <v>584</v>
      </c>
      <c r="Q60" t="s">
        <v>153</v>
      </c>
    </row>
    <row r="61" spans="1:17" x14ac:dyDescent="0.3">
      <c r="A61" t="s">
        <v>17</v>
      </c>
      <c r="B61" t="str">
        <f>"601881"</f>
        <v>601881</v>
      </c>
      <c r="C61" t="s">
        <v>154</v>
      </c>
      <c r="D61" t="s">
        <v>99</v>
      </c>
      <c r="E61">
        <v>577306732958</v>
      </c>
      <c r="F61">
        <v>458362571421</v>
      </c>
      <c r="G61">
        <v>367357060872</v>
      </c>
      <c r="H61">
        <v>304980276659</v>
      </c>
      <c r="I61">
        <v>271084300365</v>
      </c>
      <c r="J61">
        <v>234918159802</v>
      </c>
      <c r="P61">
        <v>1598</v>
      </c>
      <c r="Q61" t="s">
        <v>155</v>
      </c>
    </row>
    <row r="62" spans="1:17" x14ac:dyDescent="0.3">
      <c r="A62" t="s">
        <v>47</v>
      </c>
      <c r="B62" t="str">
        <f>"002936"</f>
        <v>002936</v>
      </c>
      <c r="C62" t="s">
        <v>156</v>
      </c>
      <c r="D62" t="s">
        <v>55</v>
      </c>
      <c r="E62">
        <v>575109347000</v>
      </c>
      <c r="F62">
        <v>554387540000</v>
      </c>
      <c r="G62">
        <v>532678261000</v>
      </c>
      <c r="H62">
        <v>487364544000</v>
      </c>
      <c r="I62">
        <v>433736093000</v>
      </c>
      <c r="J62">
        <v>375370196000</v>
      </c>
      <c r="P62">
        <v>469</v>
      </c>
      <c r="Q62" t="s">
        <v>157</v>
      </c>
    </row>
    <row r="63" spans="1:17" x14ac:dyDescent="0.3">
      <c r="A63" t="s">
        <v>47</v>
      </c>
      <c r="B63" t="str">
        <f>"200725"</f>
        <v>200725</v>
      </c>
      <c r="C63" t="s">
        <v>158</v>
      </c>
      <c r="E63">
        <v>564017274493.49402</v>
      </c>
      <c r="F63">
        <v>506561087636.927</v>
      </c>
      <c r="G63">
        <v>373131795028.84198</v>
      </c>
      <c r="H63">
        <v>360427855289.14203</v>
      </c>
      <c r="I63">
        <v>328543136396.17499</v>
      </c>
      <c r="J63">
        <v>241145695621.50101</v>
      </c>
      <c r="K63">
        <v>195580329986.76401</v>
      </c>
      <c r="L63">
        <v>170811193722.5</v>
      </c>
      <c r="M63">
        <v>157822639990.29599</v>
      </c>
      <c r="N63">
        <v>86177527089.167999</v>
      </c>
      <c r="O63">
        <v>81624559920.102005</v>
      </c>
      <c r="P63">
        <v>85</v>
      </c>
      <c r="Q63" t="s">
        <v>159</v>
      </c>
    </row>
    <row r="64" spans="1:17" x14ac:dyDescent="0.3">
      <c r="A64" t="s">
        <v>47</v>
      </c>
      <c r="B64" t="str">
        <f>"000776"</f>
        <v>000776</v>
      </c>
      <c r="C64" t="s">
        <v>160</v>
      </c>
      <c r="D64" t="s">
        <v>99</v>
      </c>
      <c r="E64">
        <v>554667333881</v>
      </c>
      <c r="F64">
        <v>499279578551</v>
      </c>
      <c r="G64">
        <v>438448241499</v>
      </c>
      <c r="H64">
        <v>414910144635</v>
      </c>
      <c r="I64">
        <v>387840327581</v>
      </c>
      <c r="J64">
        <v>354935132261</v>
      </c>
      <c r="K64">
        <v>371143906634</v>
      </c>
      <c r="L64">
        <v>320503316686</v>
      </c>
      <c r="M64">
        <v>119077559411</v>
      </c>
      <c r="N64">
        <v>94084947157</v>
      </c>
      <c r="O64">
        <v>83006041169</v>
      </c>
      <c r="P64">
        <v>3522</v>
      </c>
      <c r="Q64" t="s">
        <v>161</v>
      </c>
    </row>
    <row r="65" spans="1:17" x14ac:dyDescent="0.3">
      <c r="A65" t="s">
        <v>17</v>
      </c>
      <c r="B65" t="str">
        <f>"601868"</f>
        <v>601868</v>
      </c>
      <c r="C65" t="s">
        <v>162</v>
      </c>
      <c r="D65" t="s">
        <v>84</v>
      </c>
      <c r="E65">
        <v>548300380000</v>
      </c>
      <c r="P65">
        <v>152</v>
      </c>
      <c r="Q65" t="s">
        <v>163</v>
      </c>
    </row>
    <row r="66" spans="1:17" x14ac:dyDescent="0.3">
      <c r="A66" t="s">
        <v>47</v>
      </c>
      <c r="B66" t="str">
        <f>"002948"</f>
        <v>002948</v>
      </c>
      <c r="C66" t="s">
        <v>164</v>
      </c>
      <c r="D66" t="s">
        <v>55</v>
      </c>
      <c r="E66">
        <v>527225963000</v>
      </c>
      <c r="F66">
        <v>464972502000</v>
      </c>
      <c r="G66">
        <v>389132982000</v>
      </c>
      <c r="H66">
        <v>327242345000</v>
      </c>
      <c r="M66">
        <v>139374000000</v>
      </c>
      <c r="N66">
        <v>112371000000</v>
      </c>
      <c r="P66">
        <v>458</v>
      </c>
      <c r="Q66" t="s">
        <v>165</v>
      </c>
    </row>
    <row r="67" spans="1:17" x14ac:dyDescent="0.3">
      <c r="A67" t="s">
        <v>17</v>
      </c>
      <c r="B67" t="str">
        <f>"601155"</f>
        <v>601155</v>
      </c>
      <c r="C67" t="s">
        <v>166</v>
      </c>
      <c r="D67" t="s">
        <v>117</v>
      </c>
      <c r="E67">
        <v>527116483218</v>
      </c>
      <c r="F67">
        <v>568898549025</v>
      </c>
      <c r="G67">
        <v>473960489760</v>
      </c>
      <c r="H67">
        <v>366624525238</v>
      </c>
      <c r="I67">
        <v>194787339593</v>
      </c>
      <c r="J67">
        <v>115771741794</v>
      </c>
      <c r="K67">
        <v>77722606365</v>
      </c>
      <c r="P67">
        <v>7593</v>
      </c>
      <c r="Q67" t="s">
        <v>167</v>
      </c>
    </row>
    <row r="68" spans="1:17" x14ac:dyDescent="0.3">
      <c r="A68" t="s">
        <v>47</v>
      </c>
      <c r="B68" t="str">
        <f>"002966"</f>
        <v>002966</v>
      </c>
      <c r="C68" t="s">
        <v>168</v>
      </c>
      <c r="D68" t="s">
        <v>55</v>
      </c>
      <c r="E68">
        <v>497181418325</v>
      </c>
      <c r="F68">
        <v>431711966249</v>
      </c>
      <c r="G68">
        <v>381377017140</v>
      </c>
      <c r="H68">
        <v>315210909700</v>
      </c>
      <c r="I68">
        <v>288159610000</v>
      </c>
      <c r="P68">
        <v>365</v>
      </c>
      <c r="Q68" t="s">
        <v>169</v>
      </c>
    </row>
    <row r="69" spans="1:17" x14ac:dyDescent="0.3">
      <c r="A69" t="s">
        <v>17</v>
      </c>
      <c r="B69" t="str">
        <f>"600011"</f>
        <v>600011</v>
      </c>
      <c r="C69" t="s">
        <v>170</v>
      </c>
      <c r="D69" t="s">
        <v>171</v>
      </c>
      <c r="E69">
        <v>488810999006</v>
      </c>
      <c r="F69">
        <v>443633073191</v>
      </c>
      <c r="G69">
        <v>414574290961</v>
      </c>
      <c r="H69">
        <v>400000276277</v>
      </c>
      <c r="I69">
        <v>382591883382</v>
      </c>
      <c r="J69">
        <v>375542682233</v>
      </c>
      <c r="K69">
        <v>297904388776</v>
      </c>
      <c r="L69">
        <v>294379004095</v>
      </c>
      <c r="M69">
        <v>259747520520</v>
      </c>
      <c r="N69">
        <v>256171934739</v>
      </c>
      <c r="O69">
        <v>257893982664</v>
      </c>
      <c r="P69">
        <v>751</v>
      </c>
      <c r="Q69" t="s">
        <v>172</v>
      </c>
    </row>
    <row r="70" spans="1:17" x14ac:dyDescent="0.3">
      <c r="A70" t="s">
        <v>47</v>
      </c>
      <c r="B70" t="str">
        <f>"000069"</f>
        <v>000069</v>
      </c>
      <c r="C70" t="s">
        <v>173</v>
      </c>
      <c r="D70" t="s">
        <v>117</v>
      </c>
      <c r="E70">
        <v>478554408320</v>
      </c>
      <c r="F70">
        <v>462475622582</v>
      </c>
      <c r="G70">
        <v>403354395522</v>
      </c>
      <c r="H70">
        <v>342117454939</v>
      </c>
      <c r="I70">
        <v>239060266166</v>
      </c>
      <c r="J70">
        <v>157943582369</v>
      </c>
      <c r="K70">
        <v>119548349714</v>
      </c>
      <c r="L70">
        <v>94186521645</v>
      </c>
      <c r="M70">
        <v>89390309502</v>
      </c>
      <c r="N70">
        <v>74843441896</v>
      </c>
      <c r="O70">
        <v>64822077243</v>
      </c>
      <c r="P70">
        <v>3953</v>
      </c>
      <c r="Q70" t="s">
        <v>174</v>
      </c>
    </row>
    <row r="71" spans="1:17" x14ac:dyDescent="0.3">
      <c r="A71" t="s">
        <v>17</v>
      </c>
      <c r="B71" t="str">
        <f>"601919"</f>
        <v>601919</v>
      </c>
      <c r="C71" t="s">
        <v>175</v>
      </c>
      <c r="D71" t="s">
        <v>176</v>
      </c>
      <c r="E71">
        <v>476287438780</v>
      </c>
      <c r="F71">
        <v>292323926676</v>
      </c>
      <c r="G71">
        <v>249531734080</v>
      </c>
      <c r="H71">
        <v>256201397518</v>
      </c>
      <c r="I71">
        <v>129358890139</v>
      </c>
      <c r="J71">
        <v>120574299123</v>
      </c>
      <c r="K71">
        <v>115859278857</v>
      </c>
      <c r="L71">
        <v>146106987128</v>
      </c>
      <c r="M71">
        <v>160465182087</v>
      </c>
      <c r="N71">
        <v>172195273845</v>
      </c>
      <c r="O71">
        <v>160305018526</v>
      </c>
      <c r="P71">
        <v>1359</v>
      </c>
      <c r="Q71" t="s">
        <v>177</v>
      </c>
    </row>
    <row r="72" spans="1:17" x14ac:dyDescent="0.3">
      <c r="A72" t="s">
        <v>17</v>
      </c>
      <c r="B72" t="str">
        <f>"600383"</f>
        <v>600383</v>
      </c>
      <c r="C72" t="s">
        <v>178</v>
      </c>
      <c r="D72" t="s">
        <v>76</v>
      </c>
      <c r="E72">
        <v>468415613830</v>
      </c>
      <c r="F72">
        <v>429077235001</v>
      </c>
      <c r="G72">
        <v>354703602063</v>
      </c>
      <c r="H72">
        <v>286369307954</v>
      </c>
      <c r="I72">
        <v>224861356549</v>
      </c>
      <c r="J72">
        <v>163460107663</v>
      </c>
      <c r="K72">
        <v>145516408702</v>
      </c>
      <c r="L72">
        <v>130487109012</v>
      </c>
      <c r="M72">
        <v>130974654520</v>
      </c>
      <c r="N72">
        <v>106031725085</v>
      </c>
      <c r="O72">
        <v>92777130981</v>
      </c>
      <c r="P72">
        <v>2482</v>
      </c>
      <c r="Q72" t="s">
        <v>179</v>
      </c>
    </row>
    <row r="73" spans="1:17" x14ac:dyDescent="0.3">
      <c r="A73" t="s">
        <v>47</v>
      </c>
      <c r="B73" t="str">
        <f>"000725"</f>
        <v>000725</v>
      </c>
      <c r="C73" t="s">
        <v>180</v>
      </c>
      <c r="D73" t="s">
        <v>181</v>
      </c>
      <c r="E73">
        <v>457064241891</v>
      </c>
      <c r="F73">
        <v>427658157566</v>
      </c>
      <c r="G73">
        <v>341414397501</v>
      </c>
      <c r="H73">
        <v>308295146086</v>
      </c>
      <c r="I73">
        <v>262729417350</v>
      </c>
      <c r="J73">
        <v>213743747227</v>
      </c>
      <c r="K73">
        <v>162807233819</v>
      </c>
      <c r="L73">
        <v>136648954978</v>
      </c>
      <c r="M73">
        <v>126419929502</v>
      </c>
      <c r="N73">
        <v>68953054160</v>
      </c>
      <c r="O73">
        <v>66199967494</v>
      </c>
      <c r="P73">
        <v>4544</v>
      </c>
      <c r="Q73" t="s">
        <v>182</v>
      </c>
    </row>
    <row r="74" spans="1:17" x14ac:dyDescent="0.3">
      <c r="A74" t="s">
        <v>17</v>
      </c>
      <c r="B74" t="str">
        <f>"601066"</f>
        <v>601066</v>
      </c>
      <c r="C74" t="s">
        <v>183</v>
      </c>
      <c r="D74" t="s">
        <v>99</v>
      </c>
      <c r="E74">
        <v>455815747591</v>
      </c>
      <c r="F74">
        <v>390337706612</v>
      </c>
      <c r="G74">
        <v>287013960879</v>
      </c>
      <c r="H74">
        <v>229215688068</v>
      </c>
      <c r="I74">
        <v>216756718741</v>
      </c>
      <c r="L74">
        <v>150803649900</v>
      </c>
      <c r="M74">
        <v>71602000000</v>
      </c>
      <c r="P74">
        <v>1825</v>
      </c>
      <c r="Q74" t="s">
        <v>184</v>
      </c>
    </row>
    <row r="75" spans="1:17" x14ac:dyDescent="0.3">
      <c r="A75" t="s">
        <v>17</v>
      </c>
      <c r="B75" t="str">
        <f>"601665"</f>
        <v>601665</v>
      </c>
      <c r="C75" t="s">
        <v>185</v>
      </c>
      <c r="D75" t="s">
        <v>55</v>
      </c>
      <c r="E75">
        <v>453130202000</v>
      </c>
      <c r="F75">
        <v>383473612000</v>
      </c>
      <c r="P75">
        <v>52</v>
      </c>
      <c r="Q75" t="s">
        <v>186</v>
      </c>
    </row>
    <row r="76" spans="1:17" x14ac:dyDescent="0.3">
      <c r="A76" t="s">
        <v>47</v>
      </c>
      <c r="B76" t="str">
        <f>"002958"</f>
        <v>002958</v>
      </c>
      <c r="C76" t="s">
        <v>187</v>
      </c>
      <c r="D76" t="s">
        <v>102</v>
      </c>
      <c r="E76">
        <v>442633894000</v>
      </c>
      <c r="F76">
        <v>423292259000</v>
      </c>
      <c r="G76">
        <v>350256603000</v>
      </c>
      <c r="H76">
        <v>308965094000</v>
      </c>
      <c r="P76">
        <v>416</v>
      </c>
      <c r="Q76" t="s">
        <v>188</v>
      </c>
    </row>
    <row r="77" spans="1:17" x14ac:dyDescent="0.3">
      <c r="A77" t="s">
        <v>17</v>
      </c>
      <c r="B77" t="str">
        <f>"600340"</f>
        <v>600340</v>
      </c>
      <c r="C77" t="s">
        <v>189</v>
      </c>
      <c r="D77" t="s">
        <v>190</v>
      </c>
      <c r="E77">
        <v>433267980605</v>
      </c>
      <c r="F77">
        <v>482715453369</v>
      </c>
      <c r="G77">
        <v>474931445868</v>
      </c>
      <c r="H77">
        <v>432949975528</v>
      </c>
      <c r="I77">
        <v>375625699487</v>
      </c>
      <c r="J77">
        <v>280357044080</v>
      </c>
      <c r="K77">
        <v>186008635623</v>
      </c>
      <c r="L77">
        <v>123341423767</v>
      </c>
      <c r="M77">
        <v>80938780764</v>
      </c>
      <c r="N77">
        <v>49774854838</v>
      </c>
      <c r="O77">
        <v>29309654213</v>
      </c>
      <c r="P77">
        <v>22451</v>
      </c>
      <c r="Q77" t="s">
        <v>191</v>
      </c>
    </row>
    <row r="78" spans="1:17" x14ac:dyDescent="0.3">
      <c r="A78" t="s">
        <v>17</v>
      </c>
      <c r="B78" t="str">
        <f>"601766"</f>
        <v>601766</v>
      </c>
      <c r="C78" t="s">
        <v>192</v>
      </c>
      <c r="D78" t="s">
        <v>193</v>
      </c>
      <c r="E78">
        <v>428401601000</v>
      </c>
      <c r="F78">
        <v>425285527000</v>
      </c>
      <c r="G78">
        <v>396820597000</v>
      </c>
      <c r="H78">
        <v>377226401000</v>
      </c>
      <c r="I78">
        <v>372388316000</v>
      </c>
      <c r="J78">
        <v>344176454000</v>
      </c>
      <c r="K78">
        <v>318662798000</v>
      </c>
      <c r="L78">
        <v>158377002756</v>
      </c>
      <c r="M78">
        <v>128437478000</v>
      </c>
      <c r="N78">
        <v>104545303000</v>
      </c>
      <c r="O78">
        <v>98475146000</v>
      </c>
      <c r="P78">
        <v>1205</v>
      </c>
      <c r="Q78" t="s">
        <v>194</v>
      </c>
    </row>
    <row r="79" spans="1:17" x14ac:dyDescent="0.3">
      <c r="A79" t="s">
        <v>17</v>
      </c>
      <c r="B79" t="str">
        <f>"601985"</f>
        <v>601985</v>
      </c>
      <c r="C79" t="s">
        <v>195</v>
      </c>
      <c r="D79" t="s">
        <v>196</v>
      </c>
      <c r="E79">
        <v>419961399471</v>
      </c>
      <c r="F79">
        <v>389793532401</v>
      </c>
      <c r="G79">
        <v>353523923083</v>
      </c>
      <c r="H79">
        <v>331418013467</v>
      </c>
      <c r="I79">
        <v>310547394227</v>
      </c>
      <c r="J79">
        <v>285029334946</v>
      </c>
      <c r="K79">
        <v>261447100824</v>
      </c>
      <c r="L79">
        <v>229715425800</v>
      </c>
      <c r="P79">
        <v>998</v>
      </c>
      <c r="Q79" t="s">
        <v>197</v>
      </c>
    </row>
    <row r="80" spans="1:17" x14ac:dyDescent="0.3">
      <c r="A80" t="s">
        <v>17</v>
      </c>
      <c r="B80" t="str">
        <f>"600705"</f>
        <v>600705</v>
      </c>
      <c r="C80" t="s">
        <v>198</v>
      </c>
      <c r="D80" t="s">
        <v>109</v>
      </c>
      <c r="E80">
        <v>412914921546</v>
      </c>
      <c r="F80">
        <v>365688434512</v>
      </c>
      <c r="G80">
        <v>342941887677</v>
      </c>
      <c r="H80">
        <v>315536972334</v>
      </c>
      <c r="I80">
        <v>227648262048</v>
      </c>
      <c r="J80">
        <v>150153331905</v>
      </c>
      <c r="K80">
        <v>134259663546</v>
      </c>
      <c r="L80">
        <v>101259672499</v>
      </c>
      <c r="M80">
        <v>77541929095</v>
      </c>
      <c r="N80">
        <v>57367221161</v>
      </c>
      <c r="O80">
        <v>905733664</v>
      </c>
      <c r="P80">
        <v>440</v>
      </c>
      <c r="Q80" t="s">
        <v>199</v>
      </c>
    </row>
    <row r="81" spans="1:17" x14ac:dyDescent="0.3">
      <c r="A81" t="s">
        <v>47</v>
      </c>
      <c r="B81" t="str">
        <f>"001227"</f>
        <v>001227</v>
      </c>
      <c r="C81" t="s">
        <v>200</v>
      </c>
      <c r="D81" t="s">
        <v>55</v>
      </c>
      <c r="E81">
        <v>412741559126</v>
      </c>
      <c r="P81">
        <v>31</v>
      </c>
      <c r="Q81" t="s">
        <v>201</v>
      </c>
    </row>
    <row r="82" spans="1:17" x14ac:dyDescent="0.3">
      <c r="A82" t="s">
        <v>47</v>
      </c>
      <c r="B82" t="str">
        <f>"000333"</f>
        <v>000333</v>
      </c>
      <c r="C82" t="s">
        <v>202</v>
      </c>
      <c r="D82" t="s">
        <v>203</v>
      </c>
      <c r="E82">
        <v>407842387000</v>
      </c>
      <c r="F82">
        <v>369174526000</v>
      </c>
      <c r="G82">
        <v>301668584000</v>
      </c>
      <c r="H82">
        <v>278910215000</v>
      </c>
      <c r="I82">
        <v>252566526000</v>
      </c>
      <c r="J82">
        <v>225914387000</v>
      </c>
      <c r="K82">
        <v>147922589000</v>
      </c>
      <c r="L82">
        <v>135830927660</v>
      </c>
      <c r="M82">
        <v>113773421440</v>
      </c>
      <c r="P82">
        <v>25066</v>
      </c>
      <c r="Q82" t="s">
        <v>204</v>
      </c>
    </row>
    <row r="83" spans="1:17" x14ac:dyDescent="0.3">
      <c r="A83" t="s">
        <v>47</v>
      </c>
      <c r="B83" t="str">
        <f>"003816"</f>
        <v>003816</v>
      </c>
      <c r="C83" t="s">
        <v>205</v>
      </c>
      <c r="D83" t="s">
        <v>196</v>
      </c>
      <c r="E83">
        <v>403197706335</v>
      </c>
      <c r="F83">
        <v>393528257444</v>
      </c>
      <c r="G83">
        <v>387005529393</v>
      </c>
      <c r="H83">
        <v>369731562249</v>
      </c>
      <c r="J83">
        <v>340500188845</v>
      </c>
      <c r="P83">
        <v>523</v>
      </c>
      <c r="Q83" t="s">
        <v>206</v>
      </c>
    </row>
    <row r="84" spans="1:17" x14ac:dyDescent="0.3">
      <c r="A84" t="s">
        <v>17</v>
      </c>
      <c r="B84" t="str">
        <f>"600795"</f>
        <v>600795</v>
      </c>
      <c r="C84" t="s">
        <v>207</v>
      </c>
      <c r="D84" t="s">
        <v>171</v>
      </c>
      <c r="E84">
        <v>401308393689</v>
      </c>
      <c r="F84">
        <v>344392259179</v>
      </c>
      <c r="G84">
        <v>362574779362</v>
      </c>
      <c r="H84">
        <v>373571320526</v>
      </c>
      <c r="I84">
        <v>279253474193</v>
      </c>
      <c r="J84">
        <v>274106773459</v>
      </c>
      <c r="K84">
        <v>253495997823</v>
      </c>
      <c r="L84">
        <v>246681058857</v>
      </c>
      <c r="M84">
        <v>231967088938</v>
      </c>
      <c r="N84">
        <v>210500819898</v>
      </c>
      <c r="O84">
        <v>190522562116</v>
      </c>
      <c r="P84">
        <v>548</v>
      </c>
      <c r="Q84" t="s">
        <v>208</v>
      </c>
    </row>
    <row r="85" spans="1:17" x14ac:dyDescent="0.3">
      <c r="A85" t="s">
        <v>17</v>
      </c>
      <c r="B85" t="str">
        <f>"600019"</f>
        <v>600019</v>
      </c>
      <c r="C85" t="s">
        <v>209</v>
      </c>
      <c r="D85" t="s">
        <v>210</v>
      </c>
      <c r="E85">
        <v>395865844991</v>
      </c>
      <c r="F85">
        <v>372043975318</v>
      </c>
      <c r="G85">
        <v>346004198635</v>
      </c>
      <c r="H85">
        <v>340804468442</v>
      </c>
      <c r="I85">
        <v>353712128489</v>
      </c>
      <c r="J85">
        <v>369155684245</v>
      </c>
      <c r="K85">
        <v>261943133118</v>
      </c>
      <c r="L85">
        <v>233128492404</v>
      </c>
      <c r="M85">
        <v>232539132442</v>
      </c>
      <c r="N85">
        <v>227158889559</v>
      </c>
      <c r="O85">
        <v>242262452826</v>
      </c>
      <c r="P85">
        <v>2292</v>
      </c>
      <c r="Q85" t="s">
        <v>211</v>
      </c>
    </row>
    <row r="86" spans="1:17" x14ac:dyDescent="0.3">
      <c r="A86" t="s">
        <v>47</v>
      </c>
      <c r="B86" t="str">
        <f>"002736"</f>
        <v>002736</v>
      </c>
      <c r="C86" t="s">
        <v>212</v>
      </c>
      <c r="D86" t="s">
        <v>99</v>
      </c>
      <c r="E86">
        <v>391893524044</v>
      </c>
      <c r="F86">
        <v>317794806725</v>
      </c>
      <c r="G86">
        <v>249209056249</v>
      </c>
      <c r="H86">
        <v>243010406420</v>
      </c>
      <c r="I86">
        <v>204846879949</v>
      </c>
      <c r="J86">
        <v>185092638865</v>
      </c>
      <c r="K86">
        <v>234062690158</v>
      </c>
      <c r="L86">
        <v>222928019340</v>
      </c>
      <c r="M86">
        <v>77125847200</v>
      </c>
      <c r="N86">
        <v>66205060200</v>
      </c>
      <c r="P86">
        <v>2389</v>
      </c>
      <c r="Q86" t="s">
        <v>213</v>
      </c>
    </row>
    <row r="87" spans="1:17" x14ac:dyDescent="0.3">
      <c r="A87" t="s">
        <v>47</v>
      </c>
      <c r="B87" t="str">
        <f>"300750"</f>
        <v>300750</v>
      </c>
      <c r="C87" t="s">
        <v>214</v>
      </c>
      <c r="D87" t="s">
        <v>215</v>
      </c>
      <c r="E87">
        <v>376255651900</v>
      </c>
      <c r="F87">
        <v>173328904927</v>
      </c>
      <c r="G87">
        <v>101436464897</v>
      </c>
      <c r="H87">
        <v>84101272460</v>
      </c>
      <c r="I87">
        <v>47823235529</v>
      </c>
      <c r="P87">
        <v>4825</v>
      </c>
      <c r="Q87" t="s">
        <v>216</v>
      </c>
    </row>
    <row r="88" spans="1:17" x14ac:dyDescent="0.3">
      <c r="A88" t="s">
        <v>47</v>
      </c>
      <c r="B88" t="str">
        <f>"000961"</f>
        <v>000961</v>
      </c>
      <c r="C88" t="s">
        <v>217</v>
      </c>
      <c r="D88" t="s">
        <v>76</v>
      </c>
      <c r="E88">
        <v>368991768798</v>
      </c>
      <c r="F88">
        <v>360237670132</v>
      </c>
      <c r="G88">
        <v>302503396669</v>
      </c>
      <c r="H88">
        <v>240086880302</v>
      </c>
      <c r="I88">
        <v>190299919974</v>
      </c>
      <c r="J88">
        <v>122429780240</v>
      </c>
      <c r="K88">
        <v>102882539496</v>
      </c>
      <c r="L88">
        <v>87789144484</v>
      </c>
      <c r="M88">
        <v>70270217738</v>
      </c>
      <c r="N88">
        <v>47614153883</v>
      </c>
      <c r="O88">
        <v>35547549733</v>
      </c>
      <c r="P88">
        <v>898</v>
      </c>
      <c r="Q88" t="s">
        <v>218</v>
      </c>
    </row>
    <row r="89" spans="1:17" x14ac:dyDescent="0.3">
      <c r="A89" t="s">
        <v>17</v>
      </c>
      <c r="B89" t="str">
        <f>"600325"</f>
        <v>600325</v>
      </c>
      <c r="C89" t="s">
        <v>219</v>
      </c>
      <c r="D89" t="s">
        <v>76</v>
      </c>
      <c r="E89">
        <v>366841857234</v>
      </c>
      <c r="F89">
        <v>340590001030</v>
      </c>
      <c r="G89">
        <v>260089286310</v>
      </c>
      <c r="H89">
        <v>193993446427</v>
      </c>
      <c r="I89">
        <v>153090328375</v>
      </c>
      <c r="J89">
        <v>117500124932</v>
      </c>
      <c r="K89">
        <v>98718011815</v>
      </c>
      <c r="L89">
        <v>73866856703</v>
      </c>
      <c r="M89">
        <v>49135559183</v>
      </c>
      <c r="N89">
        <v>31473090873</v>
      </c>
      <c r="O89">
        <v>23756035041</v>
      </c>
      <c r="P89">
        <v>1184</v>
      </c>
      <c r="Q89" t="s">
        <v>220</v>
      </c>
    </row>
    <row r="90" spans="1:17" x14ac:dyDescent="0.3">
      <c r="A90" t="s">
        <v>47</v>
      </c>
      <c r="B90" t="str">
        <f>"000671"</f>
        <v>000671</v>
      </c>
      <c r="C90" t="s">
        <v>221</v>
      </c>
      <c r="D90" t="s">
        <v>76</v>
      </c>
      <c r="E90">
        <v>358555246307</v>
      </c>
      <c r="F90">
        <v>360267501827</v>
      </c>
      <c r="G90">
        <v>325501174181</v>
      </c>
      <c r="H90">
        <v>271983731735</v>
      </c>
      <c r="I90">
        <v>226701490765</v>
      </c>
      <c r="J90">
        <v>156933121684</v>
      </c>
      <c r="K90">
        <v>72496785172</v>
      </c>
      <c r="L90">
        <v>50333003808</v>
      </c>
      <c r="M90">
        <v>39068518661</v>
      </c>
      <c r="N90">
        <v>21744861106</v>
      </c>
      <c r="O90">
        <v>13710292856</v>
      </c>
      <c r="P90">
        <v>1192</v>
      </c>
      <c r="Q90" t="s">
        <v>222</v>
      </c>
    </row>
    <row r="91" spans="1:17" x14ac:dyDescent="0.3">
      <c r="A91" t="s">
        <v>47</v>
      </c>
      <c r="B91" t="str">
        <f>"000656"</f>
        <v>000656</v>
      </c>
      <c r="C91" t="s">
        <v>223</v>
      </c>
      <c r="D91" t="s">
        <v>76</v>
      </c>
      <c r="E91">
        <v>351218772031</v>
      </c>
      <c r="F91">
        <v>388336300002</v>
      </c>
      <c r="G91">
        <v>327242521868</v>
      </c>
      <c r="H91">
        <v>246922488066</v>
      </c>
      <c r="I91">
        <v>162787930434</v>
      </c>
      <c r="J91">
        <v>115089493333</v>
      </c>
      <c r="K91">
        <v>96352901753</v>
      </c>
      <c r="L91">
        <v>88642963638</v>
      </c>
      <c r="M91">
        <v>69872347389</v>
      </c>
      <c r="N91">
        <v>55768619285</v>
      </c>
      <c r="O91">
        <v>40149177958</v>
      </c>
      <c r="P91">
        <v>1065</v>
      </c>
      <c r="Q91" t="s">
        <v>224</v>
      </c>
    </row>
    <row r="92" spans="1:17" x14ac:dyDescent="0.3">
      <c r="A92" t="s">
        <v>47</v>
      </c>
      <c r="B92" t="str">
        <f>"002493"</f>
        <v>002493</v>
      </c>
      <c r="C92" t="s">
        <v>225</v>
      </c>
      <c r="D92" t="s">
        <v>62</v>
      </c>
      <c r="E92">
        <v>349522950118</v>
      </c>
      <c r="F92">
        <v>282130359294</v>
      </c>
      <c r="G92">
        <v>192775047291</v>
      </c>
      <c r="H92">
        <v>132817637405</v>
      </c>
      <c r="I92">
        <v>71800462463</v>
      </c>
      <c r="J92">
        <v>43476775390</v>
      </c>
      <c r="K92">
        <v>41962888604</v>
      </c>
      <c r="L92">
        <v>32279916444</v>
      </c>
      <c r="M92">
        <v>33543458990</v>
      </c>
      <c r="N92">
        <v>26268308622</v>
      </c>
      <c r="O92">
        <v>17833395690</v>
      </c>
      <c r="P92">
        <v>852</v>
      </c>
      <c r="Q92" t="s">
        <v>226</v>
      </c>
    </row>
    <row r="93" spans="1:17" x14ac:dyDescent="0.3">
      <c r="A93" t="s">
        <v>17</v>
      </c>
      <c r="B93" t="str">
        <f>"601187"</f>
        <v>601187</v>
      </c>
      <c r="C93" t="s">
        <v>227</v>
      </c>
      <c r="D93" t="s">
        <v>55</v>
      </c>
      <c r="E93">
        <v>343812312000</v>
      </c>
      <c r="F93">
        <v>286575786000</v>
      </c>
      <c r="G93">
        <v>250021115267</v>
      </c>
      <c r="H93">
        <v>215909237462</v>
      </c>
      <c r="I93">
        <v>207104414847</v>
      </c>
      <c r="J93">
        <v>189650113716</v>
      </c>
      <c r="K93">
        <v>171153614026</v>
      </c>
      <c r="P93">
        <v>177</v>
      </c>
      <c r="Q93" t="s">
        <v>228</v>
      </c>
    </row>
    <row r="94" spans="1:17" x14ac:dyDescent="0.3">
      <c r="A94" t="s">
        <v>17</v>
      </c>
      <c r="B94" t="str">
        <f>"600928"</f>
        <v>600928</v>
      </c>
      <c r="C94" t="s">
        <v>229</v>
      </c>
      <c r="D94" t="s">
        <v>55</v>
      </c>
      <c r="E94">
        <v>340811659000</v>
      </c>
      <c r="F94">
        <v>310613167000</v>
      </c>
      <c r="G94">
        <v>281116525000</v>
      </c>
      <c r="H94">
        <v>252217253000</v>
      </c>
      <c r="J94">
        <v>211202001746</v>
      </c>
      <c r="K94">
        <v>175015484232</v>
      </c>
      <c r="P94">
        <v>409</v>
      </c>
      <c r="Q94" t="s">
        <v>230</v>
      </c>
    </row>
    <row r="95" spans="1:17" x14ac:dyDescent="0.3">
      <c r="A95" t="s">
        <v>17</v>
      </c>
      <c r="B95" t="str">
        <f>"601898"</f>
        <v>601898</v>
      </c>
      <c r="C95" t="s">
        <v>231</v>
      </c>
      <c r="D95" t="s">
        <v>141</v>
      </c>
      <c r="E95">
        <v>338020879000</v>
      </c>
      <c r="F95">
        <v>289709012000</v>
      </c>
      <c r="G95">
        <v>278329651000</v>
      </c>
      <c r="H95">
        <v>269182580000</v>
      </c>
      <c r="I95">
        <v>249427666000</v>
      </c>
      <c r="J95">
        <v>243635970000</v>
      </c>
      <c r="K95">
        <v>254661112000</v>
      </c>
      <c r="L95">
        <v>244278555000</v>
      </c>
      <c r="M95">
        <v>219404730000</v>
      </c>
      <c r="N95">
        <v>189064569000</v>
      </c>
      <c r="O95">
        <v>164542341000</v>
      </c>
      <c r="P95">
        <v>446</v>
      </c>
      <c r="Q95" t="s">
        <v>232</v>
      </c>
    </row>
    <row r="96" spans="1:17" x14ac:dyDescent="0.3">
      <c r="A96" t="s">
        <v>47</v>
      </c>
      <c r="B96" t="str">
        <f>"000651"</f>
        <v>000651</v>
      </c>
      <c r="C96" t="s">
        <v>233</v>
      </c>
      <c r="D96" t="s">
        <v>203</v>
      </c>
      <c r="E96">
        <v>333688998480</v>
      </c>
      <c r="F96">
        <v>306181004587</v>
      </c>
      <c r="G96">
        <v>275192787344</v>
      </c>
      <c r="H96">
        <v>263394762340</v>
      </c>
      <c r="I96">
        <v>218364653041</v>
      </c>
      <c r="J96">
        <v>198764381598</v>
      </c>
      <c r="K96">
        <v>172278678199</v>
      </c>
      <c r="L96">
        <v>162609482890</v>
      </c>
      <c r="M96">
        <v>136704110361</v>
      </c>
      <c r="N96">
        <v>113123661668</v>
      </c>
      <c r="O96">
        <v>84770980629</v>
      </c>
      <c r="P96">
        <v>55062</v>
      </c>
      <c r="Q96" t="s">
        <v>234</v>
      </c>
    </row>
    <row r="97" spans="1:17" x14ac:dyDescent="0.3">
      <c r="A97" t="s">
        <v>17</v>
      </c>
      <c r="B97" t="str">
        <f>"600170"</f>
        <v>600170</v>
      </c>
      <c r="C97" t="s">
        <v>235</v>
      </c>
      <c r="D97" t="s">
        <v>65</v>
      </c>
      <c r="E97">
        <v>329138344227</v>
      </c>
      <c r="F97">
        <v>313764594182</v>
      </c>
      <c r="G97">
        <v>232540548352</v>
      </c>
      <c r="H97">
        <v>207267080335</v>
      </c>
      <c r="I97">
        <v>190589847780</v>
      </c>
      <c r="J97">
        <v>167534459015</v>
      </c>
      <c r="K97">
        <v>137314177884</v>
      </c>
      <c r="L97">
        <v>115020976773</v>
      </c>
      <c r="M97">
        <v>92841226886</v>
      </c>
      <c r="N97">
        <v>80564023712</v>
      </c>
      <c r="O97">
        <v>66392033842</v>
      </c>
      <c r="P97">
        <v>698</v>
      </c>
      <c r="Q97" t="s">
        <v>236</v>
      </c>
    </row>
    <row r="98" spans="1:17" x14ac:dyDescent="0.3">
      <c r="A98" t="s">
        <v>17</v>
      </c>
      <c r="B98" t="str">
        <f>"600900"</f>
        <v>600900</v>
      </c>
      <c r="C98" t="s">
        <v>237</v>
      </c>
      <c r="D98" t="s">
        <v>238</v>
      </c>
      <c r="E98">
        <v>325667232636</v>
      </c>
      <c r="F98">
        <v>327280823001</v>
      </c>
      <c r="G98">
        <v>296647943838</v>
      </c>
      <c r="H98">
        <v>295899561315</v>
      </c>
      <c r="I98">
        <v>297382844937</v>
      </c>
      <c r="J98">
        <v>300481795564</v>
      </c>
      <c r="K98">
        <v>141226482199</v>
      </c>
      <c r="L98">
        <v>147493877550</v>
      </c>
      <c r="M98">
        <v>147692579382</v>
      </c>
      <c r="N98">
        <v>156072017938</v>
      </c>
      <c r="O98">
        <v>155665731233</v>
      </c>
      <c r="P98">
        <v>5902</v>
      </c>
      <c r="Q98" t="s">
        <v>239</v>
      </c>
    </row>
    <row r="99" spans="1:17" x14ac:dyDescent="0.3">
      <c r="A99" t="s">
        <v>17</v>
      </c>
      <c r="B99" t="str">
        <f>"600376"</f>
        <v>600376</v>
      </c>
      <c r="C99" t="s">
        <v>240</v>
      </c>
      <c r="D99" t="s">
        <v>76</v>
      </c>
      <c r="E99">
        <v>319901536407</v>
      </c>
      <c r="F99">
        <v>315532246843</v>
      </c>
      <c r="G99">
        <v>317276172909</v>
      </c>
      <c r="H99">
        <v>295877317716</v>
      </c>
      <c r="I99">
        <v>253655072413</v>
      </c>
      <c r="J99">
        <v>185765293653</v>
      </c>
      <c r="K99">
        <v>149635679138</v>
      </c>
      <c r="L99">
        <v>100849000196</v>
      </c>
      <c r="M99">
        <v>93897743894</v>
      </c>
      <c r="N99">
        <v>82156981753</v>
      </c>
      <c r="O99">
        <v>61442464015</v>
      </c>
      <c r="P99">
        <v>1101</v>
      </c>
      <c r="Q99" t="s">
        <v>241</v>
      </c>
    </row>
    <row r="100" spans="1:17" x14ac:dyDescent="0.3">
      <c r="A100" t="s">
        <v>17</v>
      </c>
      <c r="B100" t="str">
        <f>"600029"</f>
        <v>600029</v>
      </c>
      <c r="C100" t="s">
        <v>242</v>
      </c>
      <c r="D100" t="s">
        <v>243</v>
      </c>
      <c r="E100">
        <v>319820000000</v>
      </c>
      <c r="F100">
        <v>326049000000</v>
      </c>
      <c r="G100">
        <v>300280000000</v>
      </c>
      <c r="H100">
        <v>295758000000</v>
      </c>
      <c r="I100">
        <v>220025000000</v>
      </c>
      <c r="J100">
        <v>202131000000</v>
      </c>
      <c r="K100">
        <v>186473000000</v>
      </c>
      <c r="L100">
        <v>188333000000</v>
      </c>
      <c r="M100">
        <v>168459000000</v>
      </c>
      <c r="N100">
        <v>146734000000</v>
      </c>
      <c r="O100">
        <v>132302000000</v>
      </c>
      <c r="P100">
        <v>1137</v>
      </c>
      <c r="Q100" t="s">
        <v>244</v>
      </c>
    </row>
    <row r="101" spans="1:17" x14ac:dyDescent="0.3">
      <c r="A101" t="s">
        <v>47</v>
      </c>
      <c r="B101" t="str">
        <f>"002594"</f>
        <v>002594</v>
      </c>
      <c r="C101" t="s">
        <v>245</v>
      </c>
      <c r="D101" t="s">
        <v>246</v>
      </c>
      <c r="E101">
        <v>317073763000</v>
      </c>
      <c r="F101">
        <v>223793264000</v>
      </c>
      <c r="G101">
        <v>191363274000</v>
      </c>
      <c r="H101">
        <v>198825689000</v>
      </c>
      <c r="I101">
        <v>182095536000</v>
      </c>
      <c r="J101">
        <v>146326109000</v>
      </c>
      <c r="K101">
        <v>112205554000</v>
      </c>
      <c r="L101">
        <v>92225600000</v>
      </c>
      <c r="M101">
        <v>77226350000</v>
      </c>
      <c r="N101">
        <v>69338722000</v>
      </c>
      <c r="O101">
        <v>66297883000</v>
      </c>
      <c r="P101">
        <v>5218</v>
      </c>
      <c r="Q101" t="s">
        <v>247</v>
      </c>
    </row>
    <row r="102" spans="1:17" x14ac:dyDescent="0.3">
      <c r="A102" t="s">
        <v>47</v>
      </c>
      <c r="B102" t="str">
        <f>"000100"</f>
        <v>000100</v>
      </c>
      <c r="C102" t="s">
        <v>248</v>
      </c>
      <c r="D102" t="s">
        <v>181</v>
      </c>
      <c r="E102">
        <v>316518995777</v>
      </c>
      <c r="F102">
        <v>274693487644</v>
      </c>
      <c r="G102">
        <v>172763657093</v>
      </c>
      <c r="H102">
        <v>198662703285</v>
      </c>
      <c r="I102">
        <v>163120205857</v>
      </c>
      <c r="J102">
        <v>150216565809</v>
      </c>
      <c r="K102">
        <v>124428957923</v>
      </c>
      <c r="L102">
        <v>107937346949</v>
      </c>
      <c r="M102">
        <v>78842248633</v>
      </c>
      <c r="N102">
        <v>80601059742</v>
      </c>
      <c r="O102">
        <v>70774789764</v>
      </c>
      <c r="P102">
        <v>2194</v>
      </c>
      <c r="Q102" t="s">
        <v>249</v>
      </c>
    </row>
    <row r="103" spans="1:17" x14ac:dyDescent="0.3">
      <c r="A103" t="s">
        <v>17</v>
      </c>
      <c r="B103" t="str">
        <f>"600958"</f>
        <v>600958</v>
      </c>
      <c r="C103" t="s">
        <v>250</v>
      </c>
      <c r="D103" t="s">
        <v>99</v>
      </c>
      <c r="E103">
        <v>315188293607</v>
      </c>
      <c r="F103">
        <v>308574741370</v>
      </c>
      <c r="G103">
        <v>278353290619</v>
      </c>
      <c r="H103">
        <v>242287824256</v>
      </c>
      <c r="I103">
        <v>225088497653</v>
      </c>
      <c r="J103">
        <v>203790447061</v>
      </c>
      <c r="K103">
        <v>185934779023</v>
      </c>
      <c r="L103">
        <v>134886866802</v>
      </c>
      <c r="P103">
        <v>1248</v>
      </c>
      <c r="Q103" t="s">
        <v>251</v>
      </c>
    </row>
    <row r="104" spans="1:17" x14ac:dyDescent="0.3">
      <c r="A104" t="s">
        <v>47</v>
      </c>
      <c r="B104" t="str">
        <f>"000877"</f>
        <v>000877</v>
      </c>
      <c r="C104" t="s">
        <v>252</v>
      </c>
      <c r="D104" t="s">
        <v>253</v>
      </c>
      <c r="E104">
        <v>297219575800</v>
      </c>
      <c r="F104">
        <v>14962173583</v>
      </c>
      <c r="G104">
        <v>15442758369</v>
      </c>
      <c r="H104">
        <v>17197493558</v>
      </c>
      <c r="I104">
        <v>17645279765</v>
      </c>
      <c r="J104">
        <v>19099019300</v>
      </c>
      <c r="K104">
        <v>19629211116</v>
      </c>
      <c r="L104">
        <v>21697642366</v>
      </c>
      <c r="M104">
        <v>21422449941</v>
      </c>
      <c r="N104">
        <v>20140633261</v>
      </c>
      <c r="O104">
        <v>17288963767</v>
      </c>
      <c r="P104">
        <v>742</v>
      </c>
      <c r="Q104" t="s">
        <v>254</v>
      </c>
    </row>
    <row r="105" spans="1:17" x14ac:dyDescent="0.3">
      <c r="A105" t="s">
        <v>17</v>
      </c>
      <c r="B105" t="str">
        <f>"601727"</f>
        <v>601727</v>
      </c>
      <c r="C105" t="s">
        <v>255</v>
      </c>
      <c r="D105" t="s">
        <v>256</v>
      </c>
      <c r="E105">
        <v>293629338000</v>
      </c>
      <c r="F105">
        <v>312910482000</v>
      </c>
      <c r="G105">
        <v>278427719000</v>
      </c>
      <c r="H105">
        <v>245089787000</v>
      </c>
      <c r="I105">
        <v>198874898000</v>
      </c>
      <c r="J105">
        <v>176350287000</v>
      </c>
      <c r="K105">
        <v>158234438000</v>
      </c>
      <c r="L105">
        <v>150967228000</v>
      </c>
      <c r="M105">
        <v>128532588000</v>
      </c>
      <c r="N105">
        <v>116541912000</v>
      </c>
      <c r="O105">
        <v>106446750000</v>
      </c>
      <c r="P105">
        <v>551</v>
      </c>
      <c r="Q105" t="s">
        <v>257</v>
      </c>
    </row>
    <row r="106" spans="1:17" x14ac:dyDescent="0.3">
      <c r="A106" t="s">
        <v>17</v>
      </c>
      <c r="B106" t="str">
        <f>"601816"</f>
        <v>601816</v>
      </c>
      <c r="C106" t="s">
        <v>258</v>
      </c>
      <c r="D106" t="s">
        <v>259</v>
      </c>
      <c r="E106">
        <v>293518357091</v>
      </c>
      <c r="F106">
        <v>300085964695</v>
      </c>
      <c r="G106">
        <v>313127819430</v>
      </c>
      <c r="P106">
        <v>977</v>
      </c>
      <c r="Q106" t="s">
        <v>260</v>
      </c>
    </row>
    <row r="107" spans="1:17" x14ac:dyDescent="0.3">
      <c r="A107" t="s">
        <v>17</v>
      </c>
      <c r="B107" t="str">
        <f>"601111"</f>
        <v>601111</v>
      </c>
      <c r="C107" t="s">
        <v>261</v>
      </c>
      <c r="D107" t="s">
        <v>243</v>
      </c>
      <c r="E107">
        <v>293138034000</v>
      </c>
      <c r="F107">
        <v>288384073000</v>
      </c>
      <c r="G107">
        <v>293524188000</v>
      </c>
      <c r="H107">
        <v>281178118000</v>
      </c>
      <c r="I107">
        <v>234620919000</v>
      </c>
      <c r="J107">
        <v>233352304000</v>
      </c>
      <c r="K107">
        <v>219221265000</v>
      </c>
      <c r="L107">
        <v>210693979000</v>
      </c>
      <c r="M107">
        <v>205636613000</v>
      </c>
      <c r="N107">
        <v>193456723000</v>
      </c>
      <c r="O107">
        <v>172406090000</v>
      </c>
      <c r="P107">
        <v>1106</v>
      </c>
      <c r="Q107" t="s">
        <v>262</v>
      </c>
    </row>
    <row r="108" spans="1:17" x14ac:dyDescent="0.3">
      <c r="A108" t="s">
        <v>17</v>
      </c>
      <c r="B108" t="str">
        <f>"601991"</f>
        <v>601991</v>
      </c>
      <c r="C108" t="s">
        <v>263</v>
      </c>
      <c r="D108" t="s">
        <v>171</v>
      </c>
      <c r="E108">
        <v>291668995000</v>
      </c>
      <c r="F108">
        <v>278877162000</v>
      </c>
      <c r="G108">
        <v>282066894000</v>
      </c>
      <c r="H108">
        <v>282964918000</v>
      </c>
      <c r="I108">
        <v>251493998000</v>
      </c>
      <c r="J108">
        <v>232038778000</v>
      </c>
      <c r="K108">
        <v>301158262000</v>
      </c>
      <c r="L108">
        <v>303559044000</v>
      </c>
      <c r="M108">
        <v>295002469000</v>
      </c>
      <c r="N108">
        <v>280650707000</v>
      </c>
      <c r="O108">
        <v>256559074000</v>
      </c>
      <c r="P108">
        <v>283</v>
      </c>
      <c r="Q108" t="s">
        <v>264</v>
      </c>
    </row>
    <row r="109" spans="1:17" x14ac:dyDescent="0.3">
      <c r="A109" t="s">
        <v>47</v>
      </c>
      <c r="B109" t="str">
        <f>"002146"</f>
        <v>002146</v>
      </c>
      <c r="C109" t="s">
        <v>265</v>
      </c>
      <c r="D109" t="s">
        <v>76</v>
      </c>
      <c r="E109">
        <v>290846809343</v>
      </c>
      <c r="F109">
        <v>294303835998</v>
      </c>
      <c r="G109">
        <v>254562098772</v>
      </c>
      <c r="H109">
        <v>229427987899</v>
      </c>
      <c r="I109">
        <v>197722436702</v>
      </c>
      <c r="J109">
        <v>156730431854</v>
      </c>
      <c r="K109">
        <v>111593872701</v>
      </c>
      <c r="L109">
        <v>82454583553</v>
      </c>
      <c r="M109">
        <v>63910536567</v>
      </c>
      <c r="N109">
        <v>43327824121</v>
      </c>
      <c r="O109">
        <v>29093248392</v>
      </c>
      <c r="P109">
        <v>12588</v>
      </c>
      <c r="Q109" t="s">
        <v>266</v>
      </c>
    </row>
    <row r="110" spans="1:17" x14ac:dyDescent="0.3">
      <c r="A110" t="s">
        <v>17</v>
      </c>
      <c r="B110" t="str">
        <f>"600188"</f>
        <v>600188</v>
      </c>
      <c r="C110" t="s">
        <v>267</v>
      </c>
      <c r="D110" t="s">
        <v>141</v>
      </c>
      <c r="E110">
        <v>288065098000</v>
      </c>
      <c r="F110">
        <v>257673487000</v>
      </c>
      <c r="G110">
        <v>216887452000</v>
      </c>
      <c r="H110">
        <v>197037106000</v>
      </c>
      <c r="I110">
        <v>199353174000</v>
      </c>
      <c r="J110">
        <v>151109046000</v>
      </c>
      <c r="K110">
        <v>137703423000</v>
      </c>
      <c r="L110">
        <v>126455775000</v>
      </c>
      <c r="M110">
        <v>137494181000</v>
      </c>
      <c r="N110">
        <v>127904305811</v>
      </c>
      <c r="O110">
        <v>101618230393</v>
      </c>
      <c r="P110">
        <v>1939</v>
      </c>
      <c r="Q110" t="s">
        <v>268</v>
      </c>
    </row>
    <row r="111" spans="1:17" x14ac:dyDescent="0.3">
      <c r="A111" t="s">
        <v>17</v>
      </c>
      <c r="B111" t="str">
        <f>"600115"</f>
        <v>600115</v>
      </c>
      <c r="C111" t="s">
        <v>269</v>
      </c>
      <c r="D111" t="s">
        <v>243</v>
      </c>
      <c r="E111">
        <v>283792000000</v>
      </c>
      <c r="F111">
        <v>292115000000</v>
      </c>
      <c r="G111">
        <v>286530000000</v>
      </c>
      <c r="H111">
        <v>280012000000</v>
      </c>
      <c r="I111">
        <v>227472000000</v>
      </c>
      <c r="J111">
        <v>209980000000</v>
      </c>
      <c r="K111">
        <v>189648000000</v>
      </c>
      <c r="L111">
        <v>169531000000</v>
      </c>
      <c r="M111">
        <v>143521000000</v>
      </c>
      <c r="N111">
        <v>128617887000</v>
      </c>
      <c r="O111">
        <v>114579341000</v>
      </c>
      <c r="P111">
        <v>690</v>
      </c>
      <c r="Q111" t="s">
        <v>270</v>
      </c>
    </row>
    <row r="112" spans="1:17" x14ac:dyDescent="0.3">
      <c r="A112" t="s">
        <v>17</v>
      </c>
      <c r="B112" t="str">
        <f>"601992"</f>
        <v>601992</v>
      </c>
      <c r="C112" t="s">
        <v>271</v>
      </c>
      <c r="D112" t="s">
        <v>253</v>
      </c>
      <c r="E112">
        <v>282574616083</v>
      </c>
      <c r="F112">
        <v>290493610923</v>
      </c>
      <c r="G112">
        <v>284019853891</v>
      </c>
      <c r="H112">
        <v>277082599699</v>
      </c>
      <c r="I112">
        <v>235304616675</v>
      </c>
      <c r="J112">
        <v>209604001728</v>
      </c>
      <c r="K112">
        <v>132871799417</v>
      </c>
      <c r="L112">
        <v>115001122697</v>
      </c>
      <c r="M112">
        <v>102792645442</v>
      </c>
      <c r="N112">
        <v>85783656047</v>
      </c>
      <c r="O112">
        <v>78330242387</v>
      </c>
      <c r="P112">
        <v>368</v>
      </c>
      <c r="Q112" t="s">
        <v>272</v>
      </c>
    </row>
    <row r="113" spans="1:17" x14ac:dyDescent="0.3">
      <c r="A113" t="s">
        <v>47</v>
      </c>
      <c r="B113" t="str">
        <f>"000338"</f>
        <v>000338</v>
      </c>
      <c r="C113" t="s">
        <v>273</v>
      </c>
      <c r="D113" t="s">
        <v>274</v>
      </c>
      <c r="E113">
        <v>277691542369</v>
      </c>
      <c r="F113">
        <v>283538720317</v>
      </c>
      <c r="G113">
        <v>234892828095</v>
      </c>
      <c r="H113">
        <v>216753622254</v>
      </c>
      <c r="I113">
        <v>196235109860</v>
      </c>
      <c r="J113">
        <v>174771124207</v>
      </c>
      <c r="K113">
        <v>119739666132</v>
      </c>
      <c r="L113">
        <v>114355030189</v>
      </c>
      <c r="M113">
        <v>85425711361</v>
      </c>
      <c r="N113">
        <v>71306316020</v>
      </c>
      <c r="O113">
        <v>62573965918</v>
      </c>
      <c r="P113">
        <v>3423</v>
      </c>
      <c r="Q113" t="s">
        <v>275</v>
      </c>
    </row>
    <row r="114" spans="1:17" x14ac:dyDescent="0.3">
      <c r="A114" t="s">
        <v>17</v>
      </c>
      <c r="B114" t="str">
        <f>"600061"</f>
        <v>600061</v>
      </c>
      <c r="C114" t="s">
        <v>276</v>
      </c>
      <c r="D114" t="s">
        <v>109</v>
      </c>
      <c r="E114">
        <v>273439418744</v>
      </c>
      <c r="F114">
        <v>236629506229</v>
      </c>
      <c r="G114">
        <v>199292467723</v>
      </c>
      <c r="H114">
        <v>181973157843</v>
      </c>
      <c r="I114">
        <v>162797216828</v>
      </c>
      <c r="J114">
        <v>144462523578</v>
      </c>
      <c r="K114">
        <v>128182204793</v>
      </c>
      <c r="L114">
        <v>126066304488</v>
      </c>
      <c r="M114">
        <v>2102791405</v>
      </c>
      <c r="N114">
        <v>1776248234</v>
      </c>
      <c r="O114">
        <v>1525259344</v>
      </c>
      <c r="P114">
        <v>1304</v>
      </c>
      <c r="Q114" t="s">
        <v>277</v>
      </c>
    </row>
    <row r="115" spans="1:17" x14ac:dyDescent="0.3">
      <c r="A115" t="s">
        <v>17</v>
      </c>
      <c r="B115" t="str">
        <f>"601128"</f>
        <v>601128</v>
      </c>
      <c r="C115" t="s">
        <v>278</v>
      </c>
      <c r="D115" t="s">
        <v>102</v>
      </c>
      <c r="E115">
        <v>268697615000</v>
      </c>
      <c r="F115">
        <v>229453457000</v>
      </c>
      <c r="G115">
        <v>194176205000</v>
      </c>
      <c r="H115">
        <v>170632488000</v>
      </c>
      <c r="I115">
        <v>152105525000</v>
      </c>
      <c r="J115">
        <v>137785842000</v>
      </c>
      <c r="P115">
        <v>940</v>
      </c>
      <c r="Q115" t="s">
        <v>279</v>
      </c>
    </row>
    <row r="116" spans="1:17" x14ac:dyDescent="0.3">
      <c r="A116" t="s">
        <v>47</v>
      </c>
      <c r="B116" t="str">
        <f>"000627"</f>
        <v>000627</v>
      </c>
      <c r="C116" t="s">
        <v>280</v>
      </c>
      <c r="D116" t="s">
        <v>32</v>
      </c>
      <c r="E116">
        <v>268599951368</v>
      </c>
      <c r="F116">
        <v>249213169474</v>
      </c>
      <c r="G116">
        <v>216963168014</v>
      </c>
      <c r="H116">
        <v>185357175534</v>
      </c>
      <c r="I116">
        <v>164804543439</v>
      </c>
      <c r="J116">
        <v>126987318761</v>
      </c>
      <c r="K116">
        <v>111198301130</v>
      </c>
      <c r="L116">
        <v>2136853843</v>
      </c>
      <c r="M116">
        <v>2384937464</v>
      </c>
      <c r="N116">
        <v>2062818101</v>
      </c>
      <c r="O116">
        <v>1988338623</v>
      </c>
      <c r="P116">
        <v>288</v>
      </c>
      <c r="Q116" t="s">
        <v>281</v>
      </c>
    </row>
    <row r="117" spans="1:17" x14ac:dyDescent="0.3">
      <c r="A117" t="s">
        <v>17</v>
      </c>
      <c r="B117" t="str">
        <f>"601138"</f>
        <v>601138</v>
      </c>
      <c r="C117" t="s">
        <v>282</v>
      </c>
      <c r="D117" t="s">
        <v>283</v>
      </c>
      <c r="E117">
        <v>267627597000</v>
      </c>
      <c r="F117">
        <v>223796573000</v>
      </c>
      <c r="G117">
        <v>194204632000</v>
      </c>
      <c r="H117">
        <v>169424805000</v>
      </c>
      <c r="I117">
        <v>134524967000</v>
      </c>
      <c r="P117">
        <v>1318</v>
      </c>
      <c r="Q117" t="s">
        <v>284</v>
      </c>
    </row>
    <row r="118" spans="1:17" x14ac:dyDescent="0.3">
      <c r="A118" t="s">
        <v>17</v>
      </c>
      <c r="B118" t="str">
        <f>"600519"</f>
        <v>600519</v>
      </c>
      <c r="C118" t="s">
        <v>285</v>
      </c>
      <c r="D118" t="s">
        <v>286</v>
      </c>
      <c r="E118">
        <v>251301891385</v>
      </c>
      <c r="F118">
        <v>215218185985</v>
      </c>
      <c r="G118">
        <v>181624733882</v>
      </c>
      <c r="H118">
        <v>159888176447</v>
      </c>
      <c r="I118">
        <v>134404941948</v>
      </c>
      <c r="J118">
        <v>118978719020</v>
      </c>
      <c r="K118">
        <v>90690449522</v>
      </c>
      <c r="L118">
        <v>68769020638</v>
      </c>
      <c r="M118">
        <v>56029625704</v>
      </c>
      <c r="N118">
        <v>45902219986</v>
      </c>
      <c r="O118">
        <v>36407584736</v>
      </c>
      <c r="P118">
        <v>71978</v>
      </c>
      <c r="Q118" t="s">
        <v>287</v>
      </c>
    </row>
    <row r="119" spans="1:17" x14ac:dyDescent="0.3">
      <c r="A119" t="s">
        <v>17</v>
      </c>
      <c r="B119" t="str">
        <f>"601788"</f>
        <v>601788</v>
      </c>
      <c r="C119" t="s">
        <v>288</v>
      </c>
      <c r="D119" t="s">
        <v>99</v>
      </c>
      <c r="E119">
        <v>249185088957</v>
      </c>
      <c r="F119">
        <v>236593475880</v>
      </c>
      <c r="G119">
        <v>216269713092</v>
      </c>
      <c r="H119">
        <v>214477823391</v>
      </c>
      <c r="I119">
        <v>204133181332</v>
      </c>
      <c r="J119">
        <v>177990527632</v>
      </c>
      <c r="K119">
        <v>191438197097</v>
      </c>
      <c r="L119">
        <v>158366337887</v>
      </c>
      <c r="M119">
        <v>60388740794</v>
      </c>
      <c r="N119">
        <v>57318731276</v>
      </c>
      <c r="O119">
        <v>51237167089</v>
      </c>
      <c r="P119">
        <v>1149</v>
      </c>
      <c r="Q119" t="s">
        <v>289</v>
      </c>
    </row>
    <row r="120" spans="1:17" x14ac:dyDescent="0.3">
      <c r="A120" t="s">
        <v>47</v>
      </c>
      <c r="B120" t="str">
        <f>"000709"</f>
        <v>000709</v>
      </c>
      <c r="C120" t="s">
        <v>290</v>
      </c>
      <c r="D120" t="s">
        <v>210</v>
      </c>
      <c r="E120">
        <v>248675650731</v>
      </c>
      <c r="F120">
        <v>243106217518</v>
      </c>
      <c r="G120">
        <v>212967018892</v>
      </c>
      <c r="H120">
        <v>208164532086</v>
      </c>
      <c r="I120">
        <v>192252464842</v>
      </c>
      <c r="J120">
        <v>187839056855</v>
      </c>
      <c r="K120">
        <v>172577825547</v>
      </c>
      <c r="L120">
        <v>173532215492</v>
      </c>
      <c r="M120">
        <v>163995729514</v>
      </c>
      <c r="N120">
        <v>155878420491</v>
      </c>
      <c r="O120">
        <v>143784439337</v>
      </c>
      <c r="P120">
        <v>524</v>
      </c>
      <c r="Q120" t="s">
        <v>291</v>
      </c>
    </row>
    <row r="121" spans="1:17" x14ac:dyDescent="0.3">
      <c r="A121" t="s">
        <v>47</v>
      </c>
      <c r="B121" t="str">
        <f>"000415"</f>
        <v>000415</v>
      </c>
      <c r="C121" t="s">
        <v>292</v>
      </c>
      <c r="D121" t="s">
        <v>293</v>
      </c>
      <c r="E121">
        <v>243994041000</v>
      </c>
      <c r="F121">
        <v>256016526000</v>
      </c>
      <c r="G121">
        <v>295863570000</v>
      </c>
      <c r="H121">
        <v>255271292000</v>
      </c>
      <c r="I121">
        <v>291766459000</v>
      </c>
      <c r="J121">
        <v>285168019000</v>
      </c>
      <c r="K121">
        <v>177356207000</v>
      </c>
      <c r="L121">
        <v>85976992000</v>
      </c>
      <c r="M121">
        <v>60415374000</v>
      </c>
      <c r="N121">
        <v>30841736632</v>
      </c>
      <c r="O121">
        <v>18624418781</v>
      </c>
      <c r="P121">
        <v>256</v>
      </c>
      <c r="Q121" t="s">
        <v>294</v>
      </c>
    </row>
    <row r="122" spans="1:17" x14ac:dyDescent="0.3">
      <c r="A122" t="s">
        <v>17</v>
      </c>
      <c r="B122" t="str">
        <f>"600886"</f>
        <v>600886</v>
      </c>
      <c r="C122" t="s">
        <v>295</v>
      </c>
      <c r="D122" t="s">
        <v>238</v>
      </c>
      <c r="E122">
        <v>242782345568</v>
      </c>
      <c r="F122">
        <v>229770582686</v>
      </c>
      <c r="G122">
        <v>220298282178</v>
      </c>
      <c r="H122">
        <v>221038797142</v>
      </c>
      <c r="I122">
        <v>212837527068</v>
      </c>
      <c r="J122">
        <v>204748091280</v>
      </c>
      <c r="K122">
        <v>187389468553</v>
      </c>
      <c r="L122">
        <v>174105149153</v>
      </c>
      <c r="M122">
        <v>163410776723</v>
      </c>
      <c r="N122">
        <v>151052376212</v>
      </c>
      <c r="O122">
        <v>123369453516</v>
      </c>
      <c r="P122">
        <v>2023</v>
      </c>
      <c r="Q122" t="s">
        <v>296</v>
      </c>
    </row>
    <row r="123" spans="1:17" x14ac:dyDescent="0.3">
      <c r="A123" t="s">
        <v>17</v>
      </c>
      <c r="B123" t="str">
        <f>"600905"</f>
        <v>600905</v>
      </c>
      <c r="C123" t="s">
        <v>297</v>
      </c>
      <c r="D123" t="s">
        <v>298</v>
      </c>
      <c r="E123">
        <v>240315752306</v>
      </c>
      <c r="F123">
        <v>155689307397</v>
      </c>
      <c r="G123">
        <v>103681313129</v>
      </c>
      <c r="P123">
        <v>657</v>
      </c>
      <c r="Q123" t="s">
        <v>299</v>
      </c>
    </row>
    <row r="124" spans="1:17" x14ac:dyDescent="0.3">
      <c r="A124" t="s">
        <v>17</v>
      </c>
      <c r="B124" t="str">
        <f>"601899"</f>
        <v>601899</v>
      </c>
      <c r="C124" t="s">
        <v>300</v>
      </c>
      <c r="D124" t="s">
        <v>301</v>
      </c>
      <c r="E124">
        <v>233574764907</v>
      </c>
      <c r="F124">
        <v>190377344207</v>
      </c>
      <c r="G124">
        <v>139677647334</v>
      </c>
      <c r="H124">
        <v>113134220876</v>
      </c>
      <c r="I124">
        <v>90965293709</v>
      </c>
      <c r="J124">
        <v>91786876738</v>
      </c>
      <c r="K124">
        <v>92582321470</v>
      </c>
      <c r="L124">
        <v>75156246271</v>
      </c>
      <c r="M124">
        <v>68723358934</v>
      </c>
      <c r="N124">
        <v>71359541488</v>
      </c>
      <c r="O124">
        <v>56550499392</v>
      </c>
      <c r="P124">
        <v>2402</v>
      </c>
      <c r="Q124" t="s">
        <v>302</v>
      </c>
    </row>
    <row r="125" spans="1:17" x14ac:dyDescent="0.3">
      <c r="A125" t="s">
        <v>17</v>
      </c>
      <c r="B125" t="str">
        <f>"600585"</f>
        <v>600585</v>
      </c>
      <c r="C125" t="s">
        <v>303</v>
      </c>
      <c r="D125" t="s">
        <v>253</v>
      </c>
      <c r="E125">
        <v>230996246438</v>
      </c>
      <c r="F125">
        <v>203183577389</v>
      </c>
      <c r="G125">
        <v>179662465142</v>
      </c>
      <c r="H125">
        <v>152329040947</v>
      </c>
      <c r="I125">
        <v>124401967603</v>
      </c>
      <c r="J125">
        <v>111311180718</v>
      </c>
      <c r="K125">
        <v>107750616882</v>
      </c>
      <c r="L125">
        <v>104021962358</v>
      </c>
      <c r="M125">
        <v>94483409171</v>
      </c>
      <c r="N125">
        <v>86797081183</v>
      </c>
      <c r="O125">
        <v>81842027942</v>
      </c>
      <c r="P125">
        <v>8410</v>
      </c>
      <c r="Q125" t="s">
        <v>304</v>
      </c>
    </row>
    <row r="126" spans="1:17" x14ac:dyDescent="0.3">
      <c r="A126" t="s">
        <v>17</v>
      </c>
      <c r="B126" t="str">
        <f>"600248"</f>
        <v>600248</v>
      </c>
      <c r="C126" t="s">
        <v>305</v>
      </c>
      <c r="D126" t="s">
        <v>65</v>
      </c>
      <c r="E126">
        <v>230880281644</v>
      </c>
      <c r="F126">
        <v>189329258768</v>
      </c>
      <c r="G126">
        <v>7831850577</v>
      </c>
      <c r="H126">
        <v>8099742418</v>
      </c>
      <c r="I126">
        <v>5043323718</v>
      </c>
      <c r="J126">
        <v>5112306127</v>
      </c>
      <c r="K126">
        <v>5018763645</v>
      </c>
      <c r="L126">
        <v>4579308735</v>
      </c>
      <c r="M126">
        <v>4164175663</v>
      </c>
      <c r="N126">
        <v>3961820065</v>
      </c>
      <c r="O126">
        <v>3220917184</v>
      </c>
      <c r="P126">
        <v>143</v>
      </c>
      <c r="Q126" t="s">
        <v>306</v>
      </c>
    </row>
    <row r="127" spans="1:17" x14ac:dyDescent="0.3">
      <c r="A127" t="s">
        <v>17</v>
      </c>
      <c r="B127" t="str">
        <f>"601377"</f>
        <v>601377</v>
      </c>
      <c r="C127" t="s">
        <v>307</v>
      </c>
      <c r="D127" t="s">
        <v>99</v>
      </c>
      <c r="E127">
        <v>228026639390</v>
      </c>
      <c r="F127">
        <v>194032588033</v>
      </c>
      <c r="G127">
        <v>173426023716</v>
      </c>
      <c r="H127">
        <v>162999079754</v>
      </c>
      <c r="I127">
        <v>165015192309</v>
      </c>
      <c r="J127">
        <v>135784154150</v>
      </c>
      <c r="K127">
        <v>115810817432</v>
      </c>
      <c r="L127">
        <v>93795300783</v>
      </c>
      <c r="M127">
        <v>41663125653</v>
      </c>
      <c r="N127">
        <v>26498946208</v>
      </c>
      <c r="O127">
        <v>22961220127</v>
      </c>
      <c r="P127">
        <v>1731</v>
      </c>
      <c r="Q127" t="s">
        <v>308</v>
      </c>
    </row>
    <row r="128" spans="1:17" x14ac:dyDescent="0.3">
      <c r="A128" t="s">
        <v>17</v>
      </c>
      <c r="B128" t="str">
        <f>"601860"</f>
        <v>601860</v>
      </c>
      <c r="C128" t="s">
        <v>309</v>
      </c>
      <c r="D128" t="s">
        <v>102</v>
      </c>
      <c r="E128">
        <v>227999694000</v>
      </c>
      <c r="F128">
        <v>228384658000</v>
      </c>
      <c r="G128">
        <v>205430401000</v>
      </c>
      <c r="H128">
        <v>209427384000</v>
      </c>
      <c r="I128">
        <v>189539913500</v>
      </c>
      <c r="J128">
        <v>160832829700</v>
      </c>
      <c r="K128">
        <v>116462364581</v>
      </c>
      <c r="P128">
        <v>332</v>
      </c>
      <c r="Q128" t="s">
        <v>310</v>
      </c>
    </row>
    <row r="129" spans="1:17" x14ac:dyDescent="0.3">
      <c r="A129" t="s">
        <v>17</v>
      </c>
      <c r="B129" t="str">
        <f>"600346"</f>
        <v>600346</v>
      </c>
      <c r="C129" t="s">
        <v>311</v>
      </c>
      <c r="D129" t="s">
        <v>62</v>
      </c>
      <c r="E129">
        <v>226097971299</v>
      </c>
      <c r="F129">
        <v>201300047799</v>
      </c>
      <c r="G129">
        <v>197209131007</v>
      </c>
      <c r="H129">
        <v>129627856092</v>
      </c>
      <c r="I129">
        <v>74003714041</v>
      </c>
      <c r="J129">
        <v>20235385210</v>
      </c>
      <c r="K129">
        <v>17018299727</v>
      </c>
      <c r="L129">
        <v>3033812748</v>
      </c>
      <c r="M129">
        <v>3040547997</v>
      </c>
      <c r="N129">
        <v>2758803168</v>
      </c>
      <c r="O129">
        <v>2880273638</v>
      </c>
      <c r="P129">
        <v>1652</v>
      </c>
      <c r="Q129" t="s">
        <v>312</v>
      </c>
    </row>
    <row r="130" spans="1:17" x14ac:dyDescent="0.3">
      <c r="A130" t="s">
        <v>47</v>
      </c>
      <c r="B130" t="str">
        <f>"201872"</f>
        <v>201872</v>
      </c>
      <c r="C130" t="s">
        <v>313</v>
      </c>
      <c r="E130">
        <v>224702082506.53799</v>
      </c>
      <c r="F130">
        <v>196895138875.35599</v>
      </c>
      <c r="G130">
        <v>174117319810.672</v>
      </c>
      <c r="H130">
        <v>169738328769.82199</v>
      </c>
      <c r="I130">
        <v>10188145867.6455</v>
      </c>
      <c r="J130">
        <v>7732426239.4225998</v>
      </c>
      <c r="K130">
        <v>8299341429.5565004</v>
      </c>
      <c r="L130">
        <v>8713744580</v>
      </c>
      <c r="M130">
        <v>9284529743.1592007</v>
      </c>
      <c r="N130">
        <v>8831971090.9908009</v>
      </c>
      <c r="O130">
        <v>8191270901.8979998</v>
      </c>
      <c r="P130">
        <v>90</v>
      </c>
      <c r="Q130" t="s">
        <v>314</v>
      </c>
    </row>
    <row r="131" spans="1:17" x14ac:dyDescent="0.3">
      <c r="A131" t="s">
        <v>47</v>
      </c>
      <c r="B131" t="str">
        <f>"002244"</f>
        <v>002244</v>
      </c>
      <c r="C131" t="s">
        <v>315</v>
      </c>
      <c r="D131" t="s">
        <v>76</v>
      </c>
      <c r="E131">
        <v>224696217558</v>
      </c>
      <c r="F131">
        <v>182225731494</v>
      </c>
      <c r="G131">
        <v>141011282154</v>
      </c>
      <c r="H131">
        <v>104233957308</v>
      </c>
      <c r="I131">
        <v>67332818168</v>
      </c>
      <c r="J131">
        <v>50949411688</v>
      </c>
      <c r="K131">
        <v>49241341020</v>
      </c>
      <c r="L131">
        <v>38179157163</v>
      </c>
      <c r="M131">
        <v>39412378062</v>
      </c>
      <c r="N131">
        <v>40656092759</v>
      </c>
      <c r="O131">
        <v>34627966956</v>
      </c>
      <c r="P131">
        <v>403</v>
      </c>
      <c r="Q131" t="s">
        <v>316</v>
      </c>
    </row>
    <row r="132" spans="1:17" x14ac:dyDescent="0.3">
      <c r="A132" t="s">
        <v>47</v>
      </c>
      <c r="B132" t="str">
        <f>"000732"</f>
        <v>000732</v>
      </c>
      <c r="C132" t="s">
        <v>317</v>
      </c>
      <c r="D132" t="s">
        <v>76</v>
      </c>
      <c r="E132">
        <v>221344699321</v>
      </c>
      <c r="F132">
        <v>219420426912</v>
      </c>
      <c r="G132">
        <v>223425414741</v>
      </c>
      <c r="H132">
        <v>247278025055</v>
      </c>
      <c r="I132">
        <v>227166290940</v>
      </c>
      <c r="J132">
        <v>146136145634</v>
      </c>
      <c r="K132">
        <v>86143903311</v>
      </c>
      <c r="L132">
        <v>66623993876</v>
      </c>
      <c r="M132">
        <v>44164754041</v>
      </c>
      <c r="N132">
        <v>14777432011</v>
      </c>
      <c r="O132">
        <v>8576049083</v>
      </c>
      <c r="P132">
        <v>438</v>
      </c>
      <c r="Q132" t="s">
        <v>318</v>
      </c>
    </row>
    <row r="133" spans="1:17" x14ac:dyDescent="0.3">
      <c r="A133" t="s">
        <v>47</v>
      </c>
      <c r="B133" t="str">
        <f>"300999"</f>
        <v>300999</v>
      </c>
      <c r="C133" t="s">
        <v>319</v>
      </c>
      <c r="D133" t="s">
        <v>320</v>
      </c>
      <c r="E133">
        <v>217582756000</v>
      </c>
      <c r="F133">
        <v>179445142000</v>
      </c>
      <c r="H133">
        <v>169763900000</v>
      </c>
      <c r="P133">
        <v>1181</v>
      </c>
      <c r="Q133" t="s">
        <v>321</v>
      </c>
    </row>
    <row r="134" spans="1:17" x14ac:dyDescent="0.3">
      <c r="A134" t="s">
        <v>17</v>
      </c>
      <c r="B134" t="str">
        <f>"600690"</f>
        <v>600690</v>
      </c>
      <c r="C134" t="s">
        <v>322</v>
      </c>
      <c r="D134" t="s">
        <v>323</v>
      </c>
      <c r="E134">
        <v>215409453493</v>
      </c>
      <c r="F134">
        <v>205542336998</v>
      </c>
      <c r="G134">
        <v>188485492970</v>
      </c>
      <c r="H134">
        <v>177444803072</v>
      </c>
      <c r="I134">
        <v>154529514068</v>
      </c>
      <c r="J134">
        <v>134978297024</v>
      </c>
      <c r="K134">
        <v>77048249627</v>
      </c>
      <c r="L134">
        <v>77446499092</v>
      </c>
      <c r="M134">
        <v>65615696663</v>
      </c>
      <c r="N134">
        <v>53895913511</v>
      </c>
      <c r="O134">
        <v>40329377926</v>
      </c>
      <c r="P134">
        <v>41086</v>
      </c>
      <c r="Q134" t="s">
        <v>324</v>
      </c>
    </row>
    <row r="135" spans="1:17" x14ac:dyDescent="0.3">
      <c r="A135" t="s">
        <v>17</v>
      </c>
      <c r="B135" t="str">
        <f>"600027"</f>
        <v>600027</v>
      </c>
      <c r="C135" t="s">
        <v>325</v>
      </c>
      <c r="D135" t="s">
        <v>171</v>
      </c>
      <c r="E135">
        <v>213892228000</v>
      </c>
      <c r="F135">
        <v>233892659000</v>
      </c>
      <c r="G135">
        <v>228954827000</v>
      </c>
      <c r="H135">
        <v>224912140000</v>
      </c>
      <c r="I135">
        <v>216098916000</v>
      </c>
      <c r="J135">
        <v>205467768000</v>
      </c>
      <c r="K135">
        <v>204899405000</v>
      </c>
      <c r="L135">
        <v>187371581000</v>
      </c>
      <c r="M135">
        <v>178497640000</v>
      </c>
      <c r="N135">
        <v>167877224000</v>
      </c>
      <c r="O135">
        <v>158839420000</v>
      </c>
      <c r="P135">
        <v>987</v>
      </c>
      <c r="Q135" t="s">
        <v>326</v>
      </c>
    </row>
    <row r="136" spans="1:17" x14ac:dyDescent="0.3">
      <c r="A136" t="s">
        <v>47</v>
      </c>
      <c r="B136" t="str">
        <f>"000031"</f>
        <v>000031</v>
      </c>
      <c r="C136" t="s">
        <v>327</v>
      </c>
      <c r="D136" t="s">
        <v>117</v>
      </c>
      <c r="E136">
        <v>210493999291</v>
      </c>
      <c r="F136">
        <v>204596959555</v>
      </c>
      <c r="G136">
        <v>192228931588</v>
      </c>
      <c r="H136">
        <v>167691086173</v>
      </c>
      <c r="I136">
        <v>80612902997</v>
      </c>
      <c r="J136">
        <v>63331819867</v>
      </c>
      <c r="K136">
        <v>57641930172</v>
      </c>
      <c r="L136">
        <v>46515876709</v>
      </c>
      <c r="M136">
        <v>40864372171</v>
      </c>
      <c r="N136">
        <v>35633437159</v>
      </c>
      <c r="O136">
        <v>33214983274</v>
      </c>
      <c r="P136">
        <v>327</v>
      </c>
      <c r="Q136" t="s">
        <v>328</v>
      </c>
    </row>
    <row r="137" spans="1:17" x14ac:dyDescent="0.3">
      <c r="A137" t="s">
        <v>47</v>
      </c>
      <c r="B137" t="str">
        <f>"001289"</f>
        <v>001289</v>
      </c>
      <c r="C137" t="s">
        <v>329</v>
      </c>
      <c r="E137">
        <v>208762260050</v>
      </c>
      <c r="P137">
        <v>28</v>
      </c>
      <c r="Q137" t="s">
        <v>330</v>
      </c>
    </row>
    <row r="138" spans="1:17" x14ac:dyDescent="0.3">
      <c r="A138" t="s">
        <v>17</v>
      </c>
      <c r="B138" t="str">
        <f>"600908"</f>
        <v>600908</v>
      </c>
      <c r="C138" t="s">
        <v>331</v>
      </c>
      <c r="D138" t="s">
        <v>102</v>
      </c>
      <c r="E138">
        <v>208083708000</v>
      </c>
      <c r="F138">
        <v>191113314000</v>
      </c>
      <c r="G138">
        <v>169776311000</v>
      </c>
      <c r="H138">
        <v>159467062000</v>
      </c>
      <c r="I138">
        <v>140282309000</v>
      </c>
      <c r="J138">
        <v>129732428000</v>
      </c>
      <c r="K138">
        <v>116456215000</v>
      </c>
      <c r="P138">
        <v>897</v>
      </c>
      <c r="Q138" t="s">
        <v>332</v>
      </c>
    </row>
    <row r="139" spans="1:17" x14ac:dyDescent="0.3">
      <c r="A139" t="s">
        <v>17</v>
      </c>
      <c r="B139" t="str">
        <f>"600309"</f>
        <v>600309</v>
      </c>
      <c r="C139" t="s">
        <v>333</v>
      </c>
      <c r="D139" t="s">
        <v>334</v>
      </c>
      <c r="E139">
        <v>207985215916</v>
      </c>
      <c r="F139">
        <v>150950578862</v>
      </c>
      <c r="G139">
        <v>107754196134</v>
      </c>
      <c r="H139">
        <v>92337626464</v>
      </c>
      <c r="I139">
        <v>66423338187</v>
      </c>
      <c r="J139">
        <v>56918093537</v>
      </c>
      <c r="K139">
        <v>49019456578</v>
      </c>
      <c r="L139">
        <v>43669161528</v>
      </c>
      <c r="M139">
        <v>34955774117</v>
      </c>
      <c r="N139">
        <v>25130213130</v>
      </c>
      <c r="O139">
        <v>18213726907</v>
      </c>
      <c r="P139">
        <v>7475</v>
      </c>
      <c r="Q139" t="s">
        <v>335</v>
      </c>
    </row>
    <row r="140" spans="1:17" x14ac:dyDescent="0.3">
      <c r="A140" t="s">
        <v>17</v>
      </c>
      <c r="B140" t="str">
        <f>"600918"</f>
        <v>600918</v>
      </c>
      <c r="C140" t="s">
        <v>336</v>
      </c>
      <c r="D140" t="s">
        <v>99</v>
      </c>
      <c r="E140">
        <v>206074756534</v>
      </c>
      <c r="F140">
        <v>181874960978</v>
      </c>
      <c r="G140">
        <v>152094748826</v>
      </c>
      <c r="H140">
        <v>156650186323</v>
      </c>
      <c r="I140">
        <v>135513140700</v>
      </c>
      <c r="K140">
        <v>132178530600</v>
      </c>
      <c r="L140">
        <v>118375116714</v>
      </c>
      <c r="P140">
        <v>568</v>
      </c>
      <c r="Q140" t="s">
        <v>337</v>
      </c>
    </row>
    <row r="141" spans="1:17" x14ac:dyDescent="0.3">
      <c r="A141" t="s">
        <v>47</v>
      </c>
      <c r="B141" t="str">
        <f>"002352"</f>
        <v>002352</v>
      </c>
      <c r="C141" t="s">
        <v>338</v>
      </c>
      <c r="D141" t="s">
        <v>339</v>
      </c>
      <c r="E141">
        <v>203259176000</v>
      </c>
      <c r="F141">
        <v>124062632383</v>
      </c>
      <c r="G141">
        <v>95475242094</v>
      </c>
      <c r="H141">
        <v>78094768069</v>
      </c>
      <c r="I141">
        <v>58745769222</v>
      </c>
      <c r="J141">
        <v>43303626025</v>
      </c>
      <c r="K141">
        <v>829666517</v>
      </c>
      <c r="L141">
        <v>934194470</v>
      </c>
      <c r="M141">
        <v>1156049135</v>
      </c>
      <c r="N141">
        <v>1024109442</v>
      </c>
      <c r="O141">
        <v>962400014</v>
      </c>
      <c r="P141">
        <v>3728</v>
      </c>
      <c r="Q141" t="s">
        <v>340</v>
      </c>
    </row>
    <row r="142" spans="1:17" x14ac:dyDescent="0.3">
      <c r="A142" t="s">
        <v>47</v>
      </c>
      <c r="B142" t="str">
        <f>"300059"</f>
        <v>300059</v>
      </c>
      <c r="C142" t="s">
        <v>341</v>
      </c>
      <c r="D142" t="s">
        <v>99</v>
      </c>
      <c r="E142">
        <v>202886955470</v>
      </c>
      <c r="F142">
        <v>132202654934</v>
      </c>
      <c r="G142">
        <v>76169825253</v>
      </c>
      <c r="H142">
        <v>63804769653</v>
      </c>
      <c r="I142">
        <v>45139218063</v>
      </c>
      <c r="J142">
        <v>31689928225</v>
      </c>
      <c r="K142">
        <v>22780589950</v>
      </c>
      <c r="L142">
        <v>8549974042</v>
      </c>
      <c r="M142">
        <v>2666342104</v>
      </c>
      <c r="N142">
        <v>1810987072</v>
      </c>
      <c r="O142">
        <v>1828406742</v>
      </c>
      <c r="P142">
        <v>5893</v>
      </c>
      <c r="Q142" t="s">
        <v>342</v>
      </c>
    </row>
    <row r="143" spans="1:17" x14ac:dyDescent="0.3">
      <c r="A143" t="s">
        <v>17</v>
      </c>
      <c r="B143" t="str">
        <f>"601006"</f>
        <v>601006</v>
      </c>
      <c r="C143" t="s">
        <v>343</v>
      </c>
      <c r="D143" t="s">
        <v>259</v>
      </c>
      <c r="E143">
        <v>200384375982</v>
      </c>
      <c r="F143">
        <v>194446937403</v>
      </c>
      <c r="G143">
        <v>148806683802</v>
      </c>
      <c r="H143">
        <v>150332038770</v>
      </c>
      <c r="I143">
        <v>131526717699</v>
      </c>
      <c r="J143">
        <v>127705640240</v>
      </c>
      <c r="K143">
        <v>113251618676</v>
      </c>
      <c r="L143">
        <v>109562639449</v>
      </c>
      <c r="M143">
        <v>106579671772</v>
      </c>
      <c r="N143">
        <v>102274620821</v>
      </c>
      <c r="O143">
        <v>95411269256</v>
      </c>
      <c r="P143">
        <v>4202</v>
      </c>
      <c r="Q143" t="s">
        <v>344</v>
      </c>
    </row>
    <row r="144" spans="1:17" x14ac:dyDescent="0.3">
      <c r="A144" t="s">
        <v>17</v>
      </c>
      <c r="B144" t="str">
        <f>"601600"</f>
        <v>601600</v>
      </c>
      <c r="C144" t="s">
        <v>345</v>
      </c>
      <c r="D144" t="s">
        <v>346</v>
      </c>
      <c r="E144">
        <v>196623258000</v>
      </c>
      <c r="F144">
        <v>196293187000</v>
      </c>
      <c r="G144">
        <v>207859030000</v>
      </c>
      <c r="H144">
        <v>211581796000</v>
      </c>
      <c r="I144">
        <v>202570201000</v>
      </c>
      <c r="J144">
        <v>192474959000</v>
      </c>
      <c r="K144">
        <v>186865149000</v>
      </c>
      <c r="L144">
        <v>195060202000</v>
      </c>
      <c r="M144">
        <v>207744876000</v>
      </c>
      <c r="N144">
        <v>216015714000</v>
      </c>
      <c r="O144">
        <v>167623008000</v>
      </c>
      <c r="P144">
        <v>744</v>
      </c>
      <c r="Q144" t="s">
        <v>347</v>
      </c>
    </row>
    <row r="145" spans="1:17" x14ac:dyDescent="0.3">
      <c r="A145" t="s">
        <v>17</v>
      </c>
      <c r="B145" t="str">
        <f>"600362"</f>
        <v>600362</v>
      </c>
      <c r="C145" t="s">
        <v>348</v>
      </c>
      <c r="D145" t="s">
        <v>301</v>
      </c>
      <c r="E145">
        <v>189380147369</v>
      </c>
      <c r="F145">
        <v>153016773384</v>
      </c>
      <c r="G145">
        <v>134170367846</v>
      </c>
      <c r="H145">
        <v>108230801740</v>
      </c>
      <c r="I145">
        <v>94146522245</v>
      </c>
      <c r="J145">
        <v>89740106693</v>
      </c>
      <c r="K145">
        <v>92896870656</v>
      </c>
      <c r="L145">
        <v>94735171145</v>
      </c>
      <c r="M145">
        <v>90986293320</v>
      </c>
      <c r="N145">
        <v>80305166961</v>
      </c>
      <c r="O145">
        <v>75182045716</v>
      </c>
      <c r="P145">
        <v>911</v>
      </c>
      <c r="Q145" t="s">
        <v>349</v>
      </c>
    </row>
    <row r="146" spans="1:17" x14ac:dyDescent="0.3">
      <c r="A146" t="s">
        <v>17</v>
      </c>
      <c r="B146" t="str">
        <f>"601989"</f>
        <v>601989</v>
      </c>
      <c r="C146" t="s">
        <v>350</v>
      </c>
      <c r="D146" t="s">
        <v>351</v>
      </c>
      <c r="E146">
        <v>184190776995</v>
      </c>
      <c r="F146">
        <v>176818236055</v>
      </c>
      <c r="G146">
        <v>185127417974</v>
      </c>
      <c r="H146">
        <v>174802459591</v>
      </c>
      <c r="I146">
        <v>201191937654</v>
      </c>
      <c r="J146">
        <v>188373816994</v>
      </c>
      <c r="K146">
        <v>189081020056</v>
      </c>
      <c r="L146">
        <v>206157286933</v>
      </c>
      <c r="M146">
        <v>199234331180</v>
      </c>
      <c r="N146">
        <v>177886588701</v>
      </c>
      <c r="O146">
        <v>176073090511</v>
      </c>
      <c r="P146">
        <v>669</v>
      </c>
      <c r="Q146" t="s">
        <v>352</v>
      </c>
    </row>
    <row r="147" spans="1:17" x14ac:dyDescent="0.3">
      <c r="A147" t="s">
        <v>47</v>
      </c>
      <c r="B147" t="str">
        <f>"002714"</f>
        <v>002714</v>
      </c>
      <c r="C147" t="s">
        <v>353</v>
      </c>
      <c r="D147" t="s">
        <v>354</v>
      </c>
      <c r="E147">
        <v>184033555264</v>
      </c>
      <c r="F147">
        <v>143718725941</v>
      </c>
      <c r="G147">
        <v>70973241223</v>
      </c>
      <c r="H147">
        <v>31102587758</v>
      </c>
      <c r="I147">
        <v>26588330044</v>
      </c>
      <c r="J147">
        <v>14676415098</v>
      </c>
      <c r="K147">
        <v>8005114249</v>
      </c>
      <c r="L147">
        <v>4331693631</v>
      </c>
      <c r="M147">
        <v>3691426701</v>
      </c>
      <c r="P147">
        <v>4953</v>
      </c>
      <c r="Q147" t="s">
        <v>355</v>
      </c>
    </row>
    <row r="148" spans="1:17" x14ac:dyDescent="0.3">
      <c r="A148" t="s">
        <v>47</v>
      </c>
      <c r="B148" t="str">
        <f>"001872"</f>
        <v>001872</v>
      </c>
      <c r="C148" t="s">
        <v>356</v>
      </c>
      <c r="D148" t="s">
        <v>357</v>
      </c>
      <c r="E148">
        <v>182092449357</v>
      </c>
      <c r="F148">
        <v>166226373048</v>
      </c>
      <c r="G148">
        <v>159316790018</v>
      </c>
      <c r="H148">
        <v>145187177119</v>
      </c>
      <c r="I148">
        <v>8147257791</v>
      </c>
      <c r="J148">
        <v>6853772593</v>
      </c>
      <c r="K148">
        <v>6908633505</v>
      </c>
      <c r="L148">
        <v>6970995664</v>
      </c>
      <c r="M148">
        <v>7437143338</v>
      </c>
      <c r="N148">
        <v>7066707546</v>
      </c>
      <c r="O148">
        <v>6643366506</v>
      </c>
      <c r="P148">
        <v>254</v>
      </c>
      <c r="Q148" t="s">
        <v>358</v>
      </c>
    </row>
    <row r="149" spans="1:17" x14ac:dyDescent="0.3">
      <c r="A149" t="s">
        <v>17</v>
      </c>
      <c r="B149" t="str">
        <f>"601225"</f>
        <v>601225</v>
      </c>
      <c r="C149" t="s">
        <v>359</v>
      </c>
      <c r="D149" t="s">
        <v>141</v>
      </c>
      <c r="E149">
        <v>182026510827</v>
      </c>
      <c r="F149">
        <v>152156163359</v>
      </c>
      <c r="G149">
        <v>130744314414</v>
      </c>
      <c r="H149">
        <v>119167281867</v>
      </c>
      <c r="I149">
        <v>109195544210</v>
      </c>
      <c r="J149">
        <v>99865180245</v>
      </c>
      <c r="K149">
        <v>89912324197</v>
      </c>
      <c r="L149">
        <v>93465251309</v>
      </c>
      <c r="M149">
        <v>87860989490</v>
      </c>
      <c r="P149">
        <v>2634</v>
      </c>
      <c r="Q149" t="s">
        <v>360</v>
      </c>
    </row>
    <row r="150" spans="1:17" x14ac:dyDescent="0.3">
      <c r="A150" t="s">
        <v>17</v>
      </c>
      <c r="B150" t="str">
        <f>"601607"</f>
        <v>601607</v>
      </c>
      <c r="C150" t="s">
        <v>361</v>
      </c>
      <c r="D150" t="s">
        <v>362</v>
      </c>
      <c r="E150">
        <v>182023296167</v>
      </c>
      <c r="F150">
        <v>156035001448</v>
      </c>
      <c r="G150">
        <v>141282814027</v>
      </c>
      <c r="H150">
        <v>134466003460</v>
      </c>
      <c r="I150">
        <v>114021940622</v>
      </c>
      <c r="J150">
        <v>88868767880</v>
      </c>
      <c r="K150">
        <v>77810076989</v>
      </c>
      <c r="L150">
        <v>67328196958</v>
      </c>
      <c r="M150">
        <v>58237874041</v>
      </c>
      <c r="N150">
        <v>52938336255</v>
      </c>
      <c r="O150">
        <v>49347515235</v>
      </c>
      <c r="P150">
        <v>1369</v>
      </c>
      <c r="Q150" t="s">
        <v>363</v>
      </c>
    </row>
    <row r="151" spans="1:17" x14ac:dyDescent="0.3">
      <c r="A151" t="s">
        <v>17</v>
      </c>
      <c r="B151" t="str">
        <f>"601611"</f>
        <v>601611</v>
      </c>
      <c r="C151" t="s">
        <v>364</v>
      </c>
      <c r="D151" t="s">
        <v>84</v>
      </c>
      <c r="E151">
        <v>181251364954</v>
      </c>
      <c r="F151">
        <v>157985888939</v>
      </c>
      <c r="G151">
        <v>129947402746</v>
      </c>
      <c r="H151">
        <v>96755041347</v>
      </c>
      <c r="I151">
        <v>76664585959</v>
      </c>
      <c r="J151">
        <v>67811226394</v>
      </c>
      <c r="K151">
        <v>53959293900</v>
      </c>
      <c r="P151">
        <v>345</v>
      </c>
      <c r="Q151" t="s">
        <v>365</v>
      </c>
    </row>
    <row r="152" spans="1:17" x14ac:dyDescent="0.3">
      <c r="A152" t="s">
        <v>47</v>
      </c>
      <c r="B152" t="str">
        <f>"000063"</f>
        <v>000063</v>
      </c>
      <c r="C152" t="s">
        <v>366</v>
      </c>
      <c r="D152" t="s">
        <v>367</v>
      </c>
      <c r="E152">
        <v>179243960000</v>
      </c>
      <c r="F152">
        <v>155551952000</v>
      </c>
      <c r="G152">
        <v>145654417000</v>
      </c>
      <c r="H152">
        <v>139875707000</v>
      </c>
      <c r="I152">
        <v>137876425000</v>
      </c>
      <c r="J152">
        <v>141198258000</v>
      </c>
      <c r="K152">
        <v>134998910000</v>
      </c>
      <c r="L152">
        <v>112459333000</v>
      </c>
      <c r="M152">
        <v>102581774000</v>
      </c>
      <c r="N152">
        <v>100247395000</v>
      </c>
      <c r="O152">
        <v>103497687000</v>
      </c>
      <c r="P152">
        <v>3203</v>
      </c>
      <c r="Q152" t="s">
        <v>368</v>
      </c>
    </row>
    <row r="153" spans="1:17" x14ac:dyDescent="0.3">
      <c r="A153" t="s">
        <v>17</v>
      </c>
      <c r="B153" t="str">
        <f>"601117"</f>
        <v>601117</v>
      </c>
      <c r="C153" t="s">
        <v>369</v>
      </c>
      <c r="D153" t="s">
        <v>370</v>
      </c>
      <c r="E153">
        <v>177865087229</v>
      </c>
      <c r="F153">
        <v>142686004263</v>
      </c>
      <c r="G153">
        <v>112541724987</v>
      </c>
      <c r="H153">
        <v>99427320964</v>
      </c>
      <c r="I153">
        <v>87026426114</v>
      </c>
      <c r="J153">
        <v>84289462498</v>
      </c>
      <c r="K153">
        <v>82853552702</v>
      </c>
      <c r="L153">
        <v>81445451877</v>
      </c>
      <c r="M153">
        <v>71613587738</v>
      </c>
      <c r="N153">
        <v>61251145910</v>
      </c>
      <c r="O153">
        <v>47080756655</v>
      </c>
      <c r="P153">
        <v>717</v>
      </c>
      <c r="Q153" t="s">
        <v>371</v>
      </c>
    </row>
    <row r="154" spans="1:17" x14ac:dyDescent="0.3">
      <c r="A154" t="s">
        <v>47</v>
      </c>
      <c r="B154" t="str">
        <f>"002839"</f>
        <v>002839</v>
      </c>
      <c r="C154" t="s">
        <v>372</v>
      </c>
      <c r="D154" t="s">
        <v>102</v>
      </c>
      <c r="E154">
        <v>175261601821</v>
      </c>
      <c r="F154">
        <v>148423768564</v>
      </c>
      <c r="G154">
        <v>127402830260</v>
      </c>
      <c r="H154">
        <v>124244887185</v>
      </c>
      <c r="I154">
        <v>98339186940</v>
      </c>
      <c r="J154">
        <v>91622844339</v>
      </c>
      <c r="P154">
        <v>474</v>
      </c>
      <c r="Q154" t="s">
        <v>373</v>
      </c>
    </row>
    <row r="155" spans="1:17" x14ac:dyDescent="0.3">
      <c r="A155" t="s">
        <v>17</v>
      </c>
      <c r="B155" t="str">
        <f>"601633"</f>
        <v>601633</v>
      </c>
      <c r="C155" t="s">
        <v>374</v>
      </c>
      <c r="D155" t="s">
        <v>114</v>
      </c>
      <c r="E155">
        <v>174940037666</v>
      </c>
      <c r="F155">
        <v>145989260790</v>
      </c>
      <c r="G155">
        <v>104804755124</v>
      </c>
      <c r="H155">
        <v>111480109811</v>
      </c>
      <c r="I155">
        <v>109514417718</v>
      </c>
      <c r="J155">
        <v>89836875141</v>
      </c>
      <c r="K155">
        <v>70393211150</v>
      </c>
      <c r="L155">
        <v>61933257830</v>
      </c>
      <c r="M155">
        <v>51440999051</v>
      </c>
      <c r="N155">
        <v>43692977501</v>
      </c>
      <c r="O155">
        <v>34470678616</v>
      </c>
      <c r="P155">
        <v>2066</v>
      </c>
      <c r="Q155" t="s">
        <v>375</v>
      </c>
    </row>
    <row r="156" spans="1:17" x14ac:dyDescent="0.3">
      <c r="A156" t="s">
        <v>47</v>
      </c>
      <c r="B156" t="str">
        <f>"200625"</f>
        <v>200625</v>
      </c>
      <c r="C156" t="s">
        <v>376</v>
      </c>
      <c r="E156">
        <v>174246232928.09799</v>
      </c>
      <c r="F156">
        <v>151603044521.77399</v>
      </c>
      <c r="G156">
        <v>104135315154.29401</v>
      </c>
      <c r="H156">
        <v>112078491883.466</v>
      </c>
      <c r="I156">
        <v>134010824334.075</v>
      </c>
      <c r="J156">
        <v>126013091920.76801</v>
      </c>
      <c r="K156">
        <v>113868354053.80901</v>
      </c>
      <c r="L156">
        <v>94339040587.5</v>
      </c>
      <c r="M156">
        <v>72022734705.042801</v>
      </c>
      <c r="N156">
        <v>62115758946.900597</v>
      </c>
      <c r="O156">
        <v>44577112075.344002</v>
      </c>
      <c r="P156">
        <v>710</v>
      </c>
      <c r="Q156" t="s">
        <v>377</v>
      </c>
    </row>
    <row r="157" spans="1:17" x14ac:dyDescent="0.3">
      <c r="A157" t="s">
        <v>17</v>
      </c>
      <c r="B157" t="str">
        <f>"601901"</f>
        <v>601901</v>
      </c>
      <c r="C157" t="s">
        <v>378</v>
      </c>
      <c r="D157" t="s">
        <v>99</v>
      </c>
      <c r="E157">
        <v>173941821857</v>
      </c>
      <c r="F157">
        <v>138384648030</v>
      </c>
      <c r="G157">
        <v>132095387874</v>
      </c>
      <c r="H157">
        <v>149484932536</v>
      </c>
      <c r="I157">
        <v>150043445907</v>
      </c>
      <c r="J157">
        <v>149594080992</v>
      </c>
      <c r="K157">
        <v>163802523460</v>
      </c>
      <c r="L157">
        <v>100907283015</v>
      </c>
      <c r="M157">
        <v>42369222580</v>
      </c>
      <c r="N157">
        <v>29903584139</v>
      </c>
      <c r="O157">
        <v>28184020018</v>
      </c>
      <c r="P157">
        <v>931</v>
      </c>
      <c r="Q157" t="s">
        <v>379</v>
      </c>
    </row>
    <row r="158" spans="1:17" x14ac:dyDescent="0.3">
      <c r="A158" t="s">
        <v>47</v>
      </c>
      <c r="B158" t="str">
        <f>"000783"</f>
        <v>000783</v>
      </c>
      <c r="C158" t="s">
        <v>380</v>
      </c>
      <c r="D158" t="s">
        <v>99</v>
      </c>
      <c r="E158">
        <v>170067804735</v>
      </c>
      <c r="F158">
        <v>145205378985</v>
      </c>
      <c r="G158">
        <v>124013737646</v>
      </c>
      <c r="H158">
        <v>121253702259</v>
      </c>
      <c r="I158">
        <v>117902601571</v>
      </c>
      <c r="J158">
        <v>107639389300</v>
      </c>
      <c r="K158">
        <v>92709684337</v>
      </c>
      <c r="L158">
        <v>96866576359</v>
      </c>
      <c r="M158">
        <v>32670033630</v>
      </c>
      <c r="N158">
        <v>29403716512</v>
      </c>
      <c r="O158">
        <v>30365456174</v>
      </c>
      <c r="P158">
        <v>1208</v>
      </c>
      <c r="Q158" t="s">
        <v>381</v>
      </c>
    </row>
    <row r="159" spans="1:17" x14ac:dyDescent="0.3">
      <c r="A159" t="s">
        <v>47</v>
      </c>
      <c r="B159" t="str">
        <f>"002024"</f>
        <v>002024</v>
      </c>
      <c r="C159" t="s">
        <v>382</v>
      </c>
      <c r="D159" t="s">
        <v>383</v>
      </c>
      <c r="E159">
        <v>169329339000</v>
      </c>
      <c r="F159">
        <v>235640521000</v>
      </c>
      <c r="G159">
        <v>225996595000</v>
      </c>
      <c r="H159">
        <v>209496292000</v>
      </c>
      <c r="I159">
        <v>161958941000</v>
      </c>
      <c r="J159">
        <v>138766575000</v>
      </c>
      <c r="K159">
        <v>91778347000</v>
      </c>
      <c r="L159">
        <v>85221715000</v>
      </c>
      <c r="M159">
        <v>78185355000</v>
      </c>
      <c r="N159">
        <v>71432587000</v>
      </c>
      <c r="O159">
        <v>56886339000</v>
      </c>
      <c r="P159">
        <v>1902</v>
      </c>
      <c r="Q159" t="s">
        <v>384</v>
      </c>
    </row>
    <row r="160" spans="1:17" x14ac:dyDescent="0.3">
      <c r="A160" t="s">
        <v>17</v>
      </c>
      <c r="B160" t="str">
        <f>"600466"</f>
        <v>600466</v>
      </c>
      <c r="C160" t="s">
        <v>385</v>
      </c>
      <c r="D160" t="s">
        <v>76</v>
      </c>
      <c r="E160">
        <v>167460327721</v>
      </c>
      <c r="F160">
        <v>266443239463</v>
      </c>
      <c r="G160">
        <v>211927872165</v>
      </c>
      <c r="H160">
        <v>155128727961</v>
      </c>
      <c r="I160">
        <v>102183118103</v>
      </c>
      <c r="J160">
        <v>80677535708</v>
      </c>
      <c r="K160">
        <v>61260348203</v>
      </c>
      <c r="L160">
        <v>50973674301</v>
      </c>
      <c r="M160">
        <v>676416417</v>
      </c>
      <c r="N160">
        <v>637362270</v>
      </c>
      <c r="O160">
        <v>623999239</v>
      </c>
      <c r="P160">
        <v>844</v>
      </c>
      <c r="Q160" t="s">
        <v>386</v>
      </c>
    </row>
    <row r="161" spans="1:17" x14ac:dyDescent="0.3">
      <c r="A161" t="s">
        <v>17</v>
      </c>
      <c r="B161" t="str">
        <f>"603993"</f>
        <v>603993</v>
      </c>
      <c r="C161" t="s">
        <v>387</v>
      </c>
      <c r="D161" t="s">
        <v>388</v>
      </c>
      <c r="E161">
        <v>166579325103</v>
      </c>
      <c r="F161">
        <v>132339433187</v>
      </c>
      <c r="G161">
        <v>124784824421</v>
      </c>
      <c r="H161">
        <v>104291544161</v>
      </c>
      <c r="I161">
        <v>98199736700</v>
      </c>
      <c r="J161">
        <v>88088331053</v>
      </c>
      <c r="K161">
        <v>32979681436</v>
      </c>
      <c r="L161">
        <v>29345587067</v>
      </c>
      <c r="M161">
        <v>22341312079</v>
      </c>
      <c r="N161">
        <v>16237783029</v>
      </c>
      <c r="P161">
        <v>1125</v>
      </c>
      <c r="Q161" t="s">
        <v>389</v>
      </c>
    </row>
    <row r="162" spans="1:17" x14ac:dyDescent="0.3">
      <c r="A162" t="s">
        <v>17</v>
      </c>
      <c r="B162" t="str">
        <f>"600018"</f>
        <v>600018</v>
      </c>
      <c r="C162" t="s">
        <v>390</v>
      </c>
      <c r="D162" t="s">
        <v>357</v>
      </c>
      <c r="E162">
        <v>166502201554</v>
      </c>
      <c r="F162">
        <v>158297760941</v>
      </c>
      <c r="G162">
        <v>143916961661</v>
      </c>
      <c r="H162">
        <v>138275204363</v>
      </c>
      <c r="I162">
        <v>142487308100</v>
      </c>
      <c r="J162">
        <v>118793924900</v>
      </c>
      <c r="K162">
        <v>97660830066</v>
      </c>
      <c r="L162">
        <v>94642801179</v>
      </c>
      <c r="M162">
        <v>87182506343</v>
      </c>
      <c r="N162">
        <v>90374568423</v>
      </c>
      <c r="O162">
        <v>81518652986</v>
      </c>
      <c r="P162">
        <v>876</v>
      </c>
      <c r="Q162" t="s">
        <v>391</v>
      </c>
    </row>
    <row r="163" spans="1:17" x14ac:dyDescent="0.3">
      <c r="A163" t="s">
        <v>17</v>
      </c>
      <c r="B163" t="str">
        <f>"600150"</f>
        <v>600150</v>
      </c>
      <c r="C163" t="s">
        <v>392</v>
      </c>
      <c r="D163" t="s">
        <v>351</v>
      </c>
      <c r="E163">
        <v>165560587285</v>
      </c>
      <c r="F163">
        <v>158273355021</v>
      </c>
      <c r="G163">
        <v>121374867726</v>
      </c>
      <c r="H163">
        <v>43581337969</v>
      </c>
      <c r="I163">
        <v>47322730357</v>
      </c>
      <c r="J163">
        <v>52504280545</v>
      </c>
      <c r="K163">
        <v>51609276471</v>
      </c>
      <c r="L163">
        <v>51371025566</v>
      </c>
      <c r="M163">
        <v>53180137517</v>
      </c>
      <c r="N163">
        <v>42792990298</v>
      </c>
      <c r="O163">
        <v>49207759311</v>
      </c>
      <c r="P163">
        <v>469</v>
      </c>
      <c r="Q163" t="s">
        <v>393</v>
      </c>
    </row>
    <row r="164" spans="1:17" x14ac:dyDescent="0.3">
      <c r="A164" t="s">
        <v>17</v>
      </c>
      <c r="B164" t="str">
        <f>"603323"</f>
        <v>603323</v>
      </c>
      <c r="C164" t="s">
        <v>394</v>
      </c>
      <c r="D164" t="s">
        <v>102</v>
      </c>
      <c r="E164">
        <v>163942607000</v>
      </c>
      <c r="F164">
        <v>142820651000</v>
      </c>
      <c r="G164">
        <v>131860836000</v>
      </c>
      <c r="H164">
        <v>119786123000</v>
      </c>
      <c r="I164">
        <v>101905116000</v>
      </c>
      <c r="J164">
        <v>82558870000</v>
      </c>
      <c r="P164">
        <v>498</v>
      </c>
      <c r="Q164" t="s">
        <v>395</v>
      </c>
    </row>
    <row r="165" spans="1:17" x14ac:dyDescent="0.3">
      <c r="A165" t="s">
        <v>17</v>
      </c>
      <c r="B165" t="str">
        <f>"600704"</f>
        <v>600704</v>
      </c>
      <c r="C165" t="s">
        <v>396</v>
      </c>
      <c r="D165" t="s">
        <v>134</v>
      </c>
      <c r="E165">
        <v>163387278314</v>
      </c>
      <c r="F165">
        <v>141210641864</v>
      </c>
      <c r="G165">
        <v>113425693930</v>
      </c>
      <c r="H165">
        <v>97320075989</v>
      </c>
      <c r="I165">
        <v>96348912661</v>
      </c>
      <c r="J165">
        <v>94113550882</v>
      </c>
      <c r="K165">
        <v>75857701283</v>
      </c>
      <c r="L165">
        <v>32581255585</v>
      </c>
      <c r="M165">
        <v>29479742167</v>
      </c>
      <c r="N165">
        <v>25403356864</v>
      </c>
      <c r="O165">
        <v>23976956566</v>
      </c>
      <c r="P165">
        <v>749</v>
      </c>
      <c r="Q165" t="s">
        <v>397</v>
      </c>
    </row>
    <row r="166" spans="1:17" x14ac:dyDescent="0.3">
      <c r="A166" t="s">
        <v>17</v>
      </c>
      <c r="B166" t="str">
        <f>"600025"</f>
        <v>600025</v>
      </c>
      <c r="C166" t="s">
        <v>398</v>
      </c>
      <c r="D166" t="s">
        <v>238</v>
      </c>
      <c r="E166">
        <v>161794648325</v>
      </c>
      <c r="F166">
        <v>163371592857</v>
      </c>
      <c r="G166">
        <v>165413116879</v>
      </c>
      <c r="H166">
        <v>169761651825</v>
      </c>
      <c r="I166">
        <v>165230165677</v>
      </c>
      <c r="P166">
        <v>766</v>
      </c>
      <c r="Q166" t="s">
        <v>399</v>
      </c>
    </row>
    <row r="167" spans="1:17" x14ac:dyDescent="0.3">
      <c r="A167" t="s">
        <v>47</v>
      </c>
      <c r="B167" t="str">
        <f>"000039"</f>
        <v>000039</v>
      </c>
      <c r="C167" t="s">
        <v>400</v>
      </c>
      <c r="D167" t="s">
        <v>401</v>
      </c>
      <c r="E167">
        <v>160191388000</v>
      </c>
      <c r="F167">
        <v>151437095000</v>
      </c>
      <c r="G167">
        <v>175842864000</v>
      </c>
      <c r="H167">
        <v>162412607000</v>
      </c>
      <c r="I167">
        <v>136601081000</v>
      </c>
      <c r="J167">
        <v>129357960000</v>
      </c>
      <c r="K167">
        <v>113227716000</v>
      </c>
      <c r="L167">
        <v>93345328000</v>
      </c>
      <c r="M167">
        <v>78799485000</v>
      </c>
      <c r="N167">
        <v>66409640000</v>
      </c>
      <c r="O167">
        <v>63371505000</v>
      </c>
      <c r="P167">
        <v>679</v>
      </c>
      <c r="Q167" t="s">
        <v>402</v>
      </c>
    </row>
    <row r="168" spans="1:17" x14ac:dyDescent="0.3">
      <c r="A168" t="s">
        <v>17</v>
      </c>
      <c r="B168" t="str">
        <f>"600021"</f>
        <v>600021</v>
      </c>
      <c r="C168" t="s">
        <v>403</v>
      </c>
      <c r="D168" t="s">
        <v>171</v>
      </c>
      <c r="E168">
        <v>158298324546</v>
      </c>
      <c r="F168">
        <v>135416608811</v>
      </c>
      <c r="G168">
        <v>111390913188</v>
      </c>
      <c r="H168">
        <v>101183193093</v>
      </c>
      <c r="I168">
        <v>83179163496</v>
      </c>
      <c r="J168">
        <v>56463824869</v>
      </c>
      <c r="K168">
        <v>54392096149</v>
      </c>
      <c r="L168">
        <v>47829400213</v>
      </c>
      <c r="M168">
        <v>38499556005</v>
      </c>
      <c r="N168">
        <v>32950719588</v>
      </c>
      <c r="O168">
        <v>31658866062</v>
      </c>
      <c r="P168">
        <v>336</v>
      </c>
      <c r="Q168" t="s">
        <v>404</v>
      </c>
    </row>
    <row r="169" spans="1:17" x14ac:dyDescent="0.3">
      <c r="A169" t="s">
        <v>47</v>
      </c>
      <c r="B169" t="str">
        <f>"002807"</f>
        <v>002807</v>
      </c>
      <c r="C169" t="s">
        <v>405</v>
      </c>
      <c r="D169" t="s">
        <v>102</v>
      </c>
      <c r="E169">
        <v>157892620000</v>
      </c>
      <c r="F169">
        <v>143984175000</v>
      </c>
      <c r="G169">
        <v>131723866000</v>
      </c>
      <c r="H169">
        <v>121069884000</v>
      </c>
      <c r="I169">
        <v>112802063000</v>
      </c>
      <c r="J169">
        <v>104339975000</v>
      </c>
      <c r="K169">
        <v>94075097000</v>
      </c>
      <c r="P169">
        <v>571</v>
      </c>
      <c r="Q169" t="s">
        <v>406</v>
      </c>
    </row>
    <row r="170" spans="1:17" x14ac:dyDescent="0.3">
      <c r="A170" t="s">
        <v>47</v>
      </c>
      <c r="B170" t="str">
        <f>"000540"</f>
        <v>000540</v>
      </c>
      <c r="C170" t="s">
        <v>407</v>
      </c>
      <c r="D170" t="s">
        <v>76</v>
      </c>
      <c r="E170">
        <v>157480653531</v>
      </c>
      <c r="F170">
        <v>149528713135</v>
      </c>
      <c r="G170">
        <v>122486520479</v>
      </c>
      <c r="H170">
        <v>113427268524</v>
      </c>
      <c r="I170">
        <v>106676856023</v>
      </c>
      <c r="J170">
        <v>73020435382</v>
      </c>
      <c r="K170">
        <v>53698096470</v>
      </c>
      <c r="L170">
        <v>40666491760</v>
      </c>
      <c r="M170">
        <v>37981050983</v>
      </c>
      <c r="N170">
        <v>26508652270</v>
      </c>
      <c r="O170">
        <v>18515809681</v>
      </c>
      <c r="P170">
        <v>5239</v>
      </c>
      <c r="Q170" t="s">
        <v>408</v>
      </c>
    </row>
    <row r="171" spans="1:17" x14ac:dyDescent="0.3">
      <c r="A171" t="s">
        <v>47</v>
      </c>
      <c r="B171" t="str">
        <f>"000987"</f>
        <v>000987</v>
      </c>
      <c r="C171" t="s">
        <v>409</v>
      </c>
      <c r="D171" t="s">
        <v>109</v>
      </c>
      <c r="E171">
        <v>157078178335</v>
      </c>
      <c r="F171">
        <v>136276270233</v>
      </c>
      <c r="G171">
        <v>111587195741</v>
      </c>
      <c r="H171">
        <v>113665732989</v>
      </c>
      <c r="I171">
        <v>80598526601</v>
      </c>
      <c r="J171">
        <v>70557967714</v>
      </c>
      <c r="K171">
        <v>13088039611</v>
      </c>
      <c r="L171">
        <v>3344863899</v>
      </c>
      <c r="M171">
        <v>3442177176</v>
      </c>
      <c r="N171">
        <v>3518264468</v>
      </c>
      <c r="O171">
        <v>3253836265</v>
      </c>
      <c r="P171">
        <v>520</v>
      </c>
      <c r="Q171" t="s">
        <v>410</v>
      </c>
    </row>
    <row r="172" spans="1:17" x14ac:dyDescent="0.3">
      <c r="A172" t="s">
        <v>47</v>
      </c>
      <c r="B172" t="str">
        <f>"000402"</f>
        <v>000402</v>
      </c>
      <c r="C172" t="s">
        <v>411</v>
      </c>
      <c r="D172" t="s">
        <v>117</v>
      </c>
      <c r="E172">
        <v>156527187087</v>
      </c>
      <c r="F172">
        <v>166204044667</v>
      </c>
      <c r="G172">
        <v>164063589765</v>
      </c>
      <c r="H172">
        <v>149965519332</v>
      </c>
      <c r="I172">
        <v>132661659672</v>
      </c>
      <c r="J172">
        <v>118022358802</v>
      </c>
      <c r="K172">
        <v>107604378058</v>
      </c>
      <c r="L172">
        <v>89219945956</v>
      </c>
      <c r="M172">
        <v>82610354531</v>
      </c>
      <c r="N172">
        <v>72049354777</v>
      </c>
      <c r="O172">
        <v>62647157556</v>
      </c>
      <c r="P172">
        <v>974</v>
      </c>
      <c r="Q172" t="s">
        <v>412</v>
      </c>
    </row>
    <row r="173" spans="1:17" x14ac:dyDescent="0.3">
      <c r="A173" t="s">
        <v>17</v>
      </c>
      <c r="B173" t="str">
        <f>"601238"</f>
        <v>601238</v>
      </c>
      <c r="C173" t="s">
        <v>413</v>
      </c>
      <c r="D173" t="s">
        <v>114</v>
      </c>
      <c r="E173">
        <v>156260797975</v>
      </c>
      <c r="F173">
        <v>140998318291</v>
      </c>
      <c r="G173">
        <v>127338954454</v>
      </c>
      <c r="H173">
        <v>126081927627</v>
      </c>
      <c r="I173">
        <v>118483089019</v>
      </c>
      <c r="J173">
        <v>84712233549</v>
      </c>
      <c r="K173">
        <v>75648460466</v>
      </c>
      <c r="L173">
        <v>62348516587</v>
      </c>
      <c r="M173">
        <v>59558174790</v>
      </c>
      <c r="N173">
        <v>54147951095</v>
      </c>
      <c r="O173">
        <v>51783123232</v>
      </c>
      <c r="P173">
        <v>1300</v>
      </c>
      <c r="Q173" t="s">
        <v>414</v>
      </c>
    </row>
    <row r="174" spans="1:17" x14ac:dyDescent="0.3">
      <c r="A174" t="s">
        <v>17</v>
      </c>
      <c r="B174" t="str">
        <f>"600741"</f>
        <v>600741</v>
      </c>
      <c r="C174" t="s">
        <v>415</v>
      </c>
      <c r="D174" t="s">
        <v>416</v>
      </c>
      <c r="E174">
        <v>155191466853</v>
      </c>
      <c r="F174">
        <v>155134535967</v>
      </c>
      <c r="G174">
        <v>131974110293</v>
      </c>
      <c r="H174">
        <v>134744630806</v>
      </c>
      <c r="I174">
        <v>130109804976</v>
      </c>
      <c r="J174">
        <v>110704936465</v>
      </c>
      <c r="K174">
        <v>98745640803</v>
      </c>
      <c r="L174">
        <v>66151428237</v>
      </c>
      <c r="M174">
        <v>57082511082</v>
      </c>
      <c r="N174">
        <v>51403206197</v>
      </c>
      <c r="O174">
        <v>44726399060</v>
      </c>
      <c r="P174">
        <v>6373</v>
      </c>
      <c r="Q174" t="s">
        <v>417</v>
      </c>
    </row>
    <row r="175" spans="1:17" x14ac:dyDescent="0.3">
      <c r="A175" t="s">
        <v>17</v>
      </c>
      <c r="B175" t="str">
        <f>"600390"</f>
        <v>600390</v>
      </c>
      <c r="C175" t="s">
        <v>418</v>
      </c>
      <c r="D175" t="s">
        <v>109</v>
      </c>
      <c r="E175">
        <v>152266620939</v>
      </c>
      <c r="F175">
        <v>150963477601</v>
      </c>
      <c r="G175">
        <v>126972349145</v>
      </c>
      <c r="H175">
        <v>122639748369</v>
      </c>
      <c r="I175">
        <v>116016805812</v>
      </c>
      <c r="J175">
        <v>60235762433</v>
      </c>
      <c r="K175">
        <v>2354062577</v>
      </c>
      <c r="L175">
        <v>2302900548</v>
      </c>
      <c r="M175">
        <v>1855045842</v>
      </c>
      <c r="N175">
        <v>1867482910</v>
      </c>
      <c r="O175">
        <v>1433958996</v>
      </c>
      <c r="P175">
        <v>300</v>
      </c>
      <c r="Q175" t="s">
        <v>419</v>
      </c>
    </row>
    <row r="176" spans="1:17" x14ac:dyDescent="0.3">
      <c r="A176" t="s">
        <v>47</v>
      </c>
      <c r="B176" t="str">
        <f>"000736"</f>
        <v>000736</v>
      </c>
      <c r="C176" t="s">
        <v>420</v>
      </c>
      <c r="D176" t="s">
        <v>76</v>
      </c>
      <c r="E176">
        <v>150519801413</v>
      </c>
      <c r="F176">
        <v>120270814778</v>
      </c>
      <c r="G176">
        <v>57944473156</v>
      </c>
      <c r="H176">
        <v>42221152354</v>
      </c>
      <c r="I176">
        <v>34206539825</v>
      </c>
      <c r="J176">
        <v>21640142701</v>
      </c>
      <c r="K176">
        <v>9468434281</v>
      </c>
      <c r="L176">
        <v>6679282381</v>
      </c>
      <c r="M176">
        <v>4761399304</v>
      </c>
      <c r="N176">
        <v>2965924926</v>
      </c>
      <c r="O176">
        <v>2476667466</v>
      </c>
      <c r="P176">
        <v>189</v>
      </c>
      <c r="Q176" t="s">
        <v>421</v>
      </c>
    </row>
    <row r="177" spans="1:17" x14ac:dyDescent="0.3">
      <c r="A177" t="s">
        <v>17</v>
      </c>
      <c r="B177" t="str">
        <f>"601555"</f>
        <v>601555</v>
      </c>
      <c r="C177" t="s">
        <v>422</v>
      </c>
      <c r="D177" t="s">
        <v>99</v>
      </c>
      <c r="E177">
        <v>150307790845</v>
      </c>
      <c r="F177">
        <v>107617256172</v>
      </c>
      <c r="G177">
        <v>104025908402</v>
      </c>
      <c r="H177">
        <v>99911051980</v>
      </c>
      <c r="I177">
        <v>96554167531</v>
      </c>
      <c r="J177">
        <v>88283630433</v>
      </c>
      <c r="K177">
        <v>79437863037</v>
      </c>
      <c r="L177">
        <v>68414027543</v>
      </c>
      <c r="M177">
        <v>22097110901</v>
      </c>
      <c r="N177">
        <v>15956993702</v>
      </c>
      <c r="O177">
        <v>17052640316</v>
      </c>
      <c r="P177">
        <v>937</v>
      </c>
      <c r="Q177" t="s">
        <v>423</v>
      </c>
    </row>
    <row r="178" spans="1:17" x14ac:dyDescent="0.3">
      <c r="A178" t="s">
        <v>17</v>
      </c>
      <c r="B178" t="str">
        <f>"600010"</f>
        <v>600010</v>
      </c>
      <c r="C178" t="s">
        <v>424</v>
      </c>
      <c r="D178" t="s">
        <v>210</v>
      </c>
      <c r="E178">
        <v>149782313582</v>
      </c>
      <c r="F178">
        <v>149536870353</v>
      </c>
      <c r="G178">
        <v>142481738285</v>
      </c>
      <c r="H178">
        <v>143914190664</v>
      </c>
      <c r="I178">
        <v>146510661904</v>
      </c>
      <c r="J178">
        <v>142330934055</v>
      </c>
      <c r="K178">
        <v>141109374475</v>
      </c>
      <c r="L178">
        <v>104315652396</v>
      </c>
      <c r="M178">
        <v>90038981473</v>
      </c>
      <c r="N178">
        <v>73271937854</v>
      </c>
      <c r="O178">
        <v>54556125822</v>
      </c>
      <c r="P178">
        <v>623</v>
      </c>
      <c r="Q178" t="s">
        <v>425</v>
      </c>
    </row>
    <row r="179" spans="1:17" x14ac:dyDescent="0.3">
      <c r="A179" t="s">
        <v>47</v>
      </c>
      <c r="B179" t="str">
        <f>"000959"</f>
        <v>000959</v>
      </c>
      <c r="C179" t="s">
        <v>426</v>
      </c>
      <c r="D179" t="s">
        <v>210</v>
      </c>
      <c r="E179">
        <v>147893752647</v>
      </c>
      <c r="F179">
        <v>146824574395</v>
      </c>
      <c r="G179">
        <v>142073724676</v>
      </c>
      <c r="H179">
        <v>133380092542</v>
      </c>
      <c r="I179">
        <v>136004803318</v>
      </c>
      <c r="J179">
        <v>131964222261</v>
      </c>
      <c r="K179">
        <v>65126415341</v>
      </c>
      <c r="L179">
        <v>61698458088</v>
      </c>
      <c r="M179">
        <v>60486820328</v>
      </c>
      <c r="N179">
        <v>15846571006</v>
      </c>
      <c r="O179">
        <v>16439547376</v>
      </c>
      <c r="P179">
        <v>254</v>
      </c>
      <c r="Q179" t="s">
        <v>427</v>
      </c>
    </row>
    <row r="180" spans="1:17" x14ac:dyDescent="0.3">
      <c r="A180" t="s">
        <v>17</v>
      </c>
      <c r="B180" t="str">
        <f>"600031"</f>
        <v>600031</v>
      </c>
      <c r="C180" t="s">
        <v>428</v>
      </c>
      <c r="D180" t="s">
        <v>429</v>
      </c>
      <c r="E180">
        <v>145649955000</v>
      </c>
      <c r="F180">
        <v>141443706000</v>
      </c>
      <c r="G180">
        <v>97711301000</v>
      </c>
      <c r="H180">
        <v>83665074000</v>
      </c>
      <c r="I180">
        <v>63816328000</v>
      </c>
      <c r="J180">
        <v>60820774000</v>
      </c>
      <c r="K180">
        <v>62909820000</v>
      </c>
      <c r="L180">
        <v>62180538000</v>
      </c>
      <c r="M180">
        <v>67152724000</v>
      </c>
      <c r="N180">
        <v>68827981000</v>
      </c>
      <c r="O180">
        <v>62645239698</v>
      </c>
      <c r="P180">
        <v>6538</v>
      </c>
      <c r="Q180" t="s">
        <v>430</v>
      </c>
    </row>
    <row r="181" spans="1:17" x14ac:dyDescent="0.3">
      <c r="A181" t="s">
        <v>17</v>
      </c>
      <c r="B181" t="str">
        <f>"600755"</f>
        <v>600755</v>
      </c>
      <c r="C181" t="s">
        <v>431</v>
      </c>
      <c r="D181" t="s">
        <v>134</v>
      </c>
      <c r="E181">
        <v>144015568859</v>
      </c>
      <c r="F181">
        <v>154359841497</v>
      </c>
      <c r="G181">
        <v>107012949984</v>
      </c>
      <c r="H181">
        <v>94445131408</v>
      </c>
      <c r="I181">
        <v>86927126544</v>
      </c>
      <c r="J181">
        <v>71705309149</v>
      </c>
      <c r="K181">
        <v>49476799459</v>
      </c>
      <c r="L181">
        <v>39926324150</v>
      </c>
      <c r="M181">
        <v>30571002820</v>
      </c>
      <c r="N181">
        <v>24644872157</v>
      </c>
      <c r="O181">
        <v>22910467641</v>
      </c>
      <c r="P181">
        <v>742</v>
      </c>
      <c r="Q181" t="s">
        <v>432</v>
      </c>
    </row>
    <row r="182" spans="1:17" x14ac:dyDescent="0.3">
      <c r="A182" t="s">
        <v>17</v>
      </c>
      <c r="B182" t="str">
        <f>"601528"</f>
        <v>601528</v>
      </c>
      <c r="C182" t="s">
        <v>433</v>
      </c>
      <c r="D182" t="s">
        <v>102</v>
      </c>
      <c r="E182">
        <v>143388403000</v>
      </c>
      <c r="F182">
        <v>132883069438</v>
      </c>
      <c r="P182">
        <v>49</v>
      </c>
      <c r="Q182" t="s">
        <v>434</v>
      </c>
    </row>
    <row r="183" spans="1:17" x14ac:dyDescent="0.3">
      <c r="A183" t="s">
        <v>47</v>
      </c>
      <c r="B183" t="str">
        <f>"000301"</f>
        <v>000301</v>
      </c>
      <c r="C183" t="s">
        <v>435</v>
      </c>
      <c r="D183" t="s">
        <v>62</v>
      </c>
      <c r="E183">
        <v>142718836653</v>
      </c>
      <c r="F183">
        <v>79621107073</v>
      </c>
      <c r="G183">
        <v>39894475902</v>
      </c>
      <c r="H183">
        <v>23498952093</v>
      </c>
      <c r="I183">
        <v>4367408133</v>
      </c>
      <c r="J183">
        <v>5539503838</v>
      </c>
      <c r="K183">
        <v>4579451898</v>
      </c>
      <c r="L183">
        <v>4092732505</v>
      </c>
      <c r="M183">
        <v>3723420708</v>
      </c>
      <c r="N183">
        <v>3509571953</v>
      </c>
      <c r="O183">
        <v>3483930013</v>
      </c>
      <c r="P183">
        <v>397</v>
      </c>
      <c r="Q183" t="s">
        <v>436</v>
      </c>
    </row>
    <row r="184" spans="1:17" x14ac:dyDescent="0.3">
      <c r="A184" t="s">
        <v>47</v>
      </c>
      <c r="B184" t="str">
        <f>"000625"</f>
        <v>000625</v>
      </c>
      <c r="C184" t="s">
        <v>437</v>
      </c>
      <c r="D184" t="s">
        <v>114</v>
      </c>
      <c r="E184">
        <v>141204402697</v>
      </c>
      <c r="F184">
        <v>127989062492</v>
      </c>
      <c r="G184">
        <v>95283479874</v>
      </c>
      <c r="H184">
        <v>95867326904</v>
      </c>
      <c r="I184">
        <v>107165793150</v>
      </c>
      <c r="J184">
        <v>111693930084</v>
      </c>
      <c r="K184">
        <v>94787608469</v>
      </c>
      <c r="L184">
        <v>75471232470</v>
      </c>
      <c r="M184">
        <v>57692033567</v>
      </c>
      <c r="N184">
        <v>49700559247</v>
      </c>
      <c r="O184">
        <v>36153375568</v>
      </c>
      <c r="P184">
        <v>3098</v>
      </c>
      <c r="Q184" t="s">
        <v>438</v>
      </c>
    </row>
    <row r="185" spans="1:17" x14ac:dyDescent="0.3">
      <c r="A185" t="s">
        <v>17</v>
      </c>
      <c r="B185" t="str">
        <f>"600039"</f>
        <v>600039</v>
      </c>
      <c r="C185" t="s">
        <v>439</v>
      </c>
      <c r="D185" t="s">
        <v>84</v>
      </c>
      <c r="E185">
        <v>140484815429</v>
      </c>
      <c r="F185">
        <v>113332841634</v>
      </c>
      <c r="G185">
        <v>100187975531</v>
      </c>
      <c r="H185">
        <v>86004156535</v>
      </c>
      <c r="I185">
        <v>69300207096</v>
      </c>
      <c r="J185">
        <v>61028455853</v>
      </c>
      <c r="K185">
        <v>56174623691</v>
      </c>
      <c r="L185">
        <v>52748783288</v>
      </c>
      <c r="M185">
        <v>42169850401</v>
      </c>
      <c r="N185">
        <v>34246338088</v>
      </c>
      <c r="O185">
        <v>8502708648</v>
      </c>
      <c r="P185">
        <v>484</v>
      </c>
      <c r="Q185" t="s">
        <v>440</v>
      </c>
    </row>
    <row r="186" spans="1:17" x14ac:dyDescent="0.3">
      <c r="A186" t="s">
        <v>17</v>
      </c>
      <c r="B186" t="str">
        <f>"600823"</f>
        <v>600823</v>
      </c>
      <c r="C186" t="s">
        <v>441</v>
      </c>
      <c r="D186" t="s">
        <v>76</v>
      </c>
      <c r="E186">
        <v>138490660293</v>
      </c>
      <c r="F186">
        <v>150477305487</v>
      </c>
      <c r="G186">
        <v>130341919792</v>
      </c>
      <c r="H186">
        <v>111380229321</v>
      </c>
      <c r="I186">
        <v>95474487849</v>
      </c>
      <c r="J186">
        <v>79369176916</v>
      </c>
      <c r="K186">
        <v>66840735206</v>
      </c>
      <c r="L186">
        <v>61195309359</v>
      </c>
      <c r="M186">
        <v>53809097582</v>
      </c>
      <c r="N186">
        <v>37234514611</v>
      </c>
      <c r="O186">
        <v>33735524319</v>
      </c>
      <c r="P186">
        <v>1056</v>
      </c>
      <c r="Q186" t="s">
        <v>442</v>
      </c>
    </row>
    <row r="187" spans="1:17" x14ac:dyDescent="0.3">
      <c r="A187" t="s">
        <v>47</v>
      </c>
      <c r="B187" t="str">
        <f>"000858"</f>
        <v>000858</v>
      </c>
      <c r="C187" t="s">
        <v>443</v>
      </c>
      <c r="D187" t="s">
        <v>286</v>
      </c>
      <c r="E187">
        <v>137804423939</v>
      </c>
      <c r="F187">
        <v>120222689551</v>
      </c>
      <c r="G187">
        <v>105451563991</v>
      </c>
      <c r="H187">
        <v>93909828420</v>
      </c>
      <c r="I187">
        <v>79647898938</v>
      </c>
      <c r="J187">
        <v>67866616071</v>
      </c>
      <c r="K187">
        <v>60984275878</v>
      </c>
      <c r="L187">
        <v>48665558999</v>
      </c>
      <c r="M187">
        <v>47317331565</v>
      </c>
      <c r="N187">
        <v>46501487736</v>
      </c>
      <c r="O187">
        <v>38862407526</v>
      </c>
      <c r="P187">
        <v>11635</v>
      </c>
      <c r="Q187" t="s">
        <v>444</v>
      </c>
    </row>
    <row r="188" spans="1:17" x14ac:dyDescent="0.3">
      <c r="A188" t="s">
        <v>17</v>
      </c>
      <c r="B188" t="str">
        <f>"600266"</f>
        <v>600266</v>
      </c>
      <c r="C188" t="s">
        <v>445</v>
      </c>
      <c r="D188" t="s">
        <v>76</v>
      </c>
      <c r="E188">
        <v>137111634848</v>
      </c>
      <c r="F188">
        <v>136006145515</v>
      </c>
      <c r="G188">
        <v>122671571053</v>
      </c>
      <c r="H188">
        <v>112900393365</v>
      </c>
      <c r="I188">
        <v>97314180796</v>
      </c>
      <c r="J188">
        <v>78122466605</v>
      </c>
      <c r="K188">
        <v>68789899900</v>
      </c>
      <c r="L188">
        <v>54019447739</v>
      </c>
      <c r="M188">
        <v>37893940476</v>
      </c>
      <c r="N188">
        <v>31246036980</v>
      </c>
      <c r="O188">
        <v>22580523422</v>
      </c>
      <c r="P188">
        <v>338</v>
      </c>
      <c r="Q188" t="s">
        <v>446</v>
      </c>
    </row>
    <row r="189" spans="1:17" x14ac:dyDescent="0.3">
      <c r="A189" t="s">
        <v>47</v>
      </c>
      <c r="B189" t="str">
        <f>"000876"</f>
        <v>000876</v>
      </c>
      <c r="C189" t="s">
        <v>447</v>
      </c>
      <c r="D189" t="s">
        <v>354</v>
      </c>
      <c r="E189">
        <v>136788881455</v>
      </c>
      <c r="F189">
        <v>129365488837</v>
      </c>
      <c r="G189">
        <v>77788547658</v>
      </c>
      <c r="H189">
        <v>47953043462</v>
      </c>
      <c r="I189">
        <v>45001157944</v>
      </c>
      <c r="J189">
        <v>40125079639</v>
      </c>
      <c r="K189">
        <v>36186409307</v>
      </c>
      <c r="L189">
        <v>33801750980</v>
      </c>
      <c r="M189">
        <v>29011089583</v>
      </c>
      <c r="N189">
        <v>27555628693</v>
      </c>
      <c r="O189">
        <v>21962665684</v>
      </c>
      <c r="P189">
        <v>2609</v>
      </c>
      <c r="Q189" t="s">
        <v>448</v>
      </c>
    </row>
    <row r="190" spans="1:17" x14ac:dyDescent="0.3">
      <c r="A190" t="s">
        <v>17</v>
      </c>
      <c r="B190" t="str">
        <f>"600221"</f>
        <v>600221</v>
      </c>
      <c r="C190" t="s">
        <v>449</v>
      </c>
      <c r="D190" t="s">
        <v>243</v>
      </c>
      <c r="E190">
        <v>136599075000</v>
      </c>
      <c r="F190">
        <v>224113514000</v>
      </c>
      <c r="G190">
        <v>190337893000</v>
      </c>
      <c r="H190">
        <v>203409641000</v>
      </c>
      <c r="I190">
        <v>186504075000</v>
      </c>
      <c r="J190">
        <v>183153038000</v>
      </c>
      <c r="K190">
        <v>130317582000</v>
      </c>
      <c r="L190">
        <v>121738102000</v>
      </c>
      <c r="M190">
        <v>111991590000</v>
      </c>
      <c r="N190">
        <v>95353078000</v>
      </c>
      <c r="O190">
        <v>81200870000</v>
      </c>
      <c r="P190">
        <v>427</v>
      </c>
      <c r="Q190" t="s">
        <v>450</v>
      </c>
    </row>
    <row r="191" spans="1:17" x14ac:dyDescent="0.3">
      <c r="A191" t="s">
        <v>47</v>
      </c>
      <c r="B191" t="str">
        <f>"000027"</f>
        <v>000027</v>
      </c>
      <c r="C191" t="s">
        <v>451</v>
      </c>
      <c r="D191" t="s">
        <v>171</v>
      </c>
      <c r="E191">
        <v>136000880112</v>
      </c>
      <c r="F191">
        <v>120132771202</v>
      </c>
      <c r="G191">
        <v>106242266287</v>
      </c>
      <c r="H191">
        <v>89502620921</v>
      </c>
      <c r="I191">
        <v>78040619959</v>
      </c>
      <c r="J191">
        <v>66404165968</v>
      </c>
      <c r="K191">
        <v>57893947398</v>
      </c>
      <c r="L191">
        <v>39108045499</v>
      </c>
      <c r="M191">
        <v>34492141326</v>
      </c>
      <c r="N191">
        <v>32654571837</v>
      </c>
      <c r="O191">
        <v>33198485350</v>
      </c>
      <c r="P191">
        <v>509</v>
      </c>
      <c r="Q191" t="s">
        <v>452</v>
      </c>
    </row>
    <row r="192" spans="1:17" x14ac:dyDescent="0.3">
      <c r="A192" t="s">
        <v>17</v>
      </c>
      <c r="B192" t="str">
        <f>"600655"</f>
        <v>600655</v>
      </c>
      <c r="C192" t="s">
        <v>453</v>
      </c>
      <c r="D192" t="s">
        <v>454</v>
      </c>
      <c r="E192">
        <v>135291077915</v>
      </c>
      <c r="F192">
        <v>120198771336</v>
      </c>
      <c r="G192">
        <v>100779789707</v>
      </c>
      <c r="H192">
        <v>90816288856</v>
      </c>
      <c r="I192">
        <v>26401759200</v>
      </c>
      <c r="J192">
        <v>23537194101</v>
      </c>
      <c r="K192">
        <v>18215959993</v>
      </c>
      <c r="L192">
        <v>15299492816</v>
      </c>
      <c r="M192">
        <v>14820408418</v>
      </c>
      <c r="N192">
        <v>11931414418</v>
      </c>
      <c r="O192">
        <v>11321558143</v>
      </c>
      <c r="P192">
        <v>409</v>
      </c>
      <c r="Q192" t="s">
        <v>455</v>
      </c>
    </row>
    <row r="193" spans="1:17" x14ac:dyDescent="0.3">
      <c r="A193" t="s">
        <v>17</v>
      </c>
      <c r="B193" t="str">
        <f>"601828"</f>
        <v>601828</v>
      </c>
      <c r="C193" t="s">
        <v>456</v>
      </c>
      <c r="D193" t="s">
        <v>454</v>
      </c>
      <c r="E193">
        <v>135099414679</v>
      </c>
      <c r="F193">
        <v>135050292699</v>
      </c>
      <c r="G193">
        <v>125496129443</v>
      </c>
      <c r="H193">
        <v>115162179517</v>
      </c>
      <c r="I193">
        <v>102433562163</v>
      </c>
      <c r="P193">
        <v>351</v>
      </c>
      <c r="Q193" t="s">
        <v>457</v>
      </c>
    </row>
    <row r="194" spans="1:17" x14ac:dyDescent="0.3">
      <c r="A194" t="s">
        <v>17</v>
      </c>
      <c r="B194" t="str">
        <f>"600089"</f>
        <v>600089</v>
      </c>
      <c r="C194" t="s">
        <v>458</v>
      </c>
      <c r="D194" t="s">
        <v>459</v>
      </c>
      <c r="E194">
        <v>133906021627</v>
      </c>
      <c r="F194">
        <v>110455546553</v>
      </c>
      <c r="G194">
        <v>106496857053</v>
      </c>
      <c r="H194">
        <v>96370846007</v>
      </c>
      <c r="I194">
        <v>87455483713</v>
      </c>
      <c r="J194">
        <v>78276544604</v>
      </c>
      <c r="K194">
        <v>73315137179</v>
      </c>
      <c r="L194">
        <v>60987241693</v>
      </c>
      <c r="M194">
        <v>54136166593</v>
      </c>
      <c r="N194">
        <v>42647100531</v>
      </c>
      <c r="O194">
        <v>34422735811</v>
      </c>
      <c r="P194">
        <v>1281</v>
      </c>
      <c r="Q194" t="s">
        <v>460</v>
      </c>
    </row>
    <row r="195" spans="1:17" x14ac:dyDescent="0.3">
      <c r="A195" t="s">
        <v>17</v>
      </c>
      <c r="B195" t="str">
        <f>"600297"</f>
        <v>600297</v>
      </c>
      <c r="C195" t="s">
        <v>461</v>
      </c>
      <c r="D195" t="s">
        <v>462</v>
      </c>
      <c r="E195">
        <v>132338345342</v>
      </c>
      <c r="F195">
        <v>138345358838</v>
      </c>
      <c r="G195">
        <v>128482235562</v>
      </c>
      <c r="H195">
        <v>136459081264</v>
      </c>
      <c r="I195">
        <v>125700865427</v>
      </c>
      <c r="J195">
        <v>113113503867</v>
      </c>
      <c r="K195">
        <v>75109053302</v>
      </c>
      <c r="L195">
        <v>1544533571</v>
      </c>
      <c r="M195">
        <v>1407514467</v>
      </c>
      <c r="N195">
        <v>1369265655</v>
      </c>
      <c r="O195">
        <v>1455152325</v>
      </c>
      <c r="P195">
        <v>469</v>
      </c>
      <c r="Q195" t="s">
        <v>463</v>
      </c>
    </row>
    <row r="196" spans="1:17" x14ac:dyDescent="0.3">
      <c r="A196" t="s">
        <v>17</v>
      </c>
      <c r="B196" t="str">
        <f>"600820"</f>
        <v>600820</v>
      </c>
      <c r="C196" t="s">
        <v>464</v>
      </c>
      <c r="D196" t="s">
        <v>84</v>
      </c>
      <c r="E196">
        <v>131941191918</v>
      </c>
      <c r="F196">
        <v>110683155156</v>
      </c>
      <c r="G196">
        <v>88778657115</v>
      </c>
      <c r="H196">
        <v>78201922470</v>
      </c>
      <c r="I196">
        <v>68114510821</v>
      </c>
      <c r="J196">
        <v>61926079525</v>
      </c>
      <c r="K196">
        <v>62191814438</v>
      </c>
      <c r="L196">
        <v>57356488349</v>
      </c>
      <c r="M196">
        <v>58508598663</v>
      </c>
      <c r="N196">
        <v>47908866230</v>
      </c>
      <c r="O196">
        <v>21759446096</v>
      </c>
      <c r="P196">
        <v>685</v>
      </c>
      <c r="Q196" t="s">
        <v>465</v>
      </c>
    </row>
    <row r="197" spans="1:17" x14ac:dyDescent="0.3">
      <c r="A197" t="s">
        <v>17</v>
      </c>
      <c r="B197" t="str">
        <f>"601866"</f>
        <v>601866</v>
      </c>
      <c r="C197" t="s">
        <v>466</v>
      </c>
      <c r="D197" t="s">
        <v>176</v>
      </c>
      <c r="E197">
        <v>131816171892</v>
      </c>
      <c r="F197">
        <v>149800438181</v>
      </c>
      <c r="G197">
        <v>154435089023</v>
      </c>
      <c r="H197">
        <v>138635681214</v>
      </c>
      <c r="I197">
        <v>135245600118</v>
      </c>
      <c r="J197">
        <v>123680248519</v>
      </c>
      <c r="K197">
        <v>102824379987</v>
      </c>
      <c r="L197">
        <v>53381785121</v>
      </c>
      <c r="M197">
        <v>49073067481</v>
      </c>
      <c r="N197">
        <v>50705523563</v>
      </c>
      <c r="O197">
        <v>53536596600</v>
      </c>
      <c r="P197">
        <v>336</v>
      </c>
      <c r="Q197" t="s">
        <v>467</v>
      </c>
    </row>
    <row r="198" spans="1:17" x14ac:dyDescent="0.3">
      <c r="A198" t="s">
        <v>47</v>
      </c>
      <c r="B198" t="str">
        <f>"000157"</f>
        <v>000157</v>
      </c>
      <c r="C198" t="s">
        <v>468</v>
      </c>
      <c r="D198" t="s">
        <v>429</v>
      </c>
      <c r="E198">
        <v>130582790576</v>
      </c>
      <c r="F198">
        <v>135294831233</v>
      </c>
      <c r="G198">
        <v>100517125088</v>
      </c>
      <c r="H198">
        <v>98387417697</v>
      </c>
      <c r="I198">
        <v>85673771588</v>
      </c>
      <c r="J198">
        <v>94175172623</v>
      </c>
      <c r="K198">
        <v>92927610700</v>
      </c>
      <c r="L198">
        <v>99263183743</v>
      </c>
      <c r="M198">
        <v>90630982824</v>
      </c>
      <c r="N198">
        <v>86438511929</v>
      </c>
      <c r="O198">
        <v>77666483560</v>
      </c>
      <c r="P198">
        <v>1683</v>
      </c>
      <c r="Q198" t="s">
        <v>469</v>
      </c>
    </row>
    <row r="199" spans="1:17" x14ac:dyDescent="0.3">
      <c r="A199" t="s">
        <v>17</v>
      </c>
      <c r="B199" t="str">
        <f>"600350"</f>
        <v>600350</v>
      </c>
      <c r="C199" t="s">
        <v>470</v>
      </c>
      <c r="D199" t="s">
        <v>471</v>
      </c>
      <c r="E199">
        <v>129597908428</v>
      </c>
      <c r="F199">
        <v>100122681402</v>
      </c>
      <c r="G199">
        <v>80991878713</v>
      </c>
      <c r="H199">
        <v>69065506692</v>
      </c>
      <c r="I199">
        <v>51601873825</v>
      </c>
      <c r="J199">
        <v>45620270889</v>
      </c>
      <c r="K199">
        <v>46061263079</v>
      </c>
      <c r="L199">
        <v>42982814605</v>
      </c>
      <c r="M199">
        <v>40213494681</v>
      </c>
      <c r="N199">
        <v>32002942326</v>
      </c>
      <c r="O199">
        <v>24238705372</v>
      </c>
      <c r="P199">
        <v>1230</v>
      </c>
      <c r="Q199" t="s">
        <v>472</v>
      </c>
    </row>
    <row r="200" spans="1:17" x14ac:dyDescent="0.3">
      <c r="A200" t="s">
        <v>17</v>
      </c>
      <c r="B200" t="str">
        <f>"600208"</f>
        <v>600208</v>
      </c>
      <c r="C200" t="s">
        <v>473</v>
      </c>
      <c r="D200" t="s">
        <v>76</v>
      </c>
      <c r="E200">
        <v>128721913038</v>
      </c>
      <c r="F200">
        <v>133412105754</v>
      </c>
      <c r="G200">
        <v>145044079620</v>
      </c>
      <c r="H200">
        <v>144480796939</v>
      </c>
      <c r="I200">
        <v>131272757052</v>
      </c>
      <c r="J200">
        <v>122457542564</v>
      </c>
      <c r="K200">
        <v>94845037961</v>
      </c>
      <c r="L200">
        <v>75072850094</v>
      </c>
      <c r="M200">
        <v>59964458017</v>
      </c>
      <c r="N200">
        <v>47435581853</v>
      </c>
      <c r="O200">
        <v>37605441668</v>
      </c>
      <c r="P200">
        <v>331</v>
      </c>
      <c r="Q200" t="s">
        <v>474</v>
      </c>
    </row>
    <row r="201" spans="1:17" x14ac:dyDescent="0.3">
      <c r="A201" t="s">
        <v>17</v>
      </c>
      <c r="B201" t="str">
        <f>"600803"</f>
        <v>600803</v>
      </c>
      <c r="C201" t="s">
        <v>475</v>
      </c>
      <c r="D201" t="s">
        <v>476</v>
      </c>
      <c r="E201">
        <v>127671550000</v>
      </c>
      <c r="F201">
        <v>109174420000</v>
      </c>
      <c r="G201">
        <v>24363158556</v>
      </c>
      <c r="H201">
        <v>23853001946</v>
      </c>
      <c r="I201">
        <v>23527853016</v>
      </c>
      <c r="J201">
        <v>18718188151</v>
      </c>
      <c r="K201">
        <v>13030011648</v>
      </c>
      <c r="L201">
        <v>9525442975</v>
      </c>
      <c r="M201">
        <v>8725618307</v>
      </c>
      <c r="N201">
        <v>2160929418</v>
      </c>
      <c r="O201">
        <v>1736310919</v>
      </c>
      <c r="P201">
        <v>577</v>
      </c>
      <c r="Q201" t="s">
        <v>477</v>
      </c>
    </row>
    <row r="202" spans="1:17" x14ac:dyDescent="0.3">
      <c r="A202" t="s">
        <v>17</v>
      </c>
      <c r="B202" t="str">
        <f>"600502"</f>
        <v>600502</v>
      </c>
      <c r="C202" t="s">
        <v>478</v>
      </c>
      <c r="D202" t="s">
        <v>65</v>
      </c>
      <c r="E202">
        <v>127648256617</v>
      </c>
      <c r="F202">
        <v>110584091814</v>
      </c>
      <c r="G202">
        <v>91711347882</v>
      </c>
      <c r="H202">
        <v>76417788463</v>
      </c>
      <c r="I202">
        <v>61929722908</v>
      </c>
      <c r="J202">
        <v>18469952253</v>
      </c>
      <c r="K202">
        <v>13386667527</v>
      </c>
      <c r="L202">
        <v>11939948553</v>
      </c>
      <c r="M202">
        <v>10175791292</v>
      </c>
      <c r="N202">
        <v>8157235613</v>
      </c>
      <c r="O202">
        <v>6633314935</v>
      </c>
      <c r="P202">
        <v>410</v>
      </c>
      <c r="Q202" t="s">
        <v>479</v>
      </c>
    </row>
    <row r="203" spans="1:17" x14ac:dyDescent="0.3">
      <c r="A203" t="s">
        <v>47</v>
      </c>
      <c r="B203" t="str">
        <f>"002475"</f>
        <v>002475</v>
      </c>
      <c r="C203" t="s">
        <v>480</v>
      </c>
      <c r="D203" t="s">
        <v>283</v>
      </c>
      <c r="E203">
        <v>125510269761</v>
      </c>
      <c r="F203">
        <v>90051537784</v>
      </c>
      <c r="G203">
        <v>53285261466</v>
      </c>
      <c r="H203">
        <v>36779710273</v>
      </c>
      <c r="I203">
        <v>26502301359</v>
      </c>
      <c r="J203">
        <v>20332443038</v>
      </c>
      <c r="K203">
        <v>11500712894</v>
      </c>
      <c r="L203">
        <v>9948878763</v>
      </c>
      <c r="M203">
        <v>6285071626</v>
      </c>
      <c r="N203">
        <v>4263845913</v>
      </c>
      <c r="O203">
        <v>3166675071</v>
      </c>
      <c r="P203">
        <v>5894</v>
      </c>
      <c r="Q203" t="s">
        <v>481</v>
      </c>
    </row>
    <row r="204" spans="1:17" x14ac:dyDescent="0.3">
      <c r="A204" t="s">
        <v>47</v>
      </c>
      <c r="B204" t="str">
        <f>"000728"</f>
        <v>000728</v>
      </c>
      <c r="C204" t="s">
        <v>482</v>
      </c>
      <c r="D204" t="s">
        <v>99</v>
      </c>
      <c r="E204">
        <v>125413338983</v>
      </c>
      <c r="F204">
        <v>99078431697</v>
      </c>
      <c r="G204">
        <v>83856134357</v>
      </c>
      <c r="H204">
        <v>87948084745</v>
      </c>
      <c r="I204">
        <v>80763909631</v>
      </c>
      <c r="J204">
        <v>73026963752</v>
      </c>
      <c r="K204">
        <v>66149444105</v>
      </c>
      <c r="L204">
        <v>64134322682</v>
      </c>
      <c r="M204">
        <v>32015517204</v>
      </c>
      <c r="N204">
        <v>24713149888</v>
      </c>
      <c r="O204">
        <v>22811206552</v>
      </c>
      <c r="P204">
        <v>1900</v>
      </c>
      <c r="Q204" t="s">
        <v>483</v>
      </c>
    </row>
    <row r="205" spans="1:17" x14ac:dyDescent="0.3">
      <c r="A205" t="s">
        <v>17</v>
      </c>
      <c r="B205" t="str">
        <f>"600057"</f>
        <v>600057</v>
      </c>
      <c r="C205" t="s">
        <v>484</v>
      </c>
      <c r="D205" t="s">
        <v>134</v>
      </c>
      <c r="E205">
        <v>125255244274</v>
      </c>
      <c r="F205">
        <v>102557327953</v>
      </c>
      <c r="G205">
        <v>83628213771</v>
      </c>
      <c r="H205">
        <v>65989226449</v>
      </c>
      <c r="I205">
        <v>55148653720</v>
      </c>
      <c r="J205">
        <v>51367944620</v>
      </c>
      <c r="K205">
        <v>30454488901</v>
      </c>
      <c r="L205">
        <v>23192470812</v>
      </c>
      <c r="M205">
        <v>17225109947</v>
      </c>
      <c r="N205">
        <v>10610244432</v>
      </c>
      <c r="O205">
        <v>10398786903</v>
      </c>
      <c r="P205">
        <v>411</v>
      </c>
      <c r="Q205" t="s">
        <v>485</v>
      </c>
    </row>
    <row r="206" spans="1:17" x14ac:dyDescent="0.3">
      <c r="A206" t="s">
        <v>17</v>
      </c>
      <c r="B206" t="str">
        <f>"600887"</f>
        <v>600887</v>
      </c>
      <c r="C206" t="s">
        <v>486</v>
      </c>
      <c r="D206" t="s">
        <v>487</v>
      </c>
      <c r="E206">
        <v>122018177743</v>
      </c>
      <c r="F206">
        <v>83804173982</v>
      </c>
      <c r="G206">
        <v>70158032462</v>
      </c>
      <c r="H206">
        <v>52457875487</v>
      </c>
      <c r="I206">
        <v>48984690103</v>
      </c>
      <c r="J206">
        <v>42564284926</v>
      </c>
      <c r="K206">
        <v>39964321806</v>
      </c>
      <c r="L206">
        <v>40714451543</v>
      </c>
      <c r="M206">
        <v>34346066329</v>
      </c>
      <c r="N206">
        <v>24954695014</v>
      </c>
      <c r="O206">
        <v>19352341450</v>
      </c>
      <c r="P206">
        <v>72799</v>
      </c>
      <c r="Q206" t="s">
        <v>488</v>
      </c>
    </row>
    <row r="207" spans="1:17" x14ac:dyDescent="0.3">
      <c r="A207" t="s">
        <v>47</v>
      </c>
      <c r="B207" t="str">
        <f>"002202"</f>
        <v>002202</v>
      </c>
      <c r="C207" t="s">
        <v>489</v>
      </c>
      <c r="D207" t="s">
        <v>490</v>
      </c>
      <c r="E207">
        <v>121693168553</v>
      </c>
      <c r="F207">
        <v>111509364540</v>
      </c>
      <c r="G207">
        <v>102099331781</v>
      </c>
      <c r="H207">
        <v>86931893582</v>
      </c>
      <c r="I207">
        <v>71316087749</v>
      </c>
      <c r="J207">
        <v>61812650205</v>
      </c>
      <c r="K207">
        <v>52296927613</v>
      </c>
      <c r="L207">
        <v>43327614164</v>
      </c>
      <c r="M207">
        <v>32681244197</v>
      </c>
      <c r="N207">
        <v>30502559811</v>
      </c>
      <c r="O207">
        <v>32497468423</v>
      </c>
      <c r="P207">
        <v>1283</v>
      </c>
      <c r="Q207" t="s">
        <v>491</v>
      </c>
    </row>
    <row r="208" spans="1:17" x14ac:dyDescent="0.3">
      <c r="A208" t="s">
        <v>17</v>
      </c>
      <c r="B208" t="str">
        <f>"601878"</f>
        <v>601878</v>
      </c>
      <c r="C208" t="s">
        <v>492</v>
      </c>
      <c r="D208" t="s">
        <v>99</v>
      </c>
      <c r="E208">
        <v>121056258707</v>
      </c>
      <c r="F208">
        <v>105330604708</v>
      </c>
      <c r="G208">
        <v>74059508774</v>
      </c>
      <c r="H208">
        <v>71037862898</v>
      </c>
      <c r="I208">
        <v>53266917554</v>
      </c>
      <c r="J208">
        <v>54657991962</v>
      </c>
      <c r="K208">
        <v>53031705100</v>
      </c>
      <c r="M208">
        <v>17419445600</v>
      </c>
      <c r="N208">
        <v>13653990600</v>
      </c>
      <c r="P208">
        <v>842</v>
      </c>
      <c r="Q208" t="s">
        <v>493</v>
      </c>
    </row>
    <row r="209" spans="1:17" x14ac:dyDescent="0.3">
      <c r="A209" t="s">
        <v>17</v>
      </c>
      <c r="B209" t="str">
        <f>"600023"</f>
        <v>600023</v>
      </c>
      <c r="C209" t="s">
        <v>494</v>
      </c>
      <c r="D209" t="s">
        <v>171</v>
      </c>
      <c r="E209">
        <v>117597060552</v>
      </c>
      <c r="F209">
        <v>115497693160</v>
      </c>
      <c r="G209">
        <v>110036184680</v>
      </c>
      <c r="H209">
        <v>111542513522</v>
      </c>
      <c r="I209">
        <v>111856579382</v>
      </c>
      <c r="J209">
        <v>106464859879</v>
      </c>
      <c r="K209">
        <v>103810102478</v>
      </c>
      <c r="L209">
        <v>104590668737</v>
      </c>
      <c r="M209">
        <v>91818797217</v>
      </c>
      <c r="P209">
        <v>918</v>
      </c>
      <c r="Q209" t="s">
        <v>495</v>
      </c>
    </row>
    <row r="210" spans="1:17" x14ac:dyDescent="0.3">
      <c r="A210" t="s">
        <v>17</v>
      </c>
      <c r="B210" t="str">
        <f>"600663"</f>
        <v>600663</v>
      </c>
      <c r="C210" t="s">
        <v>496</v>
      </c>
      <c r="D210" t="s">
        <v>117</v>
      </c>
      <c r="E210">
        <v>117018570526</v>
      </c>
      <c r="F210">
        <v>105860566367</v>
      </c>
      <c r="G210">
        <v>94584495406</v>
      </c>
      <c r="H210">
        <v>82996742574</v>
      </c>
      <c r="I210">
        <v>79362588666</v>
      </c>
      <c r="J210">
        <v>81468211751</v>
      </c>
      <c r="K210">
        <v>53408337852</v>
      </c>
      <c r="L210">
        <v>45873494838</v>
      </c>
      <c r="M210">
        <v>38696840612</v>
      </c>
      <c r="N210">
        <v>32122753743</v>
      </c>
      <c r="O210">
        <v>27199208673</v>
      </c>
      <c r="P210">
        <v>700</v>
      </c>
      <c r="Q210" t="s">
        <v>497</v>
      </c>
    </row>
    <row r="211" spans="1:17" x14ac:dyDescent="0.3">
      <c r="A211" t="s">
        <v>47</v>
      </c>
      <c r="B211" t="str">
        <f>"000425"</f>
        <v>000425</v>
      </c>
      <c r="C211" t="s">
        <v>498</v>
      </c>
      <c r="D211" t="s">
        <v>429</v>
      </c>
      <c r="E211">
        <v>115091657497</v>
      </c>
      <c r="F211">
        <v>96574546771</v>
      </c>
      <c r="G211">
        <v>83571657172</v>
      </c>
      <c r="H211">
        <v>65953647744</v>
      </c>
      <c r="I211">
        <v>53088869334</v>
      </c>
      <c r="J211">
        <v>45445013036</v>
      </c>
      <c r="K211">
        <v>43800566172</v>
      </c>
      <c r="L211">
        <v>49570021108</v>
      </c>
      <c r="M211">
        <v>50029678318</v>
      </c>
      <c r="N211">
        <v>48628951719</v>
      </c>
      <c r="O211">
        <v>38148640726</v>
      </c>
      <c r="P211">
        <v>961</v>
      </c>
      <c r="Q211" t="s">
        <v>499</v>
      </c>
    </row>
    <row r="212" spans="1:17" x14ac:dyDescent="0.3">
      <c r="A212" t="s">
        <v>47</v>
      </c>
      <c r="B212" t="str">
        <f>"002423"</f>
        <v>002423</v>
      </c>
      <c r="C212" t="s">
        <v>500</v>
      </c>
      <c r="D212" t="s">
        <v>109</v>
      </c>
      <c r="E212">
        <v>114898719013</v>
      </c>
      <c r="F212">
        <v>97096416374</v>
      </c>
      <c r="G212">
        <v>73922426605</v>
      </c>
      <c r="H212">
        <v>63375232014</v>
      </c>
      <c r="I212">
        <v>3495361729</v>
      </c>
      <c r="J212">
        <v>3793655350</v>
      </c>
      <c r="K212">
        <v>3514234555</v>
      </c>
      <c r="L212">
        <v>3513416996</v>
      </c>
      <c r="M212">
        <v>3006671350</v>
      </c>
      <c r="N212">
        <v>2611688788</v>
      </c>
      <c r="O212">
        <v>2796830834</v>
      </c>
      <c r="P212">
        <v>145</v>
      </c>
      <c r="Q212" t="s">
        <v>501</v>
      </c>
    </row>
    <row r="213" spans="1:17" x14ac:dyDescent="0.3">
      <c r="A213" t="s">
        <v>47</v>
      </c>
      <c r="B213" t="str">
        <f>"000539"</f>
        <v>000539</v>
      </c>
      <c r="C213" t="s">
        <v>502</v>
      </c>
      <c r="D213" t="s">
        <v>171</v>
      </c>
      <c r="E213">
        <v>114611275735</v>
      </c>
      <c r="F213">
        <v>88793725069</v>
      </c>
      <c r="G213">
        <v>76358861961</v>
      </c>
      <c r="H213">
        <v>72032603693</v>
      </c>
      <c r="I213">
        <v>70852027159</v>
      </c>
      <c r="J213">
        <v>69786680797</v>
      </c>
      <c r="K213">
        <v>71469160112</v>
      </c>
      <c r="L213">
        <v>70373973554</v>
      </c>
      <c r="M213">
        <v>67134455420</v>
      </c>
      <c r="N213">
        <v>68318265389</v>
      </c>
      <c r="O213">
        <v>39863216231</v>
      </c>
      <c r="P213">
        <v>203</v>
      </c>
      <c r="Q213" t="s">
        <v>503</v>
      </c>
    </row>
    <row r="214" spans="1:17" x14ac:dyDescent="0.3">
      <c r="A214" t="s">
        <v>17</v>
      </c>
      <c r="B214" t="str">
        <f>"601012"</f>
        <v>601012</v>
      </c>
      <c r="C214" t="s">
        <v>504</v>
      </c>
      <c r="D214" t="s">
        <v>505</v>
      </c>
      <c r="E214">
        <v>114465678264</v>
      </c>
      <c r="F214">
        <v>93350538705</v>
      </c>
      <c r="G214">
        <v>63150579720</v>
      </c>
      <c r="H214">
        <v>43164764438</v>
      </c>
      <c r="I214">
        <v>34804416331</v>
      </c>
      <c r="J214">
        <v>21863922188</v>
      </c>
      <c r="K214">
        <v>11641728403</v>
      </c>
      <c r="L214">
        <v>5992488490</v>
      </c>
      <c r="M214">
        <v>4758499491</v>
      </c>
      <c r="N214">
        <v>4767157439</v>
      </c>
      <c r="O214">
        <v>4995942213</v>
      </c>
      <c r="P214">
        <v>6941</v>
      </c>
      <c r="Q214" t="s">
        <v>506</v>
      </c>
    </row>
    <row r="215" spans="1:17" x14ac:dyDescent="0.3">
      <c r="A215" t="s">
        <v>47</v>
      </c>
      <c r="B215" t="str">
        <f>"000932"</f>
        <v>000932</v>
      </c>
      <c r="C215" t="s">
        <v>507</v>
      </c>
      <c r="D215" t="s">
        <v>210</v>
      </c>
      <c r="E215">
        <v>109916489057</v>
      </c>
      <c r="F215">
        <v>100119995882</v>
      </c>
      <c r="G215">
        <v>86227137468</v>
      </c>
      <c r="H215">
        <v>74163592990</v>
      </c>
      <c r="I215">
        <v>76194193722</v>
      </c>
      <c r="J215">
        <v>71516091399</v>
      </c>
      <c r="K215">
        <v>74251915062</v>
      </c>
      <c r="L215">
        <v>73081901619</v>
      </c>
      <c r="M215">
        <v>70539897490</v>
      </c>
      <c r="N215">
        <v>66543864938</v>
      </c>
      <c r="O215">
        <v>76279302977</v>
      </c>
      <c r="P215">
        <v>1039</v>
      </c>
      <c r="Q215" t="s">
        <v>508</v>
      </c>
    </row>
    <row r="216" spans="1:17" x14ac:dyDescent="0.3">
      <c r="A216" t="s">
        <v>47</v>
      </c>
      <c r="B216" t="str">
        <f>"000046"</f>
        <v>000046</v>
      </c>
      <c r="C216" t="s">
        <v>509</v>
      </c>
      <c r="D216" t="s">
        <v>76</v>
      </c>
      <c r="E216">
        <v>109883881913</v>
      </c>
      <c r="F216">
        <v>174464482717</v>
      </c>
      <c r="G216">
        <v>179062134292</v>
      </c>
      <c r="H216">
        <v>183542748536</v>
      </c>
      <c r="I216">
        <v>198648662588</v>
      </c>
      <c r="J216">
        <v>175736957372</v>
      </c>
      <c r="K216">
        <v>134550569063</v>
      </c>
      <c r="L216">
        <v>83543489420</v>
      </c>
      <c r="M216">
        <v>42147220260</v>
      </c>
      <c r="N216">
        <v>36164730590</v>
      </c>
      <c r="O216">
        <v>24043726230</v>
      </c>
      <c r="P216">
        <v>210</v>
      </c>
      <c r="Q216" t="s">
        <v>510</v>
      </c>
    </row>
    <row r="217" spans="1:17" x14ac:dyDescent="0.3">
      <c r="A217" t="s">
        <v>17</v>
      </c>
      <c r="B217" t="str">
        <f>"601198"</f>
        <v>601198</v>
      </c>
      <c r="C217" t="s">
        <v>511</v>
      </c>
      <c r="D217" t="s">
        <v>99</v>
      </c>
      <c r="E217">
        <v>109103543844</v>
      </c>
      <c r="F217">
        <v>88344793456</v>
      </c>
      <c r="G217">
        <v>87582974507</v>
      </c>
      <c r="H217">
        <v>89856212311</v>
      </c>
      <c r="I217">
        <v>86837070206</v>
      </c>
      <c r="J217">
        <v>70066269168</v>
      </c>
      <c r="K217">
        <v>76714234375</v>
      </c>
      <c r="L217">
        <v>57229745903</v>
      </c>
      <c r="P217">
        <v>814</v>
      </c>
      <c r="Q217" t="s">
        <v>512</v>
      </c>
    </row>
    <row r="218" spans="1:17" x14ac:dyDescent="0.3">
      <c r="A218" t="s">
        <v>17</v>
      </c>
      <c r="B218" t="str">
        <f>"688009"</f>
        <v>688009</v>
      </c>
      <c r="C218" t="s">
        <v>513</v>
      </c>
      <c r="D218" t="s">
        <v>193</v>
      </c>
      <c r="E218">
        <v>108938964150</v>
      </c>
      <c r="F218">
        <v>104439785758</v>
      </c>
      <c r="G218">
        <v>96125336553</v>
      </c>
      <c r="H218">
        <v>83600588816</v>
      </c>
      <c r="P218">
        <v>201</v>
      </c>
      <c r="Q218" t="s">
        <v>514</v>
      </c>
    </row>
    <row r="219" spans="1:17" x14ac:dyDescent="0.3">
      <c r="A219" t="s">
        <v>17</v>
      </c>
      <c r="B219" t="str">
        <f>"601108"</f>
        <v>601108</v>
      </c>
      <c r="C219" t="s">
        <v>515</v>
      </c>
      <c r="D219" t="s">
        <v>99</v>
      </c>
      <c r="E219">
        <v>108045873996</v>
      </c>
      <c r="F219">
        <v>95554497392</v>
      </c>
      <c r="G219">
        <v>71819208558</v>
      </c>
      <c r="H219">
        <v>62873071889</v>
      </c>
      <c r="I219">
        <v>57946096036</v>
      </c>
      <c r="L219">
        <v>62377592300</v>
      </c>
      <c r="P219">
        <v>980</v>
      </c>
      <c r="Q219" t="s">
        <v>516</v>
      </c>
    </row>
    <row r="220" spans="1:17" x14ac:dyDescent="0.3">
      <c r="A220" t="s">
        <v>47</v>
      </c>
      <c r="B220" t="str">
        <f>"000703"</f>
        <v>000703</v>
      </c>
      <c r="C220" t="s">
        <v>517</v>
      </c>
      <c r="D220" t="s">
        <v>62</v>
      </c>
      <c r="E220">
        <v>108001042526</v>
      </c>
      <c r="F220">
        <v>100026074885</v>
      </c>
      <c r="G220">
        <v>91845353683</v>
      </c>
      <c r="H220">
        <v>64884043484</v>
      </c>
      <c r="I220">
        <v>37562396818</v>
      </c>
      <c r="J220">
        <v>27912265395</v>
      </c>
      <c r="K220">
        <v>23991501131</v>
      </c>
      <c r="L220">
        <v>26495818860</v>
      </c>
      <c r="M220">
        <v>24285075632</v>
      </c>
      <c r="N220">
        <v>23157915543</v>
      </c>
      <c r="O220">
        <v>23386876730</v>
      </c>
      <c r="P220">
        <v>581</v>
      </c>
      <c r="Q220" t="s">
        <v>518</v>
      </c>
    </row>
    <row r="221" spans="1:17" x14ac:dyDescent="0.3">
      <c r="A221" t="s">
        <v>17</v>
      </c>
      <c r="B221" t="str">
        <f>"600008"</f>
        <v>600008</v>
      </c>
      <c r="C221" t="s">
        <v>519</v>
      </c>
      <c r="D221" t="s">
        <v>520</v>
      </c>
      <c r="E221">
        <v>107988419074</v>
      </c>
      <c r="F221">
        <v>102175051196</v>
      </c>
      <c r="G221">
        <v>83384199350</v>
      </c>
      <c r="H221">
        <v>70578815242</v>
      </c>
      <c r="I221">
        <v>53098393197</v>
      </c>
      <c r="J221">
        <v>42812361429</v>
      </c>
      <c r="K221">
        <v>36506891927</v>
      </c>
      <c r="L221">
        <v>26408785438</v>
      </c>
      <c r="M221">
        <v>25150574115</v>
      </c>
      <c r="N221">
        <v>23349352645</v>
      </c>
      <c r="O221">
        <v>19586423636</v>
      </c>
      <c r="P221">
        <v>445</v>
      </c>
      <c r="Q221" t="s">
        <v>521</v>
      </c>
    </row>
    <row r="222" spans="1:17" x14ac:dyDescent="0.3">
      <c r="A222" t="s">
        <v>47</v>
      </c>
      <c r="B222" t="str">
        <f>"002415"</f>
        <v>002415</v>
      </c>
      <c r="C222" t="s">
        <v>522</v>
      </c>
      <c r="D222" t="s">
        <v>523</v>
      </c>
      <c r="E222">
        <v>104433154852</v>
      </c>
      <c r="F222">
        <v>86378576574</v>
      </c>
      <c r="G222">
        <v>73083912948</v>
      </c>
      <c r="H222">
        <v>60547762105</v>
      </c>
      <c r="I222">
        <v>50208262129</v>
      </c>
      <c r="J222">
        <v>42657819050</v>
      </c>
      <c r="K222">
        <v>31156244905</v>
      </c>
      <c r="L222">
        <v>21417873571</v>
      </c>
      <c r="M222">
        <v>14591441081</v>
      </c>
      <c r="N222">
        <v>10400278286</v>
      </c>
      <c r="O222">
        <v>8117909456</v>
      </c>
      <c r="P222">
        <v>63223</v>
      </c>
      <c r="Q222" t="s">
        <v>524</v>
      </c>
    </row>
    <row r="223" spans="1:17" x14ac:dyDescent="0.3">
      <c r="A223" t="s">
        <v>17</v>
      </c>
      <c r="B223" t="str">
        <f>"600438"</f>
        <v>600438</v>
      </c>
      <c r="C223" t="s">
        <v>525</v>
      </c>
      <c r="D223" t="s">
        <v>505</v>
      </c>
      <c r="E223">
        <v>103944687425</v>
      </c>
      <c r="F223">
        <v>73048869213</v>
      </c>
      <c r="G223">
        <v>51203411461</v>
      </c>
      <c r="H223">
        <v>45859610280</v>
      </c>
      <c r="I223">
        <v>27379558789</v>
      </c>
      <c r="J223">
        <v>23153511591</v>
      </c>
      <c r="K223">
        <v>11331127841</v>
      </c>
      <c r="L223">
        <v>7036756512</v>
      </c>
      <c r="M223">
        <v>6128781320</v>
      </c>
      <c r="N223">
        <v>5228539224</v>
      </c>
      <c r="O223">
        <v>4314286598</v>
      </c>
      <c r="P223">
        <v>2549</v>
      </c>
      <c r="Q223" t="s">
        <v>526</v>
      </c>
    </row>
    <row r="224" spans="1:17" x14ac:dyDescent="0.3">
      <c r="A224" t="s">
        <v>17</v>
      </c>
      <c r="B224" t="str">
        <f>"600875"</f>
        <v>600875</v>
      </c>
      <c r="C224" t="s">
        <v>527</v>
      </c>
      <c r="D224" t="s">
        <v>256</v>
      </c>
      <c r="E224">
        <v>103655868895</v>
      </c>
      <c r="F224">
        <v>96545125180</v>
      </c>
      <c r="G224">
        <v>88269889025</v>
      </c>
      <c r="H224">
        <v>88231486123</v>
      </c>
      <c r="I224">
        <v>77333570907</v>
      </c>
      <c r="J224">
        <v>83756185823</v>
      </c>
      <c r="K224">
        <v>86045946807</v>
      </c>
      <c r="L224">
        <v>84314189021</v>
      </c>
      <c r="M224">
        <v>78573295369</v>
      </c>
      <c r="N224">
        <v>78002001552</v>
      </c>
      <c r="O224">
        <v>80538229718</v>
      </c>
      <c r="P224">
        <v>482</v>
      </c>
      <c r="Q224" t="s">
        <v>528</v>
      </c>
    </row>
    <row r="225" spans="1:17" x14ac:dyDescent="0.3">
      <c r="A225" t="s">
        <v>17</v>
      </c>
      <c r="B225" t="str">
        <f>"600157"</f>
        <v>600157</v>
      </c>
      <c r="C225" t="s">
        <v>529</v>
      </c>
      <c r="D225" t="s">
        <v>530</v>
      </c>
      <c r="E225">
        <v>103596543497</v>
      </c>
      <c r="F225">
        <v>104657123475</v>
      </c>
      <c r="G225">
        <v>105902432746</v>
      </c>
      <c r="H225">
        <v>106369158583</v>
      </c>
      <c r="I225">
        <v>107226208465</v>
      </c>
      <c r="J225">
        <v>99106290905</v>
      </c>
      <c r="K225">
        <v>87572379769</v>
      </c>
      <c r="L225">
        <v>61768736952</v>
      </c>
      <c r="M225">
        <v>49536515038</v>
      </c>
      <c r="N225">
        <v>43498949023</v>
      </c>
      <c r="O225">
        <v>21952659304</v>
      </c>
      <c r="P225">
        <v>226</v>
      </c>
      <c r="Q225" t="s">
        <v>531</v>
      </c>
    </row>
    <row r="226" spans="1:17" x14ac:dyDescent="0.3">
      <c r="A226" t="s">
        <v>17</v>
      </c>
      <c r="B226" t="str">
        <f>"600339"</f>
        <v>600339</v>
      </c>
      <c r="C226" t="s">
        <v>532</v>
      </c>
      <c r="D226" t="s">
        <v>533</v>
      </c>
      <c r="E226">
        <v>103252881218</v>
      </c>
      <c r="F226">
        <v>103351873811</v>
      </c>
      <c r="G226">
        <v>94383340775</v>
      </c>
      <c r="H226">
        <v>92994368544</v>
      </c>
      <c r="I226">
        <v>92676997934</v>
      </c>
      <c r="J226">
        <v>85786344236</v>
      </c>
      <c r="K226">
        <v>3310957242</v>
      </c>
      <c r="L226">
        <v>3976336255</v>
      </c>
      <c r="M226">
        <v>4018881658</v>
      </c>
      <c r="N226">
        <v>4149077105</v>
      </c>
      <c r="O226">
        <v>4324435742</v>
      </c>
      <c r="P226">
        <v>232</v>
      </c>
      <c r="Q226" t="s">
        <v>534</v>
      </c>
    </row>
    <row r="227" spans="1:17" x14ac:dyDescent="0.3">
      <c r="A227" t="s">
        <v>17</v>
      </c>
      <c r="B227" t="str">
        <f>"600901"</f>
        <v>600901</v>
      </c>
      <c r="C227" t="s">
        <v>535</v>
      </c>
      <c r="D227" t="s">
        <v>293</v>
      </c>
      <c r="E227">
        <v>102299022581</v>
      </c>
      <c r="F227">
        <v>86243792637</v>
      </c>
      <c r="G227">
        <v>71977083446</v>
      </c>
      <c r="H227">
        <v>61912727196</v>
      </c>
      <c r="I227">
        <v>53961669840</v>
      </c>
      <c r="P227">
        <v>475</v>
      </c>
      <c r="Q227" t="s">
        <v>536</v>
      </c>
    </row>
    <row r="228" spans="1:17" x14ac:dyDescent="0.3">
      <c r="A228" t="s">
        <v>47</v>
      </c>
      <c r="B228" t="str">
        <f>"000898"</f>
        <v>000898</v>
      </c>
      <c r="C228" t="s">
        <v>537</v>
      </c>
      <c r="D228" t="s">
        <v>210</v>
      </c>
      <c r="E228">
        <v>101137000000</v>
      </c>
      <c r="F228">
        <v>89354000000</v>
      </c>
      <c r="G228">
        <v>90188000000</v>
      </c>
      <c r="H228">
        <v>90457000000</v>
      </c>
      <c r="I228">
        <v>92145000000</v>
      </c>
      <c r="J228">
        <v>93805000000</v>
      </c>
      <c r="K228">
        <v>90044000000</v>
      </c>
      <c r="L228">
        <v>89779000000</v>
      </c>
      <c r="M228">
        <v>93624000000</v>
      </c>
      <c r="N228">
        <v>89885000000</v>
      </c>
      <c r="O228">
        <v>101772000000</v>
      </c>
      <c r="P228">
        <v>646</v>
      </c>
      <c r="Q228" t="s">
        <v>538</v>
      </c>
    </row>
    <row r="229" spans="1:17" x14ac:dyDescent="0.3">
      <c r="A229" t="s">
        <v>17</v>
      </c>
      <c r="B229" t="str">
        <f>"601162"</f>
        <v>601162</v>
      </c>
      <c r="C229" t="s">
        <v>539</v>
      </c>
      <c r="D229" t="s">
        <v>99</v>
      </c>
      <c r="E229">
        <v>100012853114</v>
      </c>
      <c r="F229">
        <v>83098903133</v>
      </c>
      <c r="G229">
        <v>76780195145</v>
      </c>
      <c r="H229">
        <v>54755090140</v>
      </c>
      <c r="I229">
        <v>55327816132</v>
      </c>
      <c r="K229">
        <v>51036592042</v>
      </c>
      <c r="L229">
        <v>22604755996</v>
      </c>
      <c r="M229">
        <v>6892397580</v>
      </c>
      <c r="P229">
        <v>897</v>
      </c>
      <c r="Q229" t="s">
        <v>540</v>
      </c>
    </row>
    <row r="230" spans="1:17" x14ac:dyDescent="0.3">
      <c r="A230" t="s">
        <v>47</v>
      </c>
      <c r="B230" t="str">
        <f>"002761"</f>
        <v>002761</v>
      </c>
      <c r="C230" t="s">
        <v>541</v>
      </c>
      <c r="D230" t="s">
        <v>65</v>
      </c>
      <c r="E230">
        <v>98764205458</v>
      </c>
      <c r="F230">
        <v>86706363361</v>
      </c>
      <c r="G230">
        <v>74967539039</v>
      </c>
      <c r="H230">
        <v>931961622</v>
      </c>
      <c r="I230">
        <v>891562749</v>
      </c>
      <c r="J230">
        <v>864510963</v>
      </c>
      <c r="K230">
        <v>879471802</v>
      </c>
      <c r="L230">
        <v>643966000</v>
      </c>
      <c r="P230">
        <v>195</v>
      </c>
      <c r="Q230" t="s">
        <v>542</v>
      </c>
    </row>
    <row r="231" spans="1:17" x14ac:dyDescent="0.3">
      <c r="A231" t="s">
        <v>47</v>
      </c>
      <c r="B231" t="str">
        <f>"001965"</f>
        <v>001965</v>
      </c>
      <c r="C231" t="s">
        <v>543</v>
      </c>
      <c r="D231" t="s">
        <v>471</v>
      </c>
      <c r="E231">
        <v>98672221980</v>
      </c>
      <c r="F231">
        <v>94579574660</v>
      </c>
      <c r="G231">
        <v>92842013048</v>
      </c>
      <c r="H231">
        <v>86797628075</v>
      </c>
      <c r="I231">
        <v>65193910645</v>
      </c>
      <c r="P231">
        <v>359</v>
      </c>
      <c r="Q231" t="s">
        <v>544</v>
      </c>
    </row>
    <row r="232" spans="1:17" x14ac:dyDescent="0.3">
      <c r="A232" t="s">
        <v>17</v>
      </c>
      <c r="B232" t="str">
        <f>"601699"</f>
        <v>601699</v>
      </c>
      <c r="C232" t="s">
        <v>545</v>
      </c>
      <c r="D232" t="s">
        <v>530</v>
      </c>
      <c r="E232">
        <v>97738745656</v>
      </c>
      <c r="F232">
        <v>79459115877</v>
      </c>
      <c r="G232">
        <v>74012747408</v>
      </c>
      <c r="H232">
        <v>64295366339</v>
      </c>
      <c r="I232">
        <v>64622653987</v>
      </c>
      <c r="J232">
        <v>58503760623</v>
      </c>
      <c r="K232">
        <v>51325631838</v>
      </c>
      <c r="L232">
        <v>52567122208</v>
      </c>
      <c r="M232">
        <v>45854869772</v>
      </c>
      <c r="N232">
        <v>41203855542</v>
      </c>
      <c r="O232">
        <v>35106043135</v>
      </c>
      <c r="P232">
        <v>791</v>
      </c>
      <c r="Q232" t="s">
        <v>546</v>
      </c>
    </row>
    <row r="233" spans="1:17" x14ac:dyDescent="0.3">
      <c r="A233" t="s">
        <v>17</v>
      </c>
      <c r="B233" t="str">
        <f>"600109"</f>
        <v>600109</v>
      </c>
      <c r="C233" t="s">
        <v>547</v>
      </c>
      <c r="D233" t="s">
        <v>99</v>
      </c>
      <c r="E233">
        <v>97396849372</v>
      </c>
      <c r="F233">
        <v>68990976957</v>
      </c>
      <c r="G233">
        <v>62369755351</v>
      </c>
      <c r="H233">
        <v>54341752111</v>
      </c>
      <c r="I233">
        <v>45528030886</v>
      </c>
      <c r="J233">
        <v>43620922236</v>
      </c>
      <c r="K233">
        <v>55340001560</v>
      </c>
      <c r="L233">
        <v>35767725022</v>
      </c>
      <c r="M233">
        <v>14757736471</v>
      </c>
      <c r="N233">
        <v>13049417618</v>
      </c>
      <c r="O233">
        <v>10149345272</v>
      </c>
      <c r="P233">
        <v>1128</v>
      </c>
      <c r="Q233" t="s">
        <v>548</v>
      </c>
    </row>
    <row r="234" spans="1:17" x14ac:dyDescent="0.3">
      <c r="A234" t="s">
        <v>17</v>
      </c>
      <c r="B234" t="str">
        <f>"600196"</f>
        <v>600196</v>
      </c>
      <c r="C234" t="s">
        <v>549</v>
      </c>
      <c r="D234" t="s">
        <v>550</v>
      </c>
      <c r="E234">
        <v>95774597184</v>
      </c>
      <c r="F234">
        <v>86613732771</v>
      </c>
      <c r="G234">
        <v>77591632618</v>
      </c>
      <c r="H234">
        <v>72751765477</v>
      </c>
      <c r="I234">
        <v>63716970446</v>
      </c>
      <c r="J234">
        <v>47338126209</v>
      </c>
      <c r="K234">
        <v>39617346443</v>
      </c>
      <c r="L234">
        <v>35401461220</v>
      </c>
      <c r="M234">
        <v>30052245578</v>
      </c>
      <c r="N234">
        <v>25919867326</v>
      </c>
      <c r="O234">
        <v>22242618849</v>
      </c>
      <c r="P234">
        <v>3821</v>
      </c>
      <c r="Q234" t="s">
        <v>551</v>
      </c>
    </row>
    <row r="235" spans="1:17" x14ac:dyDescent="0.3">
      <c r="A235" t="s">
        <v>17</v>
      </c>
      <c r="B235" t="str">
        <f>"601018"</f>
        <v>601018</v>
      </c>
      <c r="C235" t="s">
        <v>552</v>
      </c>
      <c r="D235" t="s">
        <v>357</v>
      </c>
      <c r="E235">
        <v>95547406000</v>
      </c>
      <c r="F235">
        <v>90335191000</v>
      </c>
      <c r="G235">
        <v>75349547000</v>
      </c>
      <c r="H235">
        <v>72195707000</v>
      </c>
      <c r="I235">
        <v>63048924000</v>
      </c>
      <c r="J235">
        <v>59086883000</v>
      </c>
      <c r="K235">
        <v>47829051000</v>
      </c>
      <c r="L235">
        <v>45503793000</v>
      </c>
      <c r="M235">
        <v>42389028000</v>
      </c>
      <c r="N235">
        <v>39594065000</v>
      </c>
      <c r="O235">
        <v>34685663000</v>
      </c>
      <c r="P235">
        <v>335</v>
      </c>
      <c r="Q235" t="s">
        <v>553</v>
      </c>
    </row>
    <row r="236" spans="1:17" x14ac:dyDescent="0.3">
      <c r="A236" t="s">
        <v>47</v>
      </c>
      <c r="B236" t="str">
        <f>"000708"</f>
        <v>000708</v>
      </c>
      <c r="C236" t="s">
        <v>554</v>
      </c>
      <c r="D236" t="s">
        <v>555</v>
      </c>
      <c r="E236">
        <v>94375153937</v>
      </c>
      <c r="F236">
        <v>80184172146</v>
      </c>
      <c r="G236">
        <v>76185572230</v>
      </c>
      <c r="H236">
        <v>7338972792</v>
      </c>
      <c r="I236">
        <v>6791504392</v>
      </c>
      <c r="J236">
        <v>5755203586</v>
      </c>
      <c r="K236">
        <v>5097002228</v>
      </c>
      <c r="L236">
        <v>4888152214</v>
      </c>
      <c r="M236">
        <v>4455776091</v>
      </c>
      <c r="N236">
        <v>4531301670</v>
      </c>
      <c r="O236">
        <v>4585230383</v>
      </c>
      <c r="P236">
        <v>677</v>
      </c>
      <c r="Q236" t="s">
        <v>556</v>
      </c>
    </row>
    <row r="237" spans="1:17" x14ac:dyDescent="0.3">
      <c r="A237" t="s">
        <v>47</v>
      </c>
      <c r="B237" t="str">
        <f>"002939"</f>
        <v>002939</v>
      </c>
      <c r="C237" t="s">
        <v>557</v>
      </c>
      <c r="D237" t="s">
        <v>99</v>
      </c>
      <c r="E237">
        <v>94328773487</v>
      </c>
      <c r="F237">
        <v>80782781867</v>
      </c>
      <c r="G237">
        <v>69650346853</v>
      </c>
      <c r="H237">
        <v>61947217274</v>
      </c>
      <c r="M237">
        <v>19936553373</v>
      </c>
      <c r="N237">
        <v>17456426949</v>
      </c>
      <c r="P237">
        <v>832</v>
      </c>
      <c r="Q237" t="s">
        <v>558</v>
      </c>
    </row>
    <row r="238" spans="1:17" x14ac:dyDescent="0.3">
      <c r="A238" t="s">
        <v>47</v>
      </c>
      <c r="B238" t="str">
        <f>"300498"</f>
        <v>300498</v>
      </c>
      <c r="C238" t="s">
        <v>559</v>
      </c>
      <c r="D238" t="s">
        <v>354</v>
      </c>
      <c r="E238">
        <v>93372702475</v>
      </c>
      <c r="F238">
        <v>90726167151</v>
      </c>
      <c r="G238">
        <v>68525239322</v>
      </c>
      <c r="H238">
        <v>53090022646</v>
      </c>
      <c r="I238">
        <v>50276726567</v>
      </c>
      <c r="J238">
        <v>43055447657</v>
      </c>
      <c r="K238">
        <v>34342623015</v>
      </c>
      <c r="P238">
        <v>2457</v>
      </c>
      <c r="Q238" t="s">
        <v>560</v>
      </c>
    </row>
    <row r="239" spans="1:17" x14ac:dyDescent="0.3">
      <c r="A239" t="s">
        <v>17</v>
      </c>
      <c r="B239" t="str">
        <f>"601877"</f>
        <v>601877</v>
      </c>
      <c r="C239" t="s">
        <v>561</v>
      </c>
      <c r="D239" t="s">
        <v>562</v>
      </c>
      <c r="E239">
        <v>92590396510</v>
      </c>
      <c r="F239">
        <v>71743736670</v>
      </c>
      <c r="G239">
        <v>55141359486</v>
      </c>
      <c r="H239">
        <v>49340737541</v>
      </c>
      <c r="I239">
        <v>44314575845</v>
      </c>
      <c r="J239">
        <v>39732928774</v>
      </c>
      <c r="K239">
        <v>12518965960</v>
      </c>
      <c r="L239">
        <v>11877558180</v>
      </c>
      <c r="M239">
        <v>10722696139</v>
      </c>
      <c r="N239">
        <v>9655588104</v>
      </c>
      <c r="O239">
        <v>8306336884</v>
      </c>
      <c r="P239">
        <v>34820</v>
      </c>
      <c r="Q239" t="s">
        <v>563</v>
      </c>
    </row>
    <row r="240" spans="1:17" x14ac:dyDescent="0.3">
      <c r="A240" t="s">
        <v>47</v>
      </c>
      <c r="B240" t="str">
        <f>"002926"</f>
        <v>002926</v>
      </c>
      <c r="C240" t="s">
        <v>564</v>
      </c>
      <c r="D240" t="s">
        <v>99</v>
      </c>
      <c r="E240">
        <v>92469978630</v>
      </c>
      <c r="F240">
        <v>77809434393</v>
      </c>
      <c r="G240">
        <v>82288146798</v>
      </c>
      <c r="H240">
        <v>61557213322</v>
      </c>
      <c r="I240">
        <v>57996108799</v>
      </c>
      <c r="P240">
        <v>921</v>
      </c>
      <c r="Q240" t="s">
        <v>565</v>
      </c>
    </row>
    <row r="241" spans="1:17" x14ac:dyDescent="0.3">
      <c r="A241" t="s">
        <v>17</v>
      </c>
      <c r="B241" t="str">
        <f>"688223"</f>
        <v>688223</v>
      </c>
      <c r="C241" t="s">
        <v>566</v>
      </c>
      <c r="D241" t="s">
        <v>567</v>
      </c>
      <c r="E241">
        <v>92389274563</v>
      </c>
      <c r="P241">
        <v>29</v>
      </c>
      <c r="Q241" t="s">
        <v>568</v>
      </c>
    </row>
    <row r="242" spans="1:17" x14ac:dyDescent="0.3">
      <c r="A242" t="s">
        <v>17</v>
      </c>
      <c r="B242" t="str">
        <f>"600893"</f>
        <v>600893</v>
      </c>
      <c r="C242" t="s">
        <v>569</v>
      </c>
      <c r="D242" t="s">
        <v>570</v>
      </c>
      <c r="E242">
        <v>92240118783</v>
      </c>
      <c r="F242">
        <v>65413112711</v>
      </c>
      <c r="G242">
        <v>62732011410</v>
      </c>
      <c r="H242">
        <v>55127347954</v>
      </c>
      <c r="I242">
        <v>51931130861</v>
      </c>
      <c r="J242">
        <v>49730935256</v>
      </c>
      <c r="K242">
        <v>47009675123</v>
      </c>
      <c r="L242">
        <v>44962475340</v>
      </c>
      <c r="M242">
        <v>9168506637</v>
      </c>
      <c r="N242">
        <v>8673899192</v>
      </c>
      <c r="O242">
        <v>8349343998</v>
      </c>
      <c r="P242">
        <v>1086</v>
      </c>
      <c r="Q242" t="s">
        <v>571</v>
      </c>
    </row>
    <row r="243" spans="1:17" x14ac:dyDescent="0.3">
      <c r="A243" t="s">
        <v>17</v>
      </c>
      <c r="B243" t="str">
        <f>"600808"</f>
        <v>600808</v>
      </c>
      <c r="C243" t="s">
        <v>572</v>
      </c>
      <c r="D243" t="s">
        <v>210</v>
      </c>
      <c r="E243">
        <v>90975181759</v>
      </c>
      <c r="F243">
        <v>86528205734</v>
      </c>
      <c r="G243">
        <v>82932551486</v>
      </c>
      <c r="H243">
        <v>76361754023</v>
      </c>
      <c r="I243">
        <v>70889263917</v>
      </c>
      <c r="J243">
        <v>68762878637</v>
      </c>
      <c r="K243">
        <v>61000123989</v>
      </c>
      <c r="L243">
        <v>67992133276</v>
      </c>
      <c r="M243">
        <v>71370805770</v>
      </c>
      <c r="N243">
        <v>77085672793</v>
      </c>
      <c r="O243">
        <v>84219343444</v>
      </c>
      <c r="P243">
        <v>636</v>
      </c>
      <c r="Q243" t="s">
        <v>573</v>
      </c>
    </row>
    <row r="244" spans="1:17" x14ac:dyDescent="0.3">
      <c r="A244" t="s">
        <v>17</v>
      </c>
      <c r="B244" t="str">
        <f>"600998"</f>
        <v>600998</v>
      </c>
      <c r="C244" t="s">
        <v>574</v>
      </c>
      <c r="D244" t="s">
        <v>362</v>
      </c>
      <c r="E244">
        <v>88674564554</v>
      </c>
      <c r="F244">
        <v>82231599132</v>
      </c>
      <c r="G244">
        <v>71819368793</v>
      </c>
      <c r="H244">
        <v>64962150702</v>
      </c>
      <c r="I244">
        <v>60146406069</v>
      </c>
      <c r="J244">
        <v>42886571496</v>
      </c>
      <c r="K244">
        <v>36769235335</v>
      </c>
      <c r="L244">
        <v>26829506367</v>
      </c>
      <c r="M244">
        <v>20589398664</v>
      </c>
      <c r="N244">
        <v>15858614420</v>
      </c>
      <c r="O244">
        <v>13382309016</v>
      </c>
      <c r="P244">
        <v>612</v>
      </c>
      <c r="Q244" t="s">
        <v>575</v>
      </c>
    </row>
    <row r="245" spans="1:17" x14ac:dyDescent="0.3">
      <c r="A245" t="s">
        <v>17</v>
      </c>
      <c r="B245" t="str">
        <f>"600642"</f>
        <v>600642</v>
      </c>
      <c r="C245" t="s">
        <v>576</v>
      </c>
      <c r="D245" t="s">
        <v>171</v>
      </c>
      <c r="E245">
        <v>87458170876</v>
      </c>
      <c r="F245">
        <v>81396350102</v>
      </c>
      <c r="G245">
        <v>67028793775</v>
      </c>
      <c r="H245">
        <v>60590917292</v>
      </c>
      <c r="I245">
        <v>56004482712</v>
      </c>
      <c r="J245">
        <v>53329725267</v>
      </c>
      <c r="K245">
        <v>51209166031</v>
      </c>
      <c r="L245">
        <v>44870539223</v>
      </c>
      <c r="M245">
        <v>41075271445</v>
      </c>
      <c r="N245">
        <v>38097897185</v>
      </c>
      <c r="O245">
        <v>36731792710</v>
      </c>
      <c r="P245">
        <v>459</v>
      </c>
      <c r="Q245" t="s">
        <v>577</v>
      </c>
    </row>
    <row r="246" spans="1:17" x14ac:dyDescent="0.3">
      <c r="A246" t="s">
        <v>17</v>
      </c>
      <c r="B246" t="str">
        <f>"600565"</f>
        <v>600565</v>
      </c>
      <c r="C246" t="s">
        <v>578</v>
      </c>
      <c r="D246" t="s">
        <v>76</v>
      </c>
      <c r="E246">
        <v>85838990789</v>
      </c>
      <c r="F246">
        <v>85714748492</v>
      </c>
      <c r="G246">
        <v>74358440910</v>
      </c>
      <c r="H246">
        <v>64161321397</v>
      </c>
      <c r="I246">
        <v>42050024478</v>
      </c>
      <c r="J246">
        <v>32814059701</v>
      </c>
      <c r="K246">
        <v>29618500483</v>
      </c>
      <c r="L246">
        <v>24642273516</v>
      </c>
      <c r="M246">
        <v>11183820460</v>
      </c>
      <c r="N246">
        <v>9450225426</v>
      </c>
      <c r="O246">
        <v>5939245775</v>
      </c>
      <c r="P246">
        <v>468</v>
      </c>
      <c r="Q246" t="s">
        <v>579</v>
      </c>
    </row>
    <row r="247" spans="1:17" x14ac:dyDescent="0.3">
      <c r="A247" t="s">
        <v>47</v>
      </c>
      <c r="B247" t="str">
        <f>"002673"</f>
        <v>002673</v>
      </c>
      <c r="C247" t="s">
        <v>580</v>
      </c>
      <c r="D247" t="s">
        <v>99</v>
      </c>
      <c r="E247">
        <v>85483204812</v>
      </c>
      <c r="F247">
        <v>64288493762</v>
      </c>
      <c r="G247">
        <v>50910010858</v>
      </c>
      <c r="H247">
        <v>54881619967</v>
      </c>
      <c r="I247">
        <v>52577137573</v>
      </c>
      <c r="J247">
        <v>51414999495</v>
      </c>
      <c r="K247">
        <v>54090196505</v>
      </c>
      <c r="L247">
        <v>39064074092</v>
      </c>
      <c r="M247">
        <v>11519803287</v>
      </c>
      <c r="N247">
        <v>11045065541</v>
      </c>
      <c r="O247">
        <v>10074405415</v>
      </c>
      <c r="P247">
        <v>1135</v>
      </c>
      <c r="Q247" t="s">
        <v>581</v>
      </c>
    </row>
    <row r="248" spans="1:17" x14ac:dyDescent="0.3">
      <c r="A248" t="s">
        <v>17</v>
      </c>
      <c r="B248" t="str">
        <f>"600657"</f>
        <v>600657</v>
      </c>
      <c r="C248" t="s">
        <v>582</v>
      </c>
      <c r="D248" t="s">
        <v>76</v>
      </c>
      <c r="E248">
        <v>84020040908</v>
      </c>
      <c r="F248">
        <v>99566106956</v>
      </c>
      <c r="G248">
        <v>96213061103</v>
      </c>
      <c r="H248">
        <v>103000502401</v>
      </c>
      <c r="I248">
        <v>74594692397</v>
      </c>
      <c r="J248">
        <v>68610505865</v>
      </c>
      <c r="K248">
        <v>53624776826</v>
      </c>
      <c r="L248">
        <v>37887968780</v>
      </c>
      <c r="M248">
        <v>27436642293</v>
      </c>
      <c r="N248">
        <v>19614093677</v>
      </c>
      <c r="O248">
        <v>14932052231</v>
      </c>
      <c r="P248">
        <v>423</v>
      </c>
      <c r="Q248" t="s">
        <v>583</v>
      </c>
    </row>
    <row r="249" spans="1:17" x14ac:dyDescent="0.3">
      <c r="A249" t="s">
        <v>17</v>
      </c>
      <c r="B249" t="str">
        <f>"600369"</f>
        <v>600369</v>
      </c>
      <c r="C249" t="s">
        <v>584</v>
      </c>
      <c r="D249" t="s">
        <v>99</v>
      </c>
      <c r="E249">
        <v>83414239619</v>
      </c>
      <c r="F249">
        <v>83698723293</v>
      </c>
      <c r="G249">
        <v>70388916293</v>
      </c>
      <c r="H249">
        <v>70646390078</v>
      </c>
      <c r="I249">
        <v>67260120638</v>
      </c>
      <c r="J249">
        <v>65980844773</v>
      </c>
      <c r="K249">
        <v>72605521344</v>
      </c>
      <c r="L249">
        <v>65807959239</v>
      </c>
      <c r="M249">
        <v>30919045550</v>
      </c>
      <c r="N249">
        <v>20891032694</v>
      </c>
      <c r="O249">
        <v>17619132680</v>
      </c>
      <c r="P249">
        <v>930</v>
      </c>
      <c r="Q249" t="s">
        <v>585</v>
      </c>
    </row>
    <row r="250" spans="1:17" x14ac:dyDescent="0.3">
      <c r="A250" t="s">
        <v>47</v>
      </c>
      <c r="B250" t="str">
        <f>"000488"</f>
        <v>000488</v>
      </c>
      <c r="C250" t="s">
        <v>586</v>
      </c>
      <c r="D250" t="s">
        <v>587</v>
      </c>
      <c r="E250">
        <v>82883968181</v>
      </c>
      <c r="F250">
        <v>90924591156</v>
      </c>
      <c r="G250">
        <v>96849000201</v>
      </c>
      <c r="H250">
        <v>106040273940</v>
      </c>
      <c r="I250">
        <v>107080769429</v>
      </c>
      <c r="J250">
        <v>87326409059</v>
      </c>
      <c r="K250">
        <v>83937169225</v>
      </c>
      <c r="L250">
        <v>59632819205</v>
      </c>
      <c r="M250">
        <v>48284558081</v>
      </c>
      <c r="N250">
        <v>47928040304</v>
      </c>
      <c r="O250">
        <v>46240070962</v>
      </c>
      <c r="P250">
        <v>1270</v>
      </c>
      <c r="Q250" t="s">
        <v>588</v>
      </c>
    </row>
    <row r="251" spans="1:17" x14ac:dyDescent="0.3">
      <c r="A251" t="s">
        <v>47</v>
      </c>
      <c r="B251" t="str">
        <f>"002608"</f>
        <v>002608</v>
      </c>
      <c r="C251" t="s">
        <v>589</v>
      </c>
      <c r="D251" t="s">
        <v>171</v>
      </c>
      <c r="E251">
        <v>82521219151</v>
      </c>
      <c r="F251">
        <v>71998079675</v>
      </c>
      <c r="G251">
        <v>71519671568</v>
      </c>
      <c r="H251">
        <v>55139019995</v>
      </c>
      <c r="I251">
        <v>46523514841</v>
      </c>
      <c r="J251">
        <v>42336139146</v>
      </c>
      <c r="K251">
        <v>2890534328</v>
      </c>
      <c r="L251">
        <v>9203272629</v>
      </c>
      <c r="M251">
        <v>8565898564</v>
      </c>
      <c r="N251">
        <v>7176279990</v>
      </c>
      <c r="O251">
        <v>5735930334</v>
      </c>
      <c r="P251">
        <v>138</v>
      </c>
      <c r="Q251" t="s">
        <v>590</v>
      </c>
    </row>
    <row r="252" spans="1:17" x14ac:dyDescent="0.3">
      <c r="A252" t="s">
        <v>17</v>
      </c>
      <c r="B252" t="str">
        <f>"600578"</f>
        <v>600578</v>
      </c>
      <c r="C252" t="s">
        <v>591</v>
      </c>
      <c r="D252" t="s">
        <v>171</v>
      </c>
      <c r="E252">
        <v>82349664277</v>
      </c>
      <c r="F252">
        <v>80510463185</v>
      </c>
      <c r="G252">
        <v>77688101164</v>
      </c>
      <c r="H252">
        <v>69086846192</v>
      </c>
      <c r="I252">
        <v>63373477369</v>
      </c>
      <c r="J252">
        <v>57442382022</v>
      </c>
      <c r="K252">
        <v>39148406105</v>
      </c>
      <c r="L252">
        <v>39534066822</v>
      </c>
      <c r="M252">
        <v>31881744494</v>
      </c>
      <c r="N252">
        <v>31831578558</v>
      </c>
      <c r="O252">
        <v>10609414376</v>
      </c>
      <c r="P252">
        <v>355</v>
      </c>
      <c r="Q252" t="s">
        <v>592</v>
      </c>
    </row>
    <row r="253" spans="1:17" x14ac:dyDescent="0.3">
      <c r="A253" t="s">
        <v>47</v>
      </c>
      <c r="B253" t="str">
        <f>"000498"</f>
        <v>000498</v>
      </c>
      <c r="C253" t="s">
        <v>593</v>
      </c>
      <c r="D253" t="s">
        <v>84</v>
      </c>
      <c r="E253">
        <v>81888049084</v>
      </c>
      <c r="F253">
        <v>59760744045</v>
      </c>
      <c r="G253">
        <v>28360931032</v>
      </c>
      <c r="H253">
        <v>23823007944</v>
      </c>
      <c r="I253">
        <v>18182726018</v>
      </c>
      <c r="J253">
        <v>14637198355</v>
      </c>
      <c r="K253">
        <v>9379209571</v>
      </c>
      <c r="L253">
        <v>8794201030</v>
      </c>
      <c r="M253">
        <v>8446159311</v>
      </c>
      <c r="N253">
        <v>8161682874</v>
      </c>
      <c r="O253">
        <v>9487878</v>
      </c>
      <c r="P253">
        <v>276</v>
      </c>
      <c r="Q253" t="s">
        <v>594</v>
      </c>
    </row>
    <row r="254" spans="1:17" x14ac:dyDescent="0.3">
      <c r="A254" t="s">
        <v>47</v>
      </c>
      <c r="B254" t="str">
        <f>"000517"</f>
        <v>000517</v>
      </c>
      <c r="C254" t="s">
        <v>595</v>
      </c>
      <c r="D254" t="s">
        <v>76</v>
      </c>
      <c r="E254">
        <v>81698957516</v>
      </c>
      <c r="F254">
        <v>71346011789</v>
      </c>
      <c r="G254">
        <v>41676182857</v>
      </c>
      <c r="H254">
        <v>28081398031</v>
      </c>
      <c r="I254">
        <v>16114536611</v>
      </c>
      <c r="J254">
        <v>9455583107</v>
      </c>
      <c r="K254">
        <v>8384810336</v>
      </c>
      <c r="L254">
        <v>6125309060</v>
      </c>
      <c r="M254">
        <v>7187663217</v>
      </c>
      <c r="N254">
        <v>10106766131</v>
      </c>
      <c r="O254">
        <v>10468165119</v>
      </c>
      <c r="P254">
        <v>312</v>
      </c>
      <c r="Q254" t="s">
        <v>596</v>
      </c>
    </row>
    <row r="255" spans="1:17" x14ac:dyDescent="0.3">
      <c r="A255" t="s">
        <v>47</v>
      </c>
      <c r="B255" t="str">
        <f>"002500"</f>
        <v>002500</v>
      </c>
      <c r="C255" t="s">
        <v>597</v>
      </c>
      <c r="D255" t="s">
        <v>99</v>
      </c>
      <c r="E255">
        <v>81081431666</v>
      </c>
      <c r="F255">
        <v>75159820206</v>
      </c>
      <c r="G255">
        <v>62266207084</v>
      </c>
      <c r="H255">
        <v>62117956478</v>
      </c>
      <c r="I255">
        <v>58873150156</v>
      </c>
      <c r="J255">
        <v>50879046582</v>
      </c>
      <c r="K255">
        <v>44797257849</v>
      </c>
      <c r="L255">
        <v>38451202897</v>
      </c>
      <c r="M255">
        <v>17536464758</v>
      </c>
      <c r="N255">
        <v>12480575465</v>
      </c>
      <c r="O255">
        <v>13035349431</v>
      </c>
      <c r="P255">
        <v>1129</v>
      </c>
      <c r="Q255" t="s">
        <v>598</v>
      </c>
    </row>
    <row r="256" spans="1:17" x14ac:dyDescent="0.3">
      <c r="A256" t="s">
        <v>17</v>
      </c>
      <c r="B256" t="str">
        <f>"600547"</f>
        <v>600547</v>
      </c>
      <c r="C256" t="s">
        <v>599</v>
      </c>
      <c r="D256" t="s">
        <v>600</v>
      </c>
      <c r="E256">
        <v>80974499226</v>
      </c>
      <c r="F256">
        <v>68431166626</v>
      </c>
      <c r="G256">
        <v>60156251955</v>
      </c>
      <c r="H256">
        <v>46852738439</v>
      </c>
      <c r="I256">
        <v>42083338236</v>
      </c>
      <c r="J256">
        <v>29597009565</v>
      </c>
      <c r="K256">
        <v>23422344110</v>
      </c>
      <c r="L256">
        <v>22707758886</v>
      </c>
      <c r="M256">
        <v>22132403860</v>
      </c>
      <c r="N256">
        <v>17532946049</v>
      </c>
      <c r="O256">
        <v>13303929919</v>
      </c>
      <c r="P256">
        <v>942</v>
      </c>
      <c r="Q256" t="s">
        <v>601</v>
      </c>
    </row>
    <row r="257" spans="1:17" x14ac:dyDescent="0.3">
      <c r="A257" t="s">
        <v>47</v>
      </c>
      <c r="B257" t="str">
        <f>"000686"</f>
        <v>000686</v>
      </c>
      <c r="C257" t="s">
        <v>602</v>
      </c>
      <c r="D257" t="s">
        <v>99</v>
      </c>
      <c r="E257">
        <v>80926140726</v>
      </c>
      <c r="F257">
        <v>73294459731</v>
      </c>
      <c r="G257">
        <v>72942157171</v>
      </c>
      <c r="H257">
        <v>72473147207</v>
      </c>
      <c r="I257">
        <v>62067232392</v>
      </c>
      <c r="J257">
        <v>71754590695</v>
      </c>
      <c r="K257">
        <v>69345396537</v>
      </c>
      <c r="L257">
        <v>46012850405</v>
      </c>
      <c r="M257">
        <v>23007244900</v>
      </c>
      <c r="N257">
        <v>17833082126</v>
      </c>
      <c r="O257">
        <v>13324670595</v>
      </c>
      <c r="P257">
        <v>888</v>
      </c>
      <c r="Q257" t="s">
        <v>603</v>
      </c>
    </row>
    <row r="258" spans="1:17" x14ac:dyDescent="0.3">
      <c r="A258" t="s">
        <v>47</v>
      </c>
      <c r="B258" t="str">
        <f>"002129"</f>
        <v>002129</v>
      </c>
      <c r="C258" t="s">
        <v>604</v>
      </c>
      <c r="D258" t="s">
        <v>505</v>
      </c>
      <c r="E258">
        <v>80632371986</v>
      </c>
      <c r="F258">
        <v>63359051841</v>
      </c>
      <c r="G258">
        <v>50676571087</v>
      </c>
      <c r="H258">
        <v>42442677187</v>
      </c>
      <c r="I258">
        <v>33277550010</v>
      </c>
      <c r="J258">
        <v>22833231537</v>
      </c>
      <c r="K258">
        <v>18759998626</v>
      </c>
      <c r="L258">
        <v>14967636883</v>
      </c>
      <c r="M258">
        <v>12586021822</v>
      </c>
      <c r="N258">
        <v>9411917871</v>
      </c>
      <c r="O258">
        <v>6781595634</v>
      </c>
      <c r="P258">
        <v>1522</v>
      </c>
      <c r="Q258" t="s">
        <v>605</v>
      </c>
    </row>
    <row r="259" spans="1:17" x14ac:dyDescent="0.3">
      <c r="A259" t="s">
        <v>17</v>
      </c>
      <c r="B259" t="str">
        <f>"600320"</f>
        <v>600320</v>
      </c>
      <c r="C259" t="s">
        <v>606</v>
      </c>
      <c r="D259" t="s">
        <v>607</v>
      </c>
      <c r="E259">
        <v>79345112780</v>
      </c>
      <c r="F259">
        <v>81685513742</v>
      </c>
      <c r="G259">
        <v>80757132993</v>
      </c>
      <c r="H259">
        <v>72270615052</v>
      </c>
      <c r="I259">
        <v>66074113970</v>
      </c>
      <c r="J259">
        <v>60313454043</v>
      </c>
      <c r="K259">
        <v>58015813513</v>
      </c>
      <c r="L259">
        <v>52052984098</v>
      </c>
      <c r="M259">
        <v>54007582814</v>
      </c>
      <c r="N259">
        <v>49559421582</v>
      </c>
      <c r="O259">
        <v>44194666436</v>
      </c>
      <c r="P259">
        <v>190</v>
      </c>
      <c r="Q259" t="s">
        <v>608</v>
      </c>
    </row>
    <row r="260" spans="1:17" x14ac:dyDescent="0.3">
      <c r="A260" t="s">
        <v>47</v>
      </c>
      <c r="B260" t="str">
        <f>"000750"</f>
        <v>000750</v>
      </c>
      <c r="C260" t="s">
        <v>609</v>
      </c>
      <c r="D260" t="s">
        <v>99</v>
      </c>
      <c r="E260">
        <v>78269517947</v>
      </c>
      <c r="F260">
        <v>79174226044</v>
      </c>
      <c r="G260">
        <v>72450277340</v>
      </c>
      <c r="H260">
        <v>70580847152</v>
      </c>
      <c r="I260">
        <v>67247051393</v>
      </c>
      <c r="J260">
        <v>67865092042</v>
      </c>
      <c r="K260">
        <v>50765109345</v>
      </c>
      <c r="L260">
        <v>38176341310</v>
      </c>
      <c r="M260">
        <v>17056966684</v>
      </c>
      <c r="N260">
        <v>12754804143</v>
      </c>
      <c r="O260">
        <v>12014835891</v>
      </c>
      <c r="P260">
        <v>1038</v>
      </c>
      <c r="Q260" t="s">
        <v>610</v>
      </c>
    </row>
    <row r="261" spans="1:17" x14ac:dyDescent="0.3">
      <c r="A261" t="s">
        <v>17</v>
      </c>
      <c r="B261" t="str">
        <f>"600839"</f>
        <v>600839</v>
      </c>
      <c r="C261" t="s">
        <v>611</v>
      </c>
      <c r="D261" t="s">
        <v>612</v>
      </c>
      <c r="E261">
        <v>78147100303</v>
      </c>
      <c r="F261">
        <v>78304185489</v>
      </c>
      <c r="G261">
        <v>72091768003</v>
      </c>
      <c r="H261">
        <v>69666361682</v>
      </c>
      <c r="I261">
        <v>66091980619</v>
      </c>
      <c r="J261">
        <v>62873222746</v>
      </c>
      <c r="K261">
        <v>54831240559</v>
      </c>
      <c r="L261">
        <v>63051836311</v>
      </c>
      <c r="M261">
        <v>59762966072</v>
      </c>
      <c r="N261">
        <v>54876216261</v>
      </c>
      <c r="O261">
        <v>51656192786</v>
      </c>
      <c r="P261">
        <v>272</v>
      </c>
      <c r="Q261" t="s">
        <v>613</v>
      </c>
    </row>
    <row r="262" spans="1:17" x14ac:dyDescent="0.3">
      <c r="A262" t="s">
        <v>17</v>
      </c>
      <c r="B262" t="str">
        <f>"601233"</f>
        <v>601233</v>
      </c>
      <c r="C262" t="s">
        <v>614</v>
      </c>
      <c r="D262" t="s">
        <v>615</v>
      </c>
      <c r="E262">
        <v>77669915905</v>
      </c>
      <c r="F262">
        <v>50388437816</v>
      </c>
      <c r="G262">
        <v>46154479419</v>
      </c>
      <c r="H262">
        <v>36969524989</v>
      </c>
      <c r="I262">
        <v>28402344906</v>
      </c>
      <c r="J262">
        <v>21076712529</v>
      </c>
      <c r="K262">
        <v>16185645553</v>
      </c>
      <c r="L262">
        <v>14474007381</v>
      </c>
      <c r="M262">
        <v>16062893954</v>
      </c>
      <c r="N262">
        <v>14904001599</v>
      </c>
      <c r="O262">
        <v>11174735837</v>
      </c>
      <c r="P262">
        <v>807</v>
      </c>
      <c r="Q262" t="s">
        <v>616</v>
      </c>
    </row>
    <row r="263" spans="1:17" x14ac:dyDescent="0.3">
      <c r="A263" t="s">
        <v>17</v>
      </c>
      <c r="B263" t="str">
        <f>"601598"</f>
        <v>601598</v>
      </c>
      <c r="C263" t="s">
        <v>617</v>
      </c>
      <c r="D263" t="s">
        <v>618</v>
      </c>
      <c r="E263">
        <v>77514786684</v>
      </c>
      <c r="F263">
        <v>68670066111</v>
      </c>
      <c r="G263">
        <v>63877577918</v>
      </c>
      <c r="H263">
        <v>63368448634</v>
      </c>
      <c r="P263">
        <v>316</v>
      </c>
      <c r="Q263" t="s">
        <v>619</v>
      </c>
    </row>
    <row r="264" spans="1:17" x14ac:dyDescent="0.3">
      <c r="A264" t="s">
        <v>47</v>
      </c>
      <c r="B264" t="str">
        <f>"000768"</f>
        <v>000768</v>
      </c>
      <c r="C264" t="s">
        <v>620</v>
      </c>
      <c r="D264" t="s">
        <v>570</v>
      </c>
      <c r="E264">
        <v>77468114908</v>
      </c>
      <c r="F264">
        <v>61143687666</v>
      </c>
      <c r="G264">
        <v>47736337936</v>
      </c>
      <c r="H264">
        <v>46240810037</v>
      </c>
      <c r="I264">
        <v>43516039384</v>
      </c>
      <c r="J264">
        <v>42493554736</v>
      </c>
      <c r="K264">
        <v>37078943236</v>
      </c>
      <c r="L264">
        <v>35059338611</v>
      </c>
      <c r="M264">
        <v>32059523032</v>
      </c>
      <c r="N264">
        <v>29201620513</v>
      </c>
      <c r="O264">
        <v>21344131591</v>
      </c>
      <c r="P264">
        <v>662</v>
      </c>
      <c r="Q264" t="s">
        <v>621</v>
      </c>
    </row>
    <row r="265" spans="1:17" x14ac:dyDescent="0.3">
      <c r="A265" t="s">
        <v>47</v>
      </c>
      <c r="B265" t="str">
        <f>"000050"</f>
        <v>000050</v>
      </c>
      <c r="C265" t="s">
        <v>622</v>
      </c>
      <c r="D265" t="s">
        <v>181</v>
      </c>
      <c r="E265">
        <v>77416011310</v>
      </c>
      <c r="F265">
        <v>75649742321</v>
      </c>
      <c r="G265">
        <v>65450747262</v>
      </c>
      <c r="H265">
        <v>61215801101</v>
      </c>
      <c r="I265">
        <v>59515864217</v>
      </c>
      <c r="J265">
        <v>22753654761</v>
      </c>
      <c r="K265">
        <v>20298636779</v>
      </c>
      <c r="L265">
        <v>17088963156</v>
      </c>
      <c r="M265">
        <v>7603548220</v>
      </c>
      <c r="N265">
        <v>7808053735</v>
      </c>
      <c r="O265">
        <v>7851965320</v>
      </c>
      <c r="P265">
        <v>621</v>
      </c>
      <c r="Q265" t="s">
        <v>623</v>
      </c>
    </row>
    <row r="266" spans="1:17" x14ac:dyDescent="0.3">
      <c r="A266" t="s">
        <v>47</v>
      </c>
      <c r="B266" t="str">
        <f>"002092"</f>
        <v>002092</v>
      </c>
      <c r="C266" t="s">
        <v>624</v>
      </c>
      <c r="D266" t="s">
        <v>625</v>
      </c>
      <c r="E266">
        <v>77124037996</v>
      </c>
      <c r="F266">
        <v>69761212936</v>
      </c>
      <c r="G266">
        <v>64427154569</v>
      </c>
      <c r="H266">
        <v>62649613074</v>
      </c>
      <c r="I266">
        <v>59235300393</v>
      </c>
      <c r="J266">
        <v>51122062563</v>
      </c>
      <c r="K266">
        <v>39015917567</v>
      </c>
      <c r="L266">
        <v>34520455747</v>
      </c>
      <c r="M266">
        <v>26663015769</v>
      </c>
      <c r="N266">
        <v>23258094358</v>
      </c>
      <c r="O266">
        <v>18672325971</v>
      </c>
      <c r="P266">
        <v>521</v>
      </c>
      <c r="Q266" t="s">
        <v>626</v>
      </c>
    </row>
    <row r="267" spans="1:17" x14ac:dyDescent="0.3">
      <c r="A267" t="s">
        <v>17</v>
      </c>
      <c r="B267" t="str">
        <f>"600177"</f>
        <v>600177</v>
      </c>
      <c r="C267" t="s">
        <v>627</v>
      </c>
      <c r="D267" t="s">
        <v>628</v>
      </c>
      <c r="E267">
        <v>76858624092</v>
      </c>
      <c r="F267">
        <v>80594559601</v>
      </c>
      <c r="G267">
        <v>80934729066</v>
      </c>
      <c r="H267">
        <v>76305721477</v>
      </c>
      <c r="I267">
        <v>68408558635</v>
      </c>
      <c r="J267">
        <v>64286893993</v>
      </c>
      <c r="K267">
        <v>63544818582</v>
      </c>
      <c r="L267">
        <v>45132009006</v>
      </c>
      <c r="M267">
        <v>46354436841</v>
      </c>
      <c r="N267">
        <v>50114305868</v>
      </c>
      <c r="O267">
        <v>49837437715</v>
      </c>
      <c r="P267">
        <v>1571</v>
      </c>
      <c r="Q267" t="s">
        <v>629</v>
      </c>
    </row>
    <row r="268" spans="1:17" x14ac:dyDescent="0.3">
      <c r="A268" t="s">
        <v>17</v>
      </c>
      <c r="B268" t="str">
        <f>"601588"</f>
        <v>601588</v>
      </c>
      <c r="C268" t="s">
        <v>630</v>
      </c>
      <c r="D268" t="s">
        <v>76</v>
      </c>
      <c r="E268">
        <v>76824317101</v>
      </c>
      <c r="F268">
        <v>80704955026</v>
      </c>
      <c r="G268">
        <v>93624822280</v>
      </c>
      <c r="H268">
        <v>93393150075</v>
      </c>
      <c r="I268">
        <v>79975489243</v>
      </c>
      <c r="J268">
        <v>67258277123</v>
      </c>
      <c r="K268">
        <v>47761187350</v>
      </c>
      <c r="L268">
        <v>38757416743</v>
      </c>
      <c r="M268">
        <v>31184596978</v>
      </c>
      <c r="N268">
        <v>29309056195</v>
      </c>
      <c r="O268">
        <v>29307148865</v>
      </c>
      <c r="P268">
        <v>536</v>
      </c>
      <c r="Q268" t="s">
        <v>631</v>
      </c>
    </row>
    <row r="269" spans="1:17" x14ac:dyDescent="0.3">
      <c r="A269" t="s">
        <v>17</v>
      </c>
      <c r="B269" t="str">
        <f>"600939"</f>
        <v>600939</v>
      </c>
      <c r="C269" t="s">
        <v>632</v>
      </c>
      <c r="D269" t="s">
        <v>65</v>
      </c>
      <c r="E269">
        <v>76635114162</v>
      </c>
      <c r="F269">
        <v>71674026538</v>
      </c>
      <c r="G269">
        <v>69136854491</v>
      </c>
      <c r="H269">
        <v>66411988436</v>
      </c>
      <c r="I269">
        <v>64287835114</v>
      </c>
      <c r="J269">
        <v>61313345181</v>
      </c>
      <c r="P269">
        <v>125</v>
      </c>
      <c r="Q269" t="s">
        <v>633</v>
      </c>
    </row>
    <row r="270" spans="1:17" x14ac:dyDescent="0.3">
      <c r="A270" t="s">
        <v>17</v>
      </c>
      <c r="B270" t="str">
        <f>"603799"</f>
        <v>603799</v>
      </c>
      <c r="C270" t="s">
        <v>634</v>
      </c>
      <c r="D270" t="s">
        <v>635</v>
      </c>
      <c r="E270">
        <v>75953763506</v>
      </c>
      <c r="F270">
        <v>35867859873</v>
      </c>
      <c r="G270">
        <v>24660343967</v>
      </c>
      <c r="H270">
        <v>20504836526</v>
      </c>
      <c r="I270">
        <v>19489618699</v>
      </c>
      <c r="J270">
        <v>11035065290</v>
      </c>
      <c r="K270">
        <v>9692077677</v>
      </c>
      <c r="L270">
        <v>8633112567</v>
      </c>
      <c r="P270">
        <v>1518</v>
      </c>
      <c r="Q270" t="s">
        <v>636</v>
      </c>
    </row>
    <row r="271" spans="1:17" x14ac:dyDescent="0.3">
      <c r="A271" t="s">
        <v>17</v>
      </c>
      <c r="B271" t="str">
        <f>"600909"</f>
        <v>600909</v>
      </c>
      <c r="C271" t="s">
        <v>637</v>
      </c>
      <c r="D271" t="s">
        <v>99</v>
      </c>
      <c r="E271">
        <v>75588367944</v>
      </c>
      <c r="F271">
        <v>59560201461</v>
      </c>
      <c r="G271">
        <v>58738797218</v>
      </c>
      <c r="H271">
        <v>53922020909</v>
      </c>
      <c r="I271">
        <v>46867314952</v>
      </c>
      <c r="J271">
        <v>36826054890</v>
      </c>
      <c r="P271">
        <v>832</v>
      </c>
      <c r="Q271" t="s">
        <v>638</v>
      </c>
    </row>
    <row r="272" spans="1:17" x14ac:dyDescent="0.3">
      <c r="A272" t="s">
        <v>17</v>
      </c>
      <c r="B272" t="str">
        <f>"600985"</f>
        <v>600985</v>
      </c>
      <c r="C272" t="s">
        <v>639</v>
      </c>
      <c r="D272" t="s">
        <v>530</v>
      </c>
      <c r="E272">
        <v>74743180368</v>
      </c>
      <c r="F272">
        <v>68179719263</v>
      </c>
      <c r="G272">
        <v>65123497756</v>
      </c>
      <c r="H272">
        <v>57685002143</v>
      </c>
      <c r="I272">
        <v>2423479297</v>
      </c>
      <c r="J272">
        <v>2061044681</v>
      </c>
      <c r="K272">
        <v>1966423633</v>
      </c>
      <c r="L272">
        <v>1477639037</v>
      </c>
      <c r="M272">
        <v>1349761316</v>
      </c>
      <c r="N272">
        <v>1211806495</v>
      </c>
      <c r="O272">
        <v>678871088</v>
      </c>
      <c r="P272">
        <v>1007</v>
      </c>
      <c r="Q272" t="s">
        <v>640</v>
      </c>
    </row>
    <row r="273" spans="1:17" x14ac:dyDescent="0.3">
      <c r="A273" t="s">
        <v>17</v>
      </c>
      <c r="B273" t="str">
        <f>"600745"</f>
        <v>600745</v>
      </c>
      <c r="C273" t="s">
        <v>641</v>
      </c>
      <c r="D273" t="s">
        <v>283</v>
      </c>
      <c r="E273">
        <v>74733473358</v>
      </c>
      <c r="F273">
        <v>58638356186</v>
      </c>
      <c r="G273">
        <v>59281970266</v>
      </c>
      <c r="H273">
        <v>28954820665</v>
      </c>
      <c r="I273">
        <v>11189219227</v>
      </c>
      <c r="J273">
        <v>11317195915</v>
      </c>
      <c r="K273">
        <v>10784702068</v>
      </c>
      <c r="L273">
        <v>7160060996</v>
      </c>
      <c r="M273">
        <v>7001937079</v>
      </c>
      <c r="N273">
        <v>5517567381</v>
      </c>
      <c r="O273">
        <v>4668694344</v>
      </c>
      <c r="P273">
        <v>1617</v>
      </c>
      <c r="Q273" t="s">
        <v>642</v>
      </c>
    </row>
    <row r="274" spans="1:17" x14ac:dyDescent="0.3">
      <c r="A274" t="s">
        <v>47</v>
      </c>
      <c r="B274" t="str">
        <f>"300433"</f>
        <v>300433</v>
      </c>
      <c r="C274" t="s">
        <v>643</v>
      </c>
      <c r="D274" t="s">
        <v>283</v>
      </c>
      <c r="E274">
        <v>74716307447</v>
      </c>
      <c r="F274">
        <v>75451180806</v>
      </c>
      <c r="G274">
        <v>47525897016</v>
      </c>
      <c r="H274">
        <v>42188403759</v>
      </c>
      <c r="I274">
        <v>34824002186</v>
      </c>
      <c r="J274">
        <v>27148897804</v>
      </c>
      <c r="K274">
        <v>19700923769</v>
      </c>
      <c r="L274">
        <v>19314541918</v>
      </c>
      <c r="P274">
        <v>1652</v>
      </c>
      <c r="Q274" t="s">
        <v>644</v>
      </c>
    </row>
    <row r="275" spans="1:17" x14ac:dyDescent="0.3">
      <c r="A275" t="s">
        <v>17</v>
      </c>
      <c r="B275" t="str">
        <f>"601003"</f>
        <v>601003</v>
      </c>
      <c r="C275" t="s">
        <v>645</v>
      </c>
      <c r="D275" t="s">
        <v>210</v>
      </c>
      <c r="E275">
        <v>74703947468</v>
      </c>
      <c r="F275">
        <v>67038490197</v>
      </c>
      <c r="G275">
        <v>25914966515</v>
      </c>
      <c r="H275">
        <v>24686491607</v>
      </c>
      <c r="I275">
        <v>22515922280</v>
      </c>
      <c r="J275">
        <v>23647169600</v>
      </c>
      <c r="K275">
        <v>20521762466</v>
      </c>
      <c r="L275">
        <v>23876406887</v>
      </c>
      <c r="M275">
        <v>26429622435</v>
      </c>
      <c r="N275">
        <v>23286819051</v>
      </c>
      <c r="O275">
        <v>22397229025</v>
      </c>
      <c r="P275">
        <v>1021</v>
      </c>
      <c r="Q275" t="s">
        <v>646</v>
      </c>
    </row>
    <row r="276" spans="1:17" x14ac:dyDescent="0.3">
      <c r="A276" t="s">
        <v>17</v>
      </c>
      <c r="B276" t="str">
        <f>"600022"</f>
        <v>600022</v>
      </c>
      <c r="C276" t="s">
        <v>647</v>
      </c>
      <c r="D276" t="s">
        <v>210</v>
      </c>
      <c r="E276">
        <v>74209745265</v>
      </c>
      <c r="F276">
        <v>73313505171</v>
      </c>
      <c r="G276">
        <v>70950246918</v>
      </c>
      <c r="H276">
        <v>70239503044</v>
      </c>
      <c r="I276">
        <v>58105759902</v>
      </c>
      <c r="J276">
        <v>47010893838</v>
      </c>
      <c r="K276">
        <v>52303180401</v>
      </c>
      <c r="L276">
        <v>46930487526</v>
      </c>
      <c r="M276">
        <v>50917310220</v>
      </c>
      <c r="N276">
        <v>55488036507</v>
      </c>
      <c r="O276">
        <v>59819344540</v>
      </c>
      <c r="P276">
        <v>233</v>
      </c>
      <c r="Q276" t="s">
        <v>648</v>
      </c>
    </row>
    <row r="277" spans="1:17" x14ac:dyDescent="0.3">
      <c r="A277" t="s">
        <v>47</v>
      </c>
      <c r="B277" t="str">
        <f>"000983"</f>
        <v>000983</v>
      </c>
      <c r="C277" t="s">
        <v>649</v>
      </c>
      <c r="D277" t="s">
        <v>530</v>
      </c>
      <c r="E277">
        <v>73644909532</v>
      </c>
      <c r="F277">
        <v>70752131787</v>
      </c>
      <c r="G277">
        <v>67249149171</v>
      </c>
      <c r="H277">
        <v>64882214460</v>
      </c>
      <c r="I277">
        <v>58901056036</v>
      </c>
      <c r="J277">
        <v>55817332133</v>
      </c>
      <c r="K277">
        <v>52890488328</v>
      </c>
      <c r="L277">
        <v>48547234536</v>
      </c>
      <c r="M277">
        <v>46225311813</v>
      </c>
      <c r="N277">
        <v>45844691244</v>
      </c>
      <c r="O277">
        <v>40549460559</v>
      </c>
      <c r="P277">
        <v>688</v>
      </c>
      <c r="Q277" t="s">
        <v>650</v>
      </c>
    </row>
    <row r="278" spans="1:17" x14ac:dyDescent="0.3">
      <c r="A278" t="s">
        <v>47</v>
      </c>
      <c r="B278" t="str">
        <f>"000883"</f>
        <v>000883</v>
      </c>
      <c r="C278" t="s">
        <v>651</v>
      </c>
      <c r="D278" t="s">
        <v>652</v>
      </c>
      <c r="E278">
        <v>73518888523</v>
      </c>
      <c r="F278">
        <v>62800683135</v>
      </c>
      <c r="G278">
        <v>61033066991</v>
      </c>
      <c r="H278">
        <v>48773550482</v>
      </c>
      <c r="I278">
        <v>46813108540</v>
      </c>
      <c r="J278">
        <v>41798913111</v>
      </c>
      <c r="K278">
        <v>40187418902</v>
      </c>
      <c r="L278">
        <v>35735451143</v>
      </c>
      <c r="M278">
        <v>34013558267</v>
      </c>
      <c r="N278">
        <v>31748382205</v>
      </c>
      <c r="O278">
        <v>31310564607</v>
      </c>
      <c r="P278">
        <v>419</v>
      </c>
      <c r="Q278" t="s">
        <v>653</v>
      </c>
    </row>
    <row r="279" spans="1:17" x14ac:dyDescent="0.3">
      <c r="A279" t="s">
        <v>17</v>
      </c>
      <c r="B279" t="str">
        <f>"601808"</f>
        <v>601808</v>
      </c>
      <c r="C279" t="s">
        <v>654</v>
      </c>
      <c r="D279" t="s">
        <v>655</v>
      </c>
      <c r="E279">
        <v>73466449744</v>
      </c>
      <c r="F279">
        <v>74829485323</v>
      </c>
      <c r="G279">
        <v>76187978818</v>
      </c>
      <c r="H279">
        <v>75972545958</v>
      </c>
      <c r="I279">
        <v>70811844993</v>
      </c>
      <c r="J279">
        <v>79502945713</v>
      </c>
      <c r="K279">
        <v>90502214937</v>
      </c>
      <c r="L279">
        <v>85104302087</v>
      </c>
      <c r="M279">
        <v>84902056922</v>
      </c>
      <c r="N279">
        <v>74617325348</v>
      </c>
      <c r="O279">
        <v>64947062007</v>
      </c>
      <c r="P279">
        <v>411</v>
      </c>
      <c r="Q279" t="s">
        <v>656</v>
      </c>
    </row>
    <row r="280" spans="1:17" x14ac:dyDescent="0.3">
      <c r="A280" t="s">
        <v>47</v>
      </c>
      <c r="B280" t="str">
        <f>"002314"</f>
        <v>002314</v>
      </c>
      <c r="C280" t="s">
        <v>657</v>
      </c>
      <c r="D280" t="s">
        <v>76</v>
      </c>
      <c r="E280">
        <v>73450173263</v>
      </c>
      <c r="F280">
        <v>57850581350</v>
      </c>
      <c r="G280">
        <v>45341259924</v>
      </c>
      <c r="H280">
        <v>32808929953</v>
      </c>
      <c r="I280">
        <v>17567337253</v>
      </c>
      <c r="J280">
        <v>14987856196</v>
      </c>
      <c r="K280">
        <v>11205531757</v>
      </c>
      <c r="L280">
        <v>3051491719</v>
      </c>
      <c r="M280">
        <v>3817661884</v>
      </c>
      <c r="N280">
        <v>4013600110</v>
      </c>
      <c r="O280">
        <v>4172602207</v>
      </c>
      <c r="P280">
        <v>206</v>
      </c>
      <c r="Q280" t="s">
        <v>658</v>
      </c>
    </row>
    <row r="281" spans="1:17" x14ac:dyDescent="0.3">
      <c r="A281" t="s">
        <v>17</v>
      </c>
      <c r="B281" t="str">
        <f>"600708"</f>
        <v>600708</v>
      </c>
      <c r="C281" t="s">
        <v>659</v>
      </c>
      <c r="D281" t="s">
        <v>76</v>
      </c>
      <c r="E281">
        <v>72463946672</v>
      </c>
      <c r="F281">
        <v>84173885301</v>
      </c>
      <c r="G281">
        <v>82225176327</v>
      </c>
      <c r="H281">
        <v>77783581469</v>
      </c>
      <c r="I281">
        <v>58156241397</v>
      </c>
      <c r="J281">
        <v>47603579338</v>
      </c>
      <c r="K281">
        <v>51101695392</v>
      </c>
      <c r="L281">
        <v>5588676433</v>
      </c>
      <c r="M281">
        <v>4705935971</v>
      </c>
      <c r="N281">
        <v>3888932674</v>
      </c>
      <c r="O281">
        <v>3863358099</v>
      </c>
      <c r="P281">
        <v>677</v>
      </c>
      <c r="Q281" t="s">
        <v>660</v>
      </c>
    </row>
    <row r="282" spans="1:17" x14ac:dyDescent="0.3">
      <c r="A282" t="s">
        <v>17</v>
      </c>
      <c r="B282" t="str">
        <f>"601456"</f>
        <v>601456</v>
      </c>
      <c r="C282" t="s">
        <v>661</v>
      </c>
      <c r="D282" t="s">
        <v>99</v>
      </c>
      <c r="E282">
        <v>72371982469</v>
      </c>
      <c r="F282">
        <v>53056060491</v>
      </c>
      <c r="G282">
        <v>37470481000</v>
      </c>
      <c r="P282">
        <v>310</v>
      </c>
      <c r="Q282" t="s">
        <v>662</v>
      </c>
    </row>
    <row r="283" spans="1:17" x14ac:dyDescent="0.3">
      <c r="A283" t="s">
        <v>17</v>
      </c>
      <c r="B283" t="str">
        <f>"688599"</f>
        <v>688599</v>
      </c>
      <c r="C283" t="s">
        <v>663</v>
      </c>
      <c r="D283" t="s">
        <v>664</v>
      </c>
      <c r="E283">
        <v>72345271772</v>
      </c>
      <c r="F283">
        <v>51318280895</v>
      </c>
      <c r="G283">
        <v>38437226013</v>
      </c>
      <c r="P283">
        <v>371</v>
      </c>
      <c r="Q283" t="s">
        <v>665</v>
      </c>
    </row>
    <row r="284" spans="1:17" x14ac:dyDescent="0.3">
      <c r="A284" t="s">
        <v>47</v>
      </c>
      <c r="B284" t="str">
        <f>"300070"</f>
        <v>300070</v>
      </c>
      <c r="C284" t="s">
        <v>666</v>
      </c>
      <c r="D284" t="s">
        <v>520</v>
      </c>
      <c r="E284">
        <v>71899069406</v>
      </c>
      <c r="F284">
        <v>69393791492</v>
      </c>
      <c r="G284">
        <v>68339928680</v>
      </c>
      <c r="H284">
        <v>57070770729</v>
      </c>
      <c r="I284">
        <v>48264062773</v>
      </c>
      <c r="J284">
        <v>33076126814</v>
      </c>
      <c r="K284">
        <v>18121112466</v>
      </c>
      <c r="L284">
        <v>9815534911</v>
      </c>
      <c r="M284">
        <v>7616705935</v>
      </c>
      <c r="N284">
        <v>5377431833</v>
      </c>
      <c r="O284">
        <v>4470805542</v>
      </c>
      <c r="P284">
        <v>1163</v>
      </c>
      <c r="Q284" t="s">
        <v>667</v>
      </c>
    </row>
    <row r="285" spans="1:17" x14ac:dyDescent="0.3">
      <c r="A285" t="s">
        <v>17</v>
      </c>
      <c r="B285" t="str">
        <f>"600548"</f>
        <v>600548</v>
      </c>
      <c r="C285" t="s">
        <v>668</v>
      </c>
      <c r="D285" t="s">
        <v>471</v>
      </c>
      <c r="E285">
        <v>71614115083</v>
      </c>
      <c r="F285">
        <v>58305290490</v>
      </c>
      <c r="G285">
        <v>48075139963</v>
      </c>
      <c r="H285">
        <v>40434196830</v>
      </c>
      <c r="I285">
        <v>44667577752</v>
      </c>
      <c r="J285">
        <v>32689864176</v>
      </c>
      <c r="K285">
        <v>31919678087</v>
      </c>
      <c r="L285">
        <v>24300549726</v>
      </c>
      <c r="M285">
        <v>22717212270</v>
      </c>
      <c r="N285">
        <v>23635350095</v>
      </c>
      <c r="O285">
        <v>24541413218</v>
      </c>
      <c r="P285">
        <v>794</v>
      </c>
      <c r="Q285" t="s">
        <v>669</v>
      </c>
    </row>
    <row r="286" spans="1:17" x14ac:dyDescent="0.3">
      <c r="A286" t="s">
        <v>17</v>
      </c>
      <c r="B286" t="str">
        <f>"600956"</f>
        <v>600956</v>
      </c>
      <c r="C286" t="s">
        <v>670</v>
      </c>
      <c r="D286" t="s">
        <v>298</v>
      </c>
      <c r="E286">
        <v>71295241206</v>
      </c>
      <c r="F286">
        <v>59809166416</v>
      </c>
      <c r="G286">
        <v>47304700668</v>
      </c>
      <c r="P286">
        <v>204</v>
      </c>
      <c r="Q286" t="s">
        <v>671</v>
      </c>
    </row>
    <row r="287" spans="1:17" x14ac:dyDescent="0.3">
      <c r="A287" t="s">
        <v>17</v>
      </c>
      <c r="B287" t="str">
        <f>"600649"</f>
        <v>600649</v>
      </c>
      <c r="C287" t="s">
        <v>672</v>
      </c>
      <c r="D287" t="s">
        <v>76</v>
      </c>
      <c r="E287">
        <v>70876842234</v>
      </c>
      <c r="F287">
        <v>65655355067</v>
      </c>
      <c r="G287">
        <v>40092292660</v>
      </c>
      <c r="H287">
        <v>37765719790</v>
      </c>
      <c r="I287">
        <v>36939927173</v>
      </c>
      <c r="J287">
        <v>33336261944</v>
      </c>
      <c r="K287">
        <v>44269892875</v>
      </c>
      <c r="L287">
        <v>42609923837</v>
      </c>
      <c r="M287">
        <v>34646920757</v>
      </c>
      <c r="N287">
        <v>27929804160</v>
      </c>
      <c r="O287">
        <v>28099812386</v>
      </c>
      <c r="P287">
        <v>205</v>
      </c>
      <c r="Q287" t="s">
        <v>673</v>
      </c>
    </row>
    <row r="288" spans="1:17" x14ac:dyDescent="0.3">
      <c r="A288" t="s">
        <v>47</v>
      </c>
      <c r="B288" t="str">
        <f>"000875"</f>
        <v>000875</v>
      </c>
      <c r="C288" t="s">
        <v>674</v>
      </c>
      <c r="D288" t="s">
        <v>652</v>
      </c>
      <c r="E288">
        <v>70864432376</v>
      </c>
      <c r="F288">
        <v>57990899527</v>
      </c>
      <c r="G288">
        <v>45301717954</v>
      </c>
      <c r="H288">
        <v>39682904119</v>
      </c>
      <c r="I288">
        <v>35415798808</v>
      </c>
      <c r="J288">
        <v>30471018921</v>
      </c>
      <c r="K288">
        <v>23653165633</v>
      </c>
      <c r="L288">
        <v>21140387767</v>
      </c>
      <c r="M288">
        <v>17410820363</v>
      </c>
      <c r="N288">
        <v>15910967132</v>
      </c>
      <c r="O288">
        <v>16354907378</v>
      </c>
      <c r="P288">
        <v>278</v>
      </c>
      <c r="Q288" t="s">
        <v>675</v>
      </c>
    </row>
    <row r="289" spans="1:17" x14ac:dyDescent="0.3">
      <c r="A289" t="s">
        <v>47</v>
      </c>
      <c r="B289" t="str">
        <f>"000825"</f>
        <v>000825</v>
      </c>
      <c r="C289" t="s">
        <v>676</v>
      </c>
      <c r="D289" t="s">
        <v>555</v>
      </c>
      <c r="E289">
        <v>70299624088</v>
      </c>
      <c r="F289">
        <v>72311822951</v>
      </c>
      <c r="G289">
        <v>69677588884</v>
      </c>
      <c r="H289">
        <v>68762633387</v>
      </c>
      <c r="I289">
        <v>72712846117</v>
      </c>
      <c r="J289">
        <v>72479726125</v>
      </c>
      <c r="K289">
        <v>73516881686</v>
      </c>
      <c r="L289">
        <v>77912713766</v>
      </c>
      <c r="M289">
        <v>78727817136</v>
      </c>
      <c r="N289">
        <v>71344549894</v>
      </c>
      <c r="O289">
        <v>68313069352</v>
      </c>
      <c r="P289">
        <v>581</v>
      </c>
      <c r="Q289" t="s">
        <v>677</v>
      </c>
    </row>
    <row r="290" spans="1:17" x14ac:dyDescent="0.3">
      <c r="A290" t="s">
        <v>17</v>
      </c>
      <c r="B290" t="str">
        <f>"600406"</f>
        <v>600406</v>
      </c>
      <c r="C290" t="s">
        <v>678</v>
      </c>
      <c r="D290" t="s">
        <v>679</v>
      </c>
      <c r="E290">
        <v>69951516336</v>
      </c>
      <c r="F290">
        <v>63473877879</v>
      </c>
      <c r="G290">
        <v>55535517262</v>
      </c>
      <c r="H290">
        <v>51831854421</v>
      </c>
      <c r="I290">
        <v>43484674871</v>
      </c>
      <c r="J290">
        <v>16460641961</v>
      </c>
      <c r="K290">
        <v>15390230528</v>
      </c>
      <c r="L290">
        <v>14115741873</v>
      </c>
      <c r="M290">
        <v>12844550132</v>
      </c>
      <c r="N290">
        <v>7611100410</v>
      </c>
      <c r="O290">
        <v>6155137336</v>
      </c>
      <c r="P290">
        <v>2124</v>
      </c>
      <c r="Q290" t="s">
        <v>680</v>
      </c>
    </row>
    <row r="291" spans="1:17" x14ac:dyDescent="0.3">
      <c r="A291" t="s">
        <v>17</v>
      </c>
      <c r="B291" t="str">
        <f>"601666"</f>
        <v>601666</v>
      </c>
      <c r="C291" t="s">
        <v>681</v>
      </c>
      <c r="D291" t="s">
        <v>530</v>
      </c>
      <c r="E291">
        <v>69787578805</v>
      </c>
      <c r="F291">
        <v>55108592247</v>
      </c>
      <c r="G291">
        <v>54991569903</v>
      </c>
      <c r="H291">
        <v>50758803935</v>
      </c>
      <c r="I291">
        <v>44354224188</v>
      </c>
      <c r="J291">
        <v>39156922892</v>
      </c>
      <c r="K291">
        <v>36682120960</v>
      </c>
      <c r="L291">
        <v>32066196496</v>
      </c>
      <c r="M291">
        <v>26300901701</v>
      </c>
      <c r="N291">
        <v>20714066289</v>
      </c>
      <c r="O291">
        <v>19633225314</v>
      </c>
      <c r="P291">
        <v>401</v>
      </c>
      <c r="Q291" t="s">
        <v>682</v>
      </c>
    </row>
    <row r="292" spans="1:17" x14ac:dyDescent="0.3">
      <c r="A292" t="s">
        <v>47</v>
      </c>
      <c r="B292" t="str">
        <f>"000800"</f>
        <v>000800</v>
      </c>
      <c r="C292" t="s">
        <v>683</v>
      </c>
      <c r="D292" t="s">
        <v>684</v>
      </c>
      <c r="E292">
        <v>69684743378</v>
      </c>
      <c r="F292">
        <v>87855553732</v>
      </c>
      <c r="G292">
        <v>75609265169</v>
      </c>
      <c r="H292">
        <v>17964893524</v>
      </c>
      <c r="I292">
        <v>16929495497</v>
      </c>
      <c r="J292">
        <v>17510080968</v>
      </c>
      <c r="K292">
        <v>17211050357</v>
      </c>
      <c r="L292">
        <v>18481892901</v>
      </c>
      <c r="M292">
        <v>20404602958</v>
      </c>
      <c r="N292">
        <v>17278824976</v>
      </c>
      <c r="O292">
        <v>16710849989</v>
      </c>
      <c r="P292">
        <v>446</v>
      </c>
      <c r="Q292" t="s">
        <v>685</v>
      </c>
    </row>
    <row r="293" spans="1:17" x14ac:dyDescent="0.3">
      <c r="A293" t="s">
        <v>17</v>
      </c>
      <c r="B293" t="str">
        <f>"600377"</f>
        <v>600377</v>
      </c>
      <c r="C293" t="s">
        <v>686</v>
      </c>
      <c r="D293" t="s">
        <v>471</v>
      </c>
      <c r="E293">
        <v>68629183232</v>
      </c>
      <c r="F293">
        <v>64929303540</v>
      </c>
      <c r="G293">
        <v>55407058985</v>
      </c>
      <c r="H293">
        <v>50278594838</v>
      </c>
      <c r="I293">
        <v>45333697213</v>
      </c>
      <c r="J293">
        <v>37221438378</v>
      </c>
      <c r="K293">
        <v>36266948260</v>
      </c>
      <c r="L293">
        <v>27895731652</v>
      </c>
      <c r="M293">
        <v>27064105037</v>
      </c>
      <c r="N293">
        <v>25497725290</v>
      </c>
      <c r="O293">
        <v>25737754335</v>
      </c>
      <c r="P293">
        <v>1722</v>
      </c>
      <c r="Q293" t="s">
        <v>687</v>
      </c>
    </row>
    <row r="294" spans="1:17" x14ac:dyDescent="0.3">
      <c r="A294" t="s">
        <v>17</v>
      </c>
      <c r="B294" t="str">
        <f>"600927"</f>
        <v>600927</v>
      </c>
      <c r="C294" t="s">
        <v>688</v>
      </c>
      <c r="D294" t="s">
        <v>689</v>
      </c>
      <c r="E294">
        <v>67288053783</v>
      </c>
      <c r="P294">
        <v>22</v>
      </c>
      <c r="Q294" t="s">
        <v>690</v>
      </c>
    </row>
    <row r="295" spans="1:17" x14ac:dyDescent="0.3">
      <c r="A295" t="s">
        <v>17</v>
      </c>
      <c r="B295" t="str">
        <f>"601933"</f>
        <v>601933</v>
      </c>
      <c r="C295" t="s">
        <v>691</v>
      </c>
      <c r="D295" t="s">
        <v>692</v>
      </c>
      <c r="E295">
        <v>67152088269</v>
      </c>
      <c r="F295">
        <v>80192467612</v>
      </c>
      <c r="G295">
        <v>52573889879</v>
      </c>
      <c r="H295">
        <v>40500261922</v>
      </c>
      <c r="I295">
        <v>32590116900</v>
      </c>
      <c r="J295">
        <v>29871557804</v>
      </c>
      <c r="K295">
        <v>20831618163</v>
      </c>
      <c r="L295">
        <v>21274115277</v>
      </c>
      <c r="M295">
        <v>13465629657</v>
      </c>
      <c r="N295">
        <v>10368929180</v>
      </c>
      <c r="O295">
        <v>9803405714</v>
      </c>
      <c r="P295">
        <v>2444</v>
      </c>
      <c r="Q295" t="s">
        <v>693</v>
      </c>
    </row>
    <row r="296" spans="1:17" x14ac:dyDescent="0.3">
      <c r="A296" t="s">
        <v>17</v>
      </c>
      <c r="B296" t="str">
        <f>"600332"</f>
        <v>600332</v>
      </c>
      <c r="C296" t="s">
        <v>694</v>
      </c>
      <c r="D296" t="s">
        <v>695</v>
      </c>
      <c r="E296">
        <v>67042055169</v>
      </c>
      <c r="F296">
        <v>62824652469</v>
      </c>
      <c r="G296">
        <v>56595905098</v>
      </c>
      <c r="H296">
        <v>51800877293</v>
      </c>
      <c r="I296">
        <v>28837123367</v>
      </c>
      <c r="J296">
        <v>26579719016</v>
      </c>
      <c r="K296">
        <v>16955003082</v>
      </c>
      <c r="L296">
        <v>14913449461</v>
      </c>
      <c r="M296">
        <v>13020371154</v>
      </c>
      <c r="N296">
        <v>7533446498</v>
      </c>
      <c r="O296">
        <v>5280605465</v>
      </c>
      <c r="P296">
        <v>2231</v>
      </c>
      <c r="Q296" t="s">
        <v>696</v>
      </c>
    </row>
    <row r="297" spans="1:17" x14ac:dyDescent="0.3">
      <c r="A297" t="s">
        <v>17</v>
      </c>
      <c r="B297" t="str">
        <f>"600348"</f>
        <v>600348</v>
      </c>
      <c r="C297" t="s">
        <v>697</v>
      </c>
      <c r="D297" t="s">
        <v>530</v>
      </c>
      <c r="E297">
        <v>66870775883</v>
      </c>
      <c r="F297">
        <v>61840979486</v>
      </c>
      <c r="G297">
        <v>50890113506</v>
      </c>
      <c r="H297">
        <v>44926287509</v>
      </c>
      <c r="I297">
        <v>41795322230</v>
      </c>
      <c r="J297">
        <v>41301767468</v>
      </c>
      <c r="K297">
        <v>34258102652</v>
      </c>
      <c r="L297">
        <v>30513648860</v>
      </c>
      <c r="M297">
        <v>27152375896</v>
      </c>
      <c r="N297">
        <v>32670531256</v>
      </c>
      <c r="O297">
        <v>30643832735</v>
      </c>
      <c r="P297">
        <v>1285</v>
      </c>
      <c r="Q297" t="s">
        <v>698</v>
      </c>
    </row>
    <row r="298" spans="1:17" x14ac:dyDescent="0.3">
      <c r="A298" t="s">
        <v>47</v>
      </c>
      <c r="B298" t="str">
        <f>"000938"</f>
        <v>000938</v>
      </c>
      <c r="C298" t="s">
        <v>699</v>
      </c>
      <c r="D298" t="s">
        <v>700</v>
      </c>
      <c r="E298">
        <v>66409540137</v>
      </c>
      <c r="F298">
        <v>56952157454</v>
      </c>
      <c r="G298">
        <v>54415634929</v>
      </c>
      <c r="H298">
        <v>47050307230</v>
      </c>
      <c r="I298">
        <v>42791560907</v>
      </c>
      <c r="J298">
        <v>36859545165</v>
      </c>
      <c r="K298">
        <v>5757736033</v>
      </c>
      <c r="L298">
        <v>5669533998</v>
      </c>
      <c r="M298">
        <v>3294214602</v>
      </c>
      <c r="N298">
        <v>2561130478</v>
      </c>
      <c r="O298">
        <v>1966701112</v>
      </c>
      <c r="P298">
        <v>3894</v>
      </c>
      <c r="Q298" t="s">
        <v>701</v>
      </c>
    </row>
    <row r="299" spans="1:17" x14ac:dyDescent="0.3">
      <c r="A299" t="s">
        <v>17</v>
      </c>
      <c r="B299" t="str">
        <f>"600352"</f>
        <v>600352</v>
      </c>
      <c r="C299" t="s">
        <v>702</v>
      </c>
      <c r="D299" t="s">
        <v>703</v>
      </c>
      <c r="E299">
        <v>66341430053</v>
      </c>
      <c r="F299">
        <v>59575454709</v>
      </c>
      <c r="G299">
        <v>53414148053</v>
      </c>
      <c r="H299">
        <v>52554606800</v>
      </c>
      <c r="I299">
        <v>49464684048</v>
      </c>
      <c r="J299">
        <v>42472915508</v>
      </c>
      <c r="K299">
        <v>33397497397</v>
      </c>
      <c r="L299">
        <v>24608003725</v>
      </c>
      <c r="M299">
        <v>20573935526</v>
      </c>
      <c r="N299">
        <v>17208045035</v>
      </c>
      <c r="O299">
        <v>15337720537</v>
      </c>
      <c r="P299">
        <v>1666</v>
      </c>
      <c r="Q299" t="s">
        <v>704</v>
      </c>
    </row>
    <row r="300" spans="1:17" x14ac:dyDescent="0.3">
      <c r="A300" t="s">
        <v>47</v>
      </c>
      <c r="B300" t="str">
        <f>"200553"</f>
        <v>200553</v>
      </c>
      <c r="C300" t="s">
        <v>705</v>
      </c>
      <c r="E300">
        <v>66125863166</v>
      </c>
      <c r="F300">
        <v>57366957765</v>
      </c>
      <c r="G300">
        <v>52219024296</v>
      </c>
      <c r="H300">
        <v>53198519469.300003</v>
      </c>
      <c r="I300">
        <v>49839165195</v>
      </c>
      <c r="J300">
        <v>3452485477.2744002</v>
      </c>
      <c r="K300">
        <v>3668392978.5857</v>
      </c>
      <c r="L300">
        <v>3898998686.25</v>
      </c>
      <c r="M300">
        <v>3761183328.8684001</v>
      </c>
      <c r="N300">
        <v>3516593161.3049998</v>
      </c>
      <c r="O300">
        <v>3115313475.1290002</v>
      </c>
      <c r="P300">
        <v>58</v>
      </c>
      <c r="Q300" t="s">
        <v>706</v>
      </c>
    </row>
    <row r="301" spans="1:17" x14ac:dyDescent="0.3">
      <c r="A301" t="s">
        <v>17</v>
      </c>
      <c r="B301" t="str">
        <f>"601696"</f>
        <v>601696</v>
      </c>
      <c r="C301" t="s">
        <v>707</v>
      </c>
      <c r="D301" t="s">
        <v>99</v>
      </c>
      <c r="E301">
        <v>65357818533</v>
      </c>
      <c r="F301">
        <v>57903292174</v>
      </c>
      <c r="G301">
        <v>54069547647</v>
      </c>
      <c r="J301">
        <v>43333801483</v>
      </c>
      <c r="L301">
        <v>44597056897</v>
      </c>
      <c r="P301">
        <v>516</v>
      </c>
      <c r="Q301" t="s">
        <v>708</v>
      </c>
    </row>
    <row r="302" spans="1:17" x14ac:dyDescent="0.3">
      <c r="A302" t="s">
        <v>17</v>
      </c>
      <c r="B302" t="str">
        <f>"600500"</f>
        <v>600500</v>
      </c>
      <c r="C302" t="s">
        <v>709</v>
      </c>
      <c r="D302" t="s">
        <v>710</v>
      </c>
      <c r="E302">
        <v>65297376653</v>
      </c>
      <c r="F302">
        <v>70983924507</v>
      </c>
      <c r="G302">
        <v>58372106309</v>
      </c>
      <c r="H302">
        <v>56725652826</v>
      </c>
      <c r="I302">
        <v>57299420488</v>
      </c>
      <c r="J302">
        <v>53514385544</v>
      </c>
      <c r="K302">
        <v>45971850925</v>
      </c>
      <c r="L302">
        <v>34109716897</v>
      </c>
      <c r="M302">
        <v>34538879104</v>
      </c>
      <c r="N302">
        <v>31682865128</v>
      </c>
      <c r="O302">
        <v>29928514946</v>
      </c>
      <c r="P302">
        <v>285</v>
      </c>
      <c r="Q302" t="s">
        <v>711</v>
      </c>
    </row>
    <row r="303" spans="1:17" x14ac:dyDescent="0.3">
      <c r="A303" t="s">
        <v>17</v>
      </c>
      <c r="B303" t="str">
        <f>"600491"</f>
        <v>600491</v>
      </c>
      <c r="C303" t="s">
        <v>712</v>
      </c>
      <c r="D303" t="s">
        <v>65</v>
      </c>
      <c r="E303">
        <v>65070478767</v>
      </c>
      <c r="F303">
        <v>61510073144</v>
      </c>
      <c r="G303">
        <v>59097775186</v>
      </c>
      <c r="H303">
        <v>52272050276</v>
      </c>
      <c r="I303">
        <v>38564931934</v>
      </c>
      <c r="J303">
        <v>27979533526</v>
      </c>
      <c r="K303">
        <v>24807703893</v>
      </c>
      <c r="L303">
        <v>20779986804</v>
      </c>
      <c r="M303">
        <v>17782868367</v>
      </c>
      <c r="N303">
        <v>13919475963</v>
      </c>
      <c r="O303">
        <v>10772098974</v>
      </c>
      <c r="P303">
        <v>116</v>
      </c>
      <c r="Q303" t="s">
        <v>713</v>
      </c>
    </row>
    <row r="304" spans="1:17" x14ac:dyDescent="0.3">
      <c r="A304" t="s">
        <v>47</v>
      </c>
      <c r="B304" t="str">
        <f>"000767"</f>
        <v>000767</v>
      </c>
      <c r="C304" t="s">
        <v>714</v>
      </c>
      <c r="D304" t="s">
        <v>171</v>
      </c>
      <c r="E304">
        <v>64879790123</v>
      </c>
      <c r="F304">
        <v>57378292897</v>
      </c>
      <c r="G304">
        <v>52599396837</v>
      </c>
      <c r="H304">
        <v>50147013338</v>
      </c>
      <c r="I304">
        <v>47540421313</v>
      </c>
      <c r="J304">
        <v>46104984349</v>
      </c>
      <c r="K304">
        <v>33429693691</v>
      </c>
      <c r="L304">
        <v>30956157818</v>
      </c>
      <c r="M304">
        <v>30076531315</v>
      </c>
      <c r="N304">
        <v>28661404600</v>
      </c>
      <c r="O304">
        <v>12219342780</v>
      </c>
      <c r="P304">
        <v>173</v>
      </c>
      <c r="Q304" t="s">
        <v>715</v>
      </c>
    </row>
    <row r="305" spans="1:17" x14ac:dyDescent="0.3">
      <c r="A305" t="s">
        <v>17</v>
      </c>
      <c r="B305" t="str">
        <f>"600219"</f>
        <v>600219</v>
      </c>
      <c r="C305" t="s">
        <v>716</v>
      </c>
      <c r="D305" t="s">
        <v>346</v>
      </c>
      <c r="E305">
        <v>64665605289</v>
      </c>
      <c r="F305">
        <v>58290063767</v>
      </c>
      <c r="G305">
        <v>56511574033</v>
      </c>
      <c r="H305">
        <v>53979301588</v>
      </c>
      <c r="I305">
        <v>46029318682</v>
      </c>
      <c r="J305">
        <v>43330623611</v>
      </c>
      <c r="K305">
        <v>34687794629</v>
      </c>
      <c r="L305">
        <v>31809046785</v>
      </c>
      <c r="M305">
        <v>30204498005</v>
      </c>
      <c r="N305">
        <v>28115013351</v>
      </c>
      <c r="O305">
        <v>21845771217</v>
      </c>
      <c r="P305">
        <v>609</v>
      </c>
      <c r="Q305" t="s">
        <v>717</v>
      </c>
    </row>
    <row r="306" spans="1:17" x14ac:dyDescent="0.3">
      <c r="A306" t="s">
        <v>17</v>
      </c>
      <c r="B306" t="str">
        <f>"600871"</f>
        <v>600871</v>
      </c>
      <c r="C306" t="s">
        <v>718</v>
      </c>
      <c r="D306" t="s">
        <v>655</v>
      </c>
      <c r="E306">
        <v>64609215000</v>
      </c>
      <c r="F306">
        <v>61610851000</v>
      </c>
      <c r="G306">
        <v>63233163000</v>
      </c>
      <c r="H306">
        <v>63232377000</v>
      </c>
      <c r="I306">
        <v>59605141000</v>
      </c>
      <c r="J306">
        <v>70817659000</v>
      </c>
      <c r="K306">
        <v>79039414000</v>
      </c>
      <c r="L306">
        <v>75881038000</v>
      </c>
      <c r="M306">
        <v>10135871000</v>
      </c>
      <c r="N306">
        <v>11039363000</v>
      </c>
      <c r="O306">
        <v>10676865000</v>
      </c>
      <c r="P306">
        <v>172</v>
      </c>
      <c r="Q306" t="s">
        <v>719</v>
      </c>
    </row>
    <row r="307" spans="1:17" x14ac:dyDescent="0.3">
      <c r="A307" t="s">
        <v>17</v>
      </c>
      <c r="B307" t="str">
        <f>"600736"</f>
        <v>600736</v>
      </c>
      <c r="C307" t="s">
        <v>720</v>
      </c>
      <c r="D307" t="s">
        <v>76</v>
      </c>
      <c r="E307">
        <v>64420190369</v>
      </c>
      <c r="F307">
        <v>60697926512</v>
      </c>
      <c r="G307">
        <v>50556159064</v>
      </c>
      <c r="H307">
        <v>40049178758</v>
      </c>
      <c r="I307">
        <v>32821248687</v>
      </c>
      <c r="J307">
        <v>22725490437</v>
      </c>
      <c r="K307">
        <v>21640566522</v>
      </c>
      <c r="L307">
        <v>22350720102</v>
      </c>
      <c r="M307">
        <v>20849989090</v>
      </c>
      <c r="N307">
        <v>19079807719</v>
      </c>
      <c r="O307">
        <v>15979147596</v>
      </c>
      <c r="P307">
        <v>142</v>
      </c>
      <c r="Q307" t="s">
        <v>721</v>
      </c>
    </row>
    <row r="308" spans="1:17" x14ac:dyDescent="0.3">
      <c r="A308" t="s">
        <v>47</v>
      </c>
      <c r="B308" t="str">
        <f>"002459"</f>
        <v>002459</v>
      </c>
      <c r="C308" t="s">
        <v>722</v>
      </c>
      <c r="D308" t="s">
        <v>664</v>
      </c>
      <c r="E308">
        <v>64005579798</v>
      </c>
      <c r="F308">
        <v>40922626534</v>
      </c>
      <c r="G308">
        <v>30410734199</v>
      </c>
      <c r="H308">
        <v>1453410797</v>
      </c>
      <c r="I308">
        <v>1439710289</v>
      </c>
      <c r="J308">
        <v>1353228911</v>
      </c>
      <c r="K308">
        <v>1328017835</v>
      </c>
      <c r="L308">
        <v>1714644571</v>
      </c>
      <c r="M308">
        <v>1535966239</v>
      </c>
      <c r="N308">
        <v>2344449247</v>
      </c>
      <c r="O308">
        <v>2318626079</v>
      </c>
      <c r="P308">
        <v>1227</v>
      </c>
      <c r="Q308" t="s">
        <v>723</v>
      </c>
    </row>
    <row r="309" spans="1:17" x14ac:dyDescent="0.3">
      <c r="A309" t="s">
        <v>47</v>
      </c>
      <c r="B309" t="str">
        <f>"002304"</f>
        <v>002304</v>
      </c>
      <c r="C309" t="s">
        <v>724</v>
      </c>
      <c r="D309" t="s">
        <v>286</v>
      </c>
      <c r="E309">
        <v>63811020350</v>
      </c>
      <c r="F309">
        <v>55769965523</v>
      </c>
      <c r="G309">
        <v>52096174091</v>
      </c>
      <c r="H309">
        <v>49691158148</v>
      </c>
      <c r="I309">
        <v>44363922274</v>
      </c>
      <c r="J309">
        <v>38823490363</v>
      </c>
      <c r="K309">
        <v>35595195570</v>
      </c>
      <c r="L309">
        <v>31202707005</v>
      </c>
      <c r="M309">
        <v>29848536262</v>
      </c>
      <c r="N309">
        <v>25840572349</v>
      </c>
      <c r="O309">
        <v>20536018811</v>
      </c>
      <c r="P309">
        <v>52722</v>
      </c>
      <c r="Q309" t="s">
        <v>725</v>
      </c>
    </row>
    <row r="310" spans="1:17" x14ac:dyDescent="0.3">
      <c r="A310" t="s">
        <v>47</v>
      </c>
      <c r="B310" t="str">
        <f>"000090"</f>
        <v>000090</v>
      </c>
      <c r="C310" t="s">
        <v>726</v>
      </c>
      <c r="D310" t="s">
        <v>76</v>
      </c>
      <c r="E310">
        <v>63687443020</v>
      </c>
      <c r="F310">
        <v>50612733227</v>
      </c>
      <c r="G310">
        <v>39982158736</v>
      </c>
      <c r="H310">
        <v>31988148159</v>
      </c>
      <c r="I310">
        <v>27517338235</v>
      </c>
      <c r="J310">
        <v>20305936243</v>
      </c>
      <c r="K310">
        <v>15820689346</v>
      </c>
      <c r="L310">
        <v>11199139265</v>
      </c>
      <c r="M310">
        <v>10186572228</v>
      </c>
      <c r="N310">
        <v>9045346872</v>
      </c>
      <c r="O310">
        <v>7537160230</v>
      </c>
      <c r="P310">
        <v>424</v>
      </c>
      <c r="Q310" t="s">
        <v>727</v>
      </c>
    </row>
    <row r="311" spans="1:17" x14ac:dyDescent="0.3">
      <c r="A311" t="s">
        <v>47</v>
      </c>
      <c r="B311" t="str">
        <f>"200761"</f>
        <v>200761</v>
      </c>
      <c r="C311" t="s">
        <v>728</v>
      </c>
      <c r="E311">
        <v>63122379361.169998</v>
      </c>
      <c r="F311">
        <v>78706080998.778</v>
      </c>
      <c r="G311">
        <v>68218708569.0159</v>
      </c>
      <c r="H311">
        <v>70222387163.189407</v>
      </c>
      <c r="I311">
        <v>70972087827.887497</v>
      </c>
      <c r="J311">
        <v>60134222570.612999</v>
      </c>
      <c r="K311">
        <v>57284327328.903099</v>
      </c>
      <c r="L311">
        <v>64240824886.25</v>
      </c>
      <c r="M311">
        <v>55105066573.6828</v>
      </c>
      <c r="N311">
        <v>48300018679.083</v>
      </c>
      <c r="O311">
        <v>52637418866.25</v>
      </c>
      <c r="P311">
        <v>41</v>
      </c>
      <c r="Q311" t="s">
        <v>729</v>
      </c>
    </row>
    <row r="312" spans="1:17" x14ac:dyDescent="0.3">
      <c r="A312" t="s">
        <v>17</v>
      </c>
      <c r="B312" t="str">
        <f>"600256"</f>
        <v>600256</v>
      </c>
      <c r="C312" t="s">
        <v>730</v>
      </c>
      <c r="D312" t="s">
        <v>731</v>
      </c>
      <c r="E312">
        <v>62738318547</v>
      </c>
      <c r="F312">
        <v>54712456619</v>
      </c>
      <c r="G312">
        <v>50418703160</v>
      </c>
      <c r="H312">
        <v>50066738093</v>
      </c>
      <c r="I312">
        <v>45553462741</v>
      </c>
      <c r="J312">
        <v>43206866603</v>
      </c>
      <c r="K312">
        <v>42123807379</v>
      </c>
      <c r="L312">
        <v>38062698361</v>
      </c>
      <c r="M312">
        <v>35127274688</v>
      </c>
      <c r="N312">
        <v>25400554779</v>
      </c>
      <c r="O312">
        <v>19183240408</v>
      </c>
      <c r="P312">
        <v>494</v>
      </c>
      <c r="Q312" t="s">
        <v>732</v>
      </c>
    </row>
    <row r="313" spans="1:17" x14ac:dyDescent="0.3">
      <c r="A313" t="s">
        <v>17</v>
      </c>
      <c r="B313" t="str">
        <f>"600482"</f>
        <v>600482</v>
      </c>
      <c r="C313" t="s">
        <v>733</v>
      </c>
      <c r="D313" t="s">
        <v>351</v>
      </c>
      <c r="E313">
        <v>62681019757</v>
      </c>
      <c r="F313">
        <v>60688190552</v>
      </c>
      <c r="G313">
        <v>55729197980</v>
      </c>
      <c r="H313">
        <v>56373188085</v>
      </c>
      <c r="I313">
        <v>43725641005</v>
      </c>
      <c r="J313">
        <v>39622762350</v>
      </c>
      <c r="K313">
        <v>4220377101</v>
      </c>
      <c r="L313">
        <v>4274003602</v>
      </c>
      <c r="M313">
        <v>3970020670</v>
      </c>
      <c r="N313">
        <v>3482190278</v>
      </c>
      <c r="O313">
        <v>3046077413</v>
      </c>
      <c r="P313">
        <v>339</v>
      </c>
      <c r="Q313" t="s">
        <v>734</v>
      </c>
    </row>
    <row r="314" spans="1:17" x14ac:dyDescent="0.3">
      <c r="A314" t="s">
        <v>47</v>
      </c>
      <c r="B314" t="str">
        <f>"000413"</f>
        <v>000413</v>
      </c>
      <c r="C314" t="s">
        <v>735</v>
      </c>
      <c r="D314" t="s">
        <v>181</v>
      </c>
      <c r="E314">
        <v>61943562533</v>
      </c>
      <c r="F314">
        <v>63996827788</v>
      </c>
      <c r="G314">
        <v>70212669843</v>
      </c>
      <c r="H314">
        <v>72232411542</v>
      </c>
      <c r="I314">
        <v>68797790162</v>
      </c>
      <c r="J314">
        <v>47651364079</v>
      </c>
      <c r="K314">
        <v>28606491414</v>
      </c>
      <c r="L314">
        <v>14049807870</v>
      </c>
      <c r="M314">
        <v>10021779563</v>
      </c>
      <c r="N314">
        <v>3109766776</v>
      </c>
      <c r="O314">
        <v>595000429</v>
      </c>
      <c r="P314">
        <v>525</v>
      </c>
      <c r="Q314" t="s">
        <v>736</v>
      </c>
    </row>
    <row r="315" spans="1:17" x14ac:dyDescent="0.3">
      <c r="A315" t="s">
        <v>17</v>
      </c>
      <c r="B315" t="str">
        <f>"600223"</f>
        <v>600223</v>
      </c>
      <c r="C315" t="s">
        <v>737</v>
      </c>
      <c r="D315" t="s">
        <v>76</v>
      </c>
      <c r="E315">
        <v>61638844812</v>
      </c>
      <c r="F315">
        <v>62269432977</v>
      </c>
      <c r="G315">
        <v>58421537434</v>
      </c>
      <c r="H315">
        <v>50067503801</v>
      </c>
      <c r="I315">
        <v>44574939455</v>
      </c>
      <c r="J315">
        <v>43535336658</v>
      </c>
      <c r="K315">
        <v>39544658951</v>
      </c>
      <c r="L315">
        <v>30598840564</v>
      </c>
      <c r="M315">
        <v>27551137020</v>
      </c>
      <c r="N315">
        <v>23530664383</v>
      </c>
      <c r="O315">
        <v>17913799543</v>
      </c>
      <c r="P315">
        <v>361</v>
      </c>
      <c r="Q315" t="s">
        <v>738</v>
      </c>
    </row>
    <row r="316" spans="1:17" x14ac:dyDescent="0.3">
      <c r="A316" t="s">
        <v>17</v>
      </c>
      <c r="B316" t="str">
        <f>"601615"</f>
        <v>601615</v>
      </c>
      <c r="C316" t="s">
        <v>739</v>
      </c>
      <c r="D316" t="s">
        <v>490</v>
      </c>
      <c r="E316">
        <v>60938596860</v>
      </c>
      <c r="F316">
        <v>51639882088</v>
      </c>
      <c r="G316">
        <v>38130805546</v>
      </c>
      <c r="H316">
        <v>24256249579</v>
      </c>
      <c r="P316">
        <v>1068</v>
      </c>
      <c r="Q316" t="s">
        <v>740</v>
      </c>
    </row>
    <row r="317" spans="1:17" x14ac:dyDescent="0.3">
      <c r="A317" t="s">
        <v>17</v>
      </c>
      <c r="B317" t="str">
        <f>"601298"</f>
        <v>601298</v>
      </c>
      <c r="C317" t="s">
        <v>741</v>
      </c>
      <c r="D317" t="s">
        <v>357</v>
      </c>
      <c r="E317">
        <v>60685743476</v>
      </c>
      <c r="F317">
        <v>56691550728</v>
      </c>
      <c r="G317">
        <v>53603189802</v>
      </c>
      <c r="H317">
        <v>53453716040</v>
      </c>
      <c r="P317">
        <v>431</v>
      </c>
      <c r="Q317" t="s">
        <v>742</v>
      </c>
    </row>
    <row r="318" spans="1:17" x14ac:dyDescent="0.3">
      <c r="A318" t="s">
        <v>17</v>
      </c>
      <c r="B318" t="str">
        <f>"601872"</f>
        <v>601872</v>
      </c>
      <c r="C318" t="s">
        <v>743</v>
      </c>
      <c r="D318" t="s">
        <v>176</v>
      </c>
      <c r="E318">
        <v>60575684918</v>
      </c>
      <c r="F318">
        <v>61019561362</v>
      </c>
      <c r="G318">
        <v>63891331632</v>
      </c>
      <c r="H318">
        <v>51660228557</v>
      </c>
      <c r="I318">
        <v>37035026545</v>
      </c>
      <c r="J318">
        <v>39122358266</v>
      </c>
      <c r="K318">
        <v>31888826115</v>
      </c>
      <c r="L318">
        <v>27930373329</v>
      </c>
      <c r="M318">
        <v>17421722515</v>
      </c>
      <c r="N318">
        <v>19606732376</v>
      </c>
      <c r="O318">
        <v>20150554803</v>
      </c>
      <c r="P318">
        <v>574</v>
      </c>
      <c r="Q318" t="s">
        <v>744</v>
      </c>
    </row>
    <row r="319" spans="1:17" x14ac:dyDescent="0.3">
      <c r="A319" t="s">
        <v>17</v>
      </c>
      <c r="B319" t="str">
        <f>"600282"</f>
        <v>600282</v>
      </c>
      <c r="C319" t="s">
        <v>745</v>
      </c>
      <c r="D319" t="s">
        <v>210</v>
      </c>
      <c r="E319">
        <v>60566969479</v>
      </c>
      <c r="F319">
        <v>50954091995</v>
      </c>
      <c r="G319">
        <v>47499489612</v>
      </c>
      <c r="H319">
        <v>43788076298</v>
      </c>
      <c r="I319">
        <v>40519801119</v>
      </c>
      <c r="J319">
        <v>38011375160</v>
      </c>
      <c r="K319">
        <v>35031771601</v>
      </c>
      <c r="L319">
        <v>39673463713</v>
      </c>
      <c r="M319">
        <v>39973535562</v>
      </c>
      <c r="N319">
        <v>35011183524</v>
      </c>
      <c r="O319">
        <v>34796572026</v>
      </c>
      <c r="P319">
        <v>1311</v>
      </c>
      <c r="Q319" t="s">
        <v>746</v>
      </c>
    </row>
    <row r="320" spans="1:17" x14ac:dyDescent="0.3">
      <c r="A320" t="s">
        <v>47</v>
      </c>
      <c r="B320" t="str">
        <f>"000401"</f>
        <v>000401</v>
      </c>
      <c r="C320" t="s">
        <v>747</v>
      </c>
      <c r="D320" t="s">
        <v>253</v>
      </c>
      <c r="E320">
        <v>60411595300</v>
      </c>
      <c r="F320">
        <v>60652721265</v>
      </c>
      <c r="G320">
        <v>62481111254</v>
      </c>
      <c r="H320">
        <v>65398212070</v>
      </c>
      <c r="I320">
        <v>39548964469</v>
      </c>
      <c r="J320">
        <v>41199646677</v>
      </c>
      <c r="K320">
        <v>41443675107</v>
      </c>
      <c r="L320">
        <v>44222551112</v>
      </c>
      <c r="M320">
        <v>42820047833</v>
      </c>
      <c r="N320">
        <v>41994804083</v>
      </c>
      <c r="O320">
        <v>39445743099</v>
      </c>
      <c r="P320">
        <v>826</v>
      </c>
      <c r="Q320" t="s">
        <v>748</v>
      </c>
    </row>
    <row r="321" spans="1:17" x14ac:dyDescent="0.3">
      <c r="A321" t="s">
        <v>17</v>
      </c>
      <c r="B321" t="str">
        <f>"600782"</f>
        <v>600782</v>
      </c>
      <c r="C321" t="s">
        <v>749</v>
      </c>
      <c r="D321" t="s">
        <v>210</v>
      </c>
      <c r="E321">
        <v>60362007248</v>
      </c>
      <c r="F321">
        <v>53773654137</v>
      </c>
      <c r="G321">
        <v>47146919389</v>
      </c>
      <c r="H321">
        <v>42155471677</v>
      </c>
      <c r="I321">
        <v>32965872715</v>
      </c>
      <c r="J321">
        <v>28687674272</v>
      </c>
      <c r="K321">
        <v>28806951268</v>
      </c>
      <c r="L321">
        <v>30130537018</v>
      </c>
      <c r="M321">
        <v>31390252864</v>
      </c>
      <c r="N321">
        <v>31084769463</v>
      </c>
      <c r="O321">
        <v>30004003401</v>
      </c>
      <c r="P321">
        <v>1414</v>
      </c>
      <c r="Q321" t="s">
        <v>750</v>
      </c>
    </row>
    <row r="322" spans="1:17" x14ac:dyDescent="0.3">
      <c r="A322" t="s">
        <v>17</v>
      </c>
      <c r="B322" t="str">
        <f>"600515"</f>
        <v>600515</v>
      </c>
      <c r="C322" t="s">
        <v>751</v>
      </c>
      <c r="D322" t="s">
        <v>76</v>
      </c>
      <c r="E322">
        <v>60165993512</v>
      </c>
      <c r="F322">
        <v>57969880769</v>
      </c>
      <c r="G322">
        <v>81229412559</v>
      </c>
      <c r="H322">
        <v>94469371307</v>
      </c>
      <c r="I322">
        <v>94570631254</v>
      </c>
      <c r="J322">
        <v>100696740243</v>
      </c>
      <c r="K322">
        <v>3845449385</v>
      </c>
      <c r="L322">
        <v>3788324283</v>
      </c>
      <c r="M322">
        <v>2797429397</v>
      </c>
      <c r="N322">
        <v>2539812838</v>
      </c>
      <c r="O322">
        <v>1655564570</v>
      </c>
      <c r="P322">
        <v>163</v>
      </c>
      <c r="Q322" t="s">
        <v>752</v>
      </c>
    </row>
    <row r="323" spans="1:17" x14ac:dyDescent="0.3">
      <c r="A323" t="s">
        <v>17</v>
      </c>
      <c r="B323" t="str">
        <f>"601068"</f>
        <v>601068</v>
      </c>
      <c r="C323" t="s">
        <v>753</v>
      </c>
      <c r="D323" t="s">
        <v>152</v>
      </c>
      <c r="E323">
        <v>60092418420</v>
      </c>
      <c r="F323">
        <v>53530933837</v>
      </c>
      <c r="G323">
        <v>54859073411</v>
      </c>
      <c r="H323">
        <v>48703234918</v>
      </c>
      <c r="I323">
        <v>44472942800</v>
      </c>
      <c r="P323">
        <v>109</v>
      </c>
      <c r="Q323" t="s">
        <v>754</v>
      </c>
    </row>
    <row r="324" spans="1:17" x14ac:dyDescent="0.3">
      <c r="A324" t="s">
        <v>17</v>
      </c>
      <c r="B324" t="str">
        <f>"600026"</f>
        <v>600026</v>
      </c>
      <c r="C324" t="s">
        <v>755</v>
      </c>
      <c r="D324" t="s">
        <v>176</v>
      </c>
      <c r="E324">
        <v>59737257754</v>
      </c>
      <c r="F324">
        <v>65984544827</v>
      </c>
      <c r="G324">
        <v>72572175200</v>
      </c>
      <c r="H324">
        <v>66022588248</v>
      </c>
      <c r="I324">
        <v>59069968720</v>
      </c>
      <c r="J324">
        <v>59266540086</v>
      </c>
      <c r="K324">
        <v>68208468760</v>
      </c>
      <c r="L324">
        <v>66409345581</v>
      </c>
      <c r="M324">
        <v>60944239752</v>
      </c>
      <c r="N324">
        <v>57700390389</v>
      </c>
      <c r="O324">
        <v>54659461744</v>
      </c>
      <c r="P324">
        <v>401</v>
      </c>
      <c r="Q324" t="s">
        <v>756</v>
      </c>
    </row>
    <row r="325" spans="1:17" x14ac:dyDescent="0.3">
      <c r="A325" t="s">
        <v>17</v>
      </c>
      <c r="B325" t="str">
        <f>"600760"</f>
        <v>600760</v>
      </c>
      <c r="C325" t="s">
        <v>757</v>
      </c>
      <c r="D325" t="s">
        <v>570</v>
      </c>
      <c r="E325">
        <v>59506229684</v>
      </c>
      <c r="F325">
        <v>29554770085</v>
      </c>
      <c r="G325">
        <v>26088036023</v>
      </c>
      <c r="H325">
        <v>27798079373</v>
      </c>
      <c r="I325">
        <v>26617883254</v>
      </c>
      <c r="J325">
        <v>1711367455</v>
      </c>
      <c r="K325">
        <v>1897521674</v>
      </c>
      <c r="L325">
        <v>3162485596</v>
      </c>
      <c r="M325">
        <v>3650207647</v>
      </c>
      <c r="N325">
        <v>3345559692</v>
      </c>
      <c r="O325">
        <v>3775140060</v>
      </c>
      <c r="P325">
        <v>827</v>
      </c>
      <c r="Q325" t="s">
        <v>758</v>
      </c>
    </row>
    <row r="326" spans="1:17" x14ac:dyDescent="0.3">
      <c r="A326" t="s">
        <v>17</v>
      </c>
      <c r="B326" t="str">
        <f>"600096"</f>
        <v>600096</v>
      </c>
      <c r="C326" t="s">
        <v>759</v>
      </c>
      <c r="D326" t="s">
        <v>760</v>
      </c>
      <c r="E326">
        <v>59214723197</v>
      </c>
      <c r="F326">
        <v>55055028786</v>
      </c>
      <c r="G326">
        <v>62025559606</v>
      </c>
      <c r="H326">
        <v>69257202018</v>
      </c>
      <c r="I326">
        <v>65889680746</v>
      </c>
      <c r="J326">
        <v>66671846591</v>
      </c>
      <c r="K326">
        <v>68864645680</v>
      </c>
      <c r="L326">
        <v>69766168745</v>
      </c>
      <c r="M326">
        <v>71376058223</v>
      </c>
      <c r="N326">
        <v>28905143625</v>
      </c>
      <c r="O326">
        <v>27569472570</v>
      </c>
      <c r="P326">
        <v>390</v>
      </c>
      <c r="Q326" t="s">
        <v>761</v>
      </c>
    </row>
    <row r="327" spans="1:17" x14ac:dyDescent="0.3">
      <c r="A327" t="s">
        <v>17</v>
      </c>
      <c r="B327" t="str">
        <f>"601880"</f>
        <v>601880</v>
      </c>
      <c r="C327" t="s">
        <v>762</v>
      </c>
      <c r="D327" t="s">
        <v>357</v>
      </c>
      <c r="E327">
        <v>59122415279</v>
      </c>
      <c r="F327">
        <v>56329649211</v>
      </c>
      <c r="G327">
        <v>35137390187</v>
      </c>
      <c r="H327">
        <v>38647027709</v>
      </c>
      <c r="I327">
        <v>35007887899</v>
      </c>
      <c r="J327">
        <v>32832357528</v>
      </c>
      <c r="K327">
        <v>32543581597</v>
      </c>
      <c r="L327">
        <v>28253159941</v>
      </c>
      <c r="M327">
        <v>27162733666</v>
      </c>
      <c r="N327">
        <v>28566175950</v>
      </c>
      <c r="O327">
        <v>27388890495</v>
      </c>
      <c r="P327">
        <v>189</v>
      </c>
      <c r="Q327" t="s">
        <v>763</v>
      </c>
    </row>
    <row r="328" spans="1:17" x14ac:dyDescent="0.3">
      <c r="A328" t="s">
        <v>17</v>
      </c>
      <c r="B328" t="str">
        <f>"600100"</f>
        <v>600100</v>
      </c>
      <c r="C328" t="s">
        <v>764</v>
      </c>
      <c r="D328" t="s">
        <v>765</v>
      </c>
      <c r="E328">
        <v>59038760802</v>
      </c>
      <c r="F328">
        <v>62479731466</v>
      </c>
      <c r="G328">
        <v>60281769962</v>
      </c>
      <c r="H328">
        <v>61588009555</v>
      </c>
      <c r="I328">
        <v>62993133765</v>
      </c>
      <c r="J328">
        <v>56330172424</v>
      </c>
      <c r="K328">
        <v>57923733040</v>
      </c>
      <c r="L328">
        <v>49613493069</v>
      </c>
      <c r="M328">
        <v>42923987279</v>
      </c>
      <c r="N328">
        <v>34085613413</v>
      </c>
      <c r="O328">
        <v>30110339652</v>
      </c>
      <c r="P328">
        <v>321</v>
      </c>
      <c r="Q328" t="s">
        <v>766</v>
      </c>
    </row>
    <row r="329" spans="1:17" x14ac:dyDescent="0.3">
      <c r="A329" t="s">
        <v>17</v>
      </c>
      <c r="B329" t="str">
        <f>"600710"</f>
        <v>600710</v>
      </c>
      <c r="C329" t="s">
        <v>767</v>
      </c>
      <c r="D329" t="s">
        <v>768</v>
      </c>
      <c r="E329">
        <v>59029663532</v>
      </c>
      <c r="F329">
        <v>52061496699</v>
      </c>
      <c r="G329">
        <v>47176093923</v>
      </c>
      <c r="H329">
        <v>44665986026</v>
      </c>
      <c r="I329">
        <v>43600073430</v>
      </c>
      <c r="J329">
        <v>40903586371</v>
      </c>
      <c r="K329">
        <v>1973740752</v>
      </c>
      <c r="L329">
        <v>2619341447</v>
      </c>
      <c r="M329">
        <v>2815019528</v>
      </c>
      <c r="N329">
        <v>3133254127</v>
      </c>
      <c r="O329">
        <v>3369824451</v>
      </c>
      <c r="P329">
        <v>166</v>
      </c>
      <c r="Q329" t="s">
        <v>769</v>
      </c>
    </row>
    <row r="330" spans="1:17" x14ac:dyDescent="0.3">
      <c r="A330" t="s">
        <v>47</v>
      </c>
      <c r="B330" t="str">
        <f>"002241"</f>
        <v>002241</v>
      </c>
      <c r="C330" t="s">
        <v>770</v>
      </c>
      <c r="D330" t="s">
        <v>283</v>
      </c>
      <c r="E330">
        <v>58767183100</v>
      </c>
      <c r="F330">
        <v>49000314799</v>
      </c>
      <c r="G330">
        <v>34246675170</v>
      </c>
      <c r="H330">
        <v>28788503121</v>
      </c>
      <c r="I330">
        <v>24917768263</v>
      </c>
      <c r="J330">
        <v>23514910360</v>
      </c>
      <c r="K330">
        <v>18189119415</v>
      </c>
      <c r="L330">
        <v>16634771154</v>
      </c>
      <c r="M330">
        <v>12214523825</v>
      </c>
      <c r="N330">
        <v>9020294125</v>
      </c>
      <c r="O330">
        <v>7998835204</v>
      </c>
      <c r="P330">
        <v>3528</v>
      </c>
      <c r="Q330" t="s">
        <v>771</v>
      </c>
    </row>
    <row r="331" spans="1:17" x14ac:dyDescent="0.3">
      <c r="A331" t="s">
        <v>17</v>
      </c>
      <c r="B331" t="str">
        <f>"600098"</f>
        <v>600098</v>
      </c>
      <c r="C331" t="s">
        <v>772</v>
      </c>
      <c r="D331" t="s">
        <v>171</v>
      </c>
      <c r="E331">
        <v>58639719690</v>
      </c>
      <c r="F331">
        <v>49214372047</v>
      </c>
      <c r="G331">
        <v>41766918016</v>
      </c>
      <c r="H331">
        <v>38561080412</v>
      </c>
      <c r="I331">
        <v>37818065712</v>
      </c>
      <c r="J331">
        <v>34852574688</v>
      </c>
      <c r="K331">
        <v>35116706930</v>
      </c>
      <c r="L331">
        <v>33728646118</v>
      </c>
      <c r="M331">
        <v>33410804902</v>
      </c>
      <c r="N331">
        <v>33201843519</v>
      </c>
      <c r="O331">
        <v>22540844402</v>
      </c>
      <c r="P331">
        <v>192</v>
      </c>
      <c r="Q331" t="s">
        <v>773</v>
      </c>
    </row>
    <row r="332" spans="1:17" x14ac:dyDescent="0.3">
      <c r="A332" t="s">
        <v>47</v>
      </c>
      <c r="B332" t="str">
        <f>"000900"</f>
        <v>000900</v>
      </c>
      <c r="C332" t="s">
        <v>774</v>
      </c>
      <c r="D332" t="s">
        <v>471</v>
      </c>
      <c r="E332">
        <v>57739051304</v>
      </c>
      <c r="F332">
        <v>45721779424</v>
      </c>
      <c r="G332">
        <v>46808883477</v>
      </c>
      <c r="H332">
        <v>33059747599</v>
      </c>
      <c r="I332">
        <v>23687970763</v>
      </c>
      <c r="J332">
        <v>22332868084</v>
      </c>
      <c r="K332">
        <v>20721374475</v>
      </c>
      <c r="L332">
        <v>17685496202</v>
      </c>
      <c r="M332">
        <v>16627314062</v>
      </c>
      <c r="N332">
        <v>12662821830</v>
      </c>
      <c r="O332">
        <v>8251493547</v>
      </c>
      <c r="P332">
        <v>570</v>
      </c>
      <c r="Q332" t="s">
        <v>775</v>
      </c>
    </row>
    <row r="333" spans="1:17" x14ac:dyDescent="0.3">
      <c r="A333" t="s">
        <v>17</v>
      </c>
      <c r="B333" t="str">
        <f>"603259"</f>
        <v>603259</v>
      </c>
      <c r="C333" t="s">
        <v>776</v>
      </c>
      <c r="D333" t="s">
        <v>777</v>
      </c>
      <c r="E333">
        <v>57582930875</v>
      </c>
      <c r="F333">
        <v>48610812958</v>
      </c>
      <c r="G333">
        <v>30231316974</v>
      </c>
      <c r="H333">
        <v>23764446579</v>
      </c>
      <c r="I333">
        <v>12710628562</v>
      </c>
      <c r="P333">
        <v>3986</v>
      </c>
      <c r="Q333" t="s">
        <v>778</v>
      </c>
    </row>
    <row r="334" spans="1:17" x14ac:dyDescent="0.3">
      <c r="A334" t="s">
        <v>17</v>
      </c>
      <c r="B334" t="str">
        <f>"600827"</f>
        <v>600827</v>
      </c>
      <c r="C334" t="s">
        <v>779</v>
      </c>
      <c r="D334" t="s">
        <v>780</v>
      </c>
      <c r="E334">
        <v>56791403733</v>
      </c>
      <c r="F334">
        <v>57278606590</v>
      </c>
      <c r="G334">
        <v>50616839893</v>
      </c>
      <c r="H334">
        <v>46277107220</v>
      </c>
      <c r="I334">
        <v>44479278475</v>
      </c>
      <c r="J334">
        <v>45014028869</v>
      </c>
      <c r="K334">
        <v>41643082755</v>
      </c>
      <c r="L334">
        <v>43940567139</v>
      </c>
      <c r="M334">
        <v>38855121027</v>
      </c>
      <c r="N334">
        <v>40123624183</v>
      </c>
      <c r="O334">
        <v>36732904237</v>
      </c>
      <c r="P334">
        <v>274</v>
      </c>
      <c r="Q334" t="s">
        <v>781</v>
      </c>
    </row>
    <row r="335" spans="1:17" x14ac:dyDescent="0.3">
      <c r="A335" t="s">
        <v>17</v>
      </c>
      <c r="B335" t="str">
        <f>"600623"</f>
        <v>600623</v>
      </c>
      <c r="C335" t="s">
        <v>782</v>
      </c>
      <c r="D335" t="s">
        <v>783</v>
      </c>
      <c r="E335">
        <v>56486332942</v>
      </c>
      <c r="F335">
        <v>48004884003</v>
      </c>
      <c r="G335">
        <v>47367691685</v>
      </c>
      <c r="H335">
        <v>45563968069</v>
      </c>
      <c r="I335">
        <v>39417599838</v>
      </c>
      <c r="J335">
        <v>38495241342</v>
      </c>
      <c r="K335">
        <v>32686006359</v>
      </c>
      <c r="L335">
        <v>13858053965</v>
      </c>
      <c r="M335">
        <v>14452844681</v>
      </c>
      <c r="N335">
        <v>12006670066</v>
      </c>
      <c r="O335">
        <v>10749996387</v>
      </c>
      <c r="P335">
        <v>241</v>
      </c>
      <c r="Q335" t="s">
        <v>784</v>
      </c>
    </row>
    <row r="336" spans="1:17" x14ac:dyDescent="0.3">
      <c r="A336" t="s">
        <v>47</v>
      </c>
      <c r="B336" t="str">
        <f>"000785"</f>
        <v>000785</v>
      </c>
      <c r="C336" t="s">
        <v>785</v>
      </c>
      <c r="D336" t="s">
        <v>454</v>
      </c>
      <c r="E336">
        <v>56278258020</v>
      </c>
      <c r="F336">
        <v>54910359331</v>
      </c>
      <c r="G336">
        <v>32926937317</v>
      </c>
      <c r="H336">
        <v>2611746663</v>
      </c>
      <c r="I336">
        <v>2694670214</v>
      </c>
      <c r="J336">
        <v>2625811011</v>
      </c>
      <c r="K336">
        <v>2591327807</v>
      </c>
      <c r="L336">
        <v>2838516783</v>
      </c>
      <c r="M336">
        <v>2902666120</v>
      </c>
      <c r="N336">
        <v>2933915660</v>
      </c>
      <c r="O336">
        <v>2793294432</v>
      </c>
      <c r="P336">
        <v>333</v>
      </c>
      <c r="Q336" t="s">
        <v>786</v>
      </c>
    </row>
    <row r="337" spans="1:17" x14ac:dyDescent="0.3">
      <c r="A337" t="s">
        <v>47</v>
      </c>
      <c r="B337" t="str">
        <f>"000630"</f>
        <v>000630</v>
      </c>
      <c r="C337" t="s">
        <v>787</v>
      </c>
      <c r="D337" t="s">
        <v>301</v>
      </c>
      <c r="E337">
        <v>55901823548</v>
      </c>
      <c r="F337">
        <v>58361146902</v>
      </c>
      <c r="G337">
        <v>49361562325</v>
      </c>
      <c r="H337">
        <v>49061991981</v>
      </c>
      <c r="I337">
        <v>48624732355</v>
      </c>
      <c r="J337">
        <v>44748496151</v>
      </c>
      <c r="K337">
        <v>43373906561</v>
      </c>
      <c r="L337">
        <v>53337676928</v>
      </c>
      <c r="M337">
        <v>42597099926</v>
      </c>
      <c r="N337">
        <v>41716206674</v>
      </c>
      <c r="O337">
        <v>37319491201</v>
      </c>
      <c r="P337">
        <v>464</v>
      </c>
      <c r="Q337" t="s">
        <v>788</v>
      </c>
    </row>
    <row r="338" spans="1:17" x14ac:dyDescent="0.3">
      <c r="A338" t="s">
        <v>17</v>
      </c>
      <c r="B338" t="str">
        <f>"600567"</f>
        <v>600567</v>
      </c>
      <c r="C338" t="s">
        <v>789</v>
      </c>
      <c r="D338" t="s">
        <v>587</v>
      </c>
      <c r="E338">
        <v>55723842924</v>
      </c>
      <c r="F338">
        <v>48383165241</v>
      </c>
      <c r="G338">
        <v>43135117373</v>
      </c>
      <c r="H338">
        <v>39091278542</v>
      </c>
      <c r="I338">
        <v>31125007538</v>
      </c>
      <c r="J338">
        <v>21382479931</v>
      </c>
      <c r="K338">
        <v>18862651469</v>
      </c>
      <c r="L338">
        <v>18924785827</v>
      </c>
      <c r="M338">
        <v>17847551152</v>
      </c>
      <c r="N338">
        <v>8546944698</v>
      </c>
      <c r="O338">
        <v>6917017248</v>
      </c>
      <c r="P338">
        <v>593</v>
      </c>
      <c r="Q338" t="s">
        <v>790</v>
      </c>
    </row>
    <row r="339" spans="1:17" x14ac:dyDescent="0.3">
      <c r="A339" t="s">
        <v>17</v>
      </c>
      <c r="B339" t="str">
        <f>"601888"</f>
        <v>601888</v>
      </c>
      <c r="C339" t="s">
        <v>791</v>
      </c>
      <c r="D339" t="s">
        <v>792</v>
      </c>
      <c r="E339">
        <v>55520189164</v>
      </c>
      <c r="F339">
        <v>49891039229</v>
      </c>
      <c r="G339">
        <v>29933111330</v>
      </c>
      <c r="H339">
        <v>28506007195</v>
      </c>
      <c r="I339">
        <v>22941375936</v>
      </c>
      <c r="J339">
        <v>18112845681</v>
      </c>
      <c r="K339">
        <v>16633428137</v>
      </c>
      <c r="L339">
        <v>15403080722</v>
      </c>
      <c r="M339">
        <v>13595981668</v>
      </c>
      <c r="N339">
        <v>9625376674</v>
      </c>
      <c r="O339">
        <v>7984952788</v>
      </c>
      <c r="P339">
        <v>6129</v>
      </c>
      <c r="Q339" t="s">
        <v>793</v>
      </c>
    </row>
    <row r="340" spans="1:17" x14ac:dyDescent="0.3">
      <c r="A340" t="s">
        <v>17</v>
      </c>
      <c r="B340" t="str">
        <f>"600675"</f>
        <v>600675</v>
      </c>
      <c r="C340" t="s">
        <v>794</v>
      </c>
      <c r="D340" t="s">
        <v>76</v>
      </c>
      <c r="E340">
        <v>55362507123</v>
      </c>
      <c r="F340">
        <v>47520741794</v>
      </c>
      <c r="G340">
        <v>51488971086</v>
      </c>
      <c r="H340">
        <v>50915019547</v>
      </c>
      <c r="I340">
        <v>27045062946</v>
      </c>
      <c r="J340">
        <v>29262220711</v>
      </c>
      <c r="K340">
        <v>36960119736</v>
      </c>
      <c r="L340">
        <v>40501252488</v>
      </c>
      <c r="M340">
        <v>39136977801</v>
      </c>
      <c r="N340">
        <v>26352708092</v>
      </c>
      <c r="O340">
        <v>24187727106</v>
      </c>
      <c r="P340">
        <v>186</v>
      </c>
      <c r="Q340" t="s">
        <v>795</v>
      </c>
    </row>
    <row r="341" spans="1:17" x14ac:dyDescent="0.3">
      <c r="A341" t="s">
        <v>47</v>
      </c>
      <c r="B341" t="str">
        <f>"200028"</f>
        <v>200028</v>
      </c>
      <c r="C341" t="s">
        <v>796</v>
      </c>
      <c r="E341">
        <v>55337623520.325996</v>
      </c>
      <c r="F341">
        <v>50958082421.251999</v>
      </c>
      <c r="G341">
        <v>40309038000.2649</v>
      </c>
      <c r="H341">
        <v>36072913163.897697</v>
      </c>
      <c r="I341">
        <v>29713012930.491001</v>
      </c>
      <c r="J341">
        <v>24278148370.3298</v>
      </c>
      <c r="K341">
        <v>17025218605.459499</v>
      </c>
      <c r="L341">
        <v>16749077376.25</v>
      </c>
      <c r="M341">
        <v>15318545556.615999</v>
      </c>
      <c r="N341">
        <v>12092854419.916201</v>
      </c>
      <c r="O341">
        <v>9950102254.2959995</v>
      </c>
      <c r="P341">
        <v>209</v>
      </c>
      <c r="Q341" t="s">
        <v>797</v>
      </c>
    </row>
    <row r="342" spans="1:17" x14ac:dyDescent="0.3">
      <c r="A342" t="s">
        <v>47</v>
      </c>
      <c r="B342" t="str">
        <f>"000921"</f>
        <v>000921</v>
      </c>
      <c r="C342" t="s">
        <v>798</v>
      </c>
      <c r="D342" t="s">
        <v>203</v>
      </c>
      <c r="E342">
        <v>54995101447</v>
      </c>
      <c r="F342">
        <v>44993004324</v>
      </c>
      <c r="G342">
        <v>33148515956</v>
      </c>
      <c r="H342">
        <v>22929363294</v>
      </c>
      <c r="I342">
        <v>22288936754</v>
      </c>
      <c r="J342">
        <v>20567207249</v>
      </c>
      <c r="K342">
        <v>15601698540</v>
      </c>
      <c r="L342">
        <v>15518410060</v>
      </c>
      <c r="M342">
        <v>13650683554</v>
      </c>
      <c r="N342">
        <v>10854564770</v>
      </c>
      <c r="O342">
        <v>8755673670</v>
      </c>
      <c r="P342">
        <v>13182</v>
      </c>
      <c r="Q342" t="s">
        <v>799</v>
      </c>
    </row>
    <row r="343" spans="1:17" x14ac:dyDescent="0.3">
      <c r="A343" t="s">
        <v>17</v>
      </c>
      <c r="B343" t="str">
        <f>"600743"</f>
        <v>600743</v>
      </c>
      <c r="C343" t="s">
        <v>800</v>
      </c>
      <c r="D343" t="s">
        <v>76</v>
      </c>
      <c r="E343">
        <v>54966010694</v>
      </c>
      <c r="F343">
        <v>61536471272</v>
      </c>
      <c r="G343">
        <v>58159906548</v>
      </c>
      <c r="H343">
        <v>51899029486</v>
      </c>
      <c r="I343">
        <v>34874266941</v>
      </c>
      <c r="J343">
        <v>30325422138</v>
      </c>
      <c r="K343">
        <v>24937623698</v>
      </c>
      <c r="L343">
        <v>20808859324</v>
      </c>
      <c r="M343">
        <v>19811501345</v>
      </c>
      <c r="N343">
        <v>13653845325</v>
      </c>
      <c r="O343">
        <v>9957218172</v>
      </c>
      <c r="P343">
        <v>603</v>
      </c>
      <c r="Q343" t="s">
        <v>801</v>
      </c>
    </row>
    <row r="344" spans="1:17" x14ac:dyDescent="0.3">
      <c r="A344" t="s">
        <v>47</v>
      </c>
      <c r="B344" t="str">
        <f>"000778"</f>
        <v>000778</v>
      </c>
      <c r="C344" t="s">
        <v>802</v>
      </c>
      <c r="D344" t="s">
        <v>803</v>
      </c>
      <c r="E344">
        <v>54817265380</v>
      </c>
      <c r="F344">
        <v>50782612995</v>
      </c>
      <c r="G344">
        <v>50451513058</v>
      </c>
      <c r="H344">
        <v>51815001963</v>
      </c>
      <c r="I344">
        <v>49003493515</v>
      </c>
      <c r="J344">
        <v>50249874506</v>
      </c>
      <c r="K344">
        <v>50980931321</v>
      </c>
      <c r="L344">
        <v>51802630653</v>
      </c>
      <c r="M344">
        <v>51953713887</v>
      </c>
      <c r="N344">
        <v>42730539562</v>
      </c>
      <c r="O344">
        <v>38551826070</v>
      </c>
      <c r="P344">
        <v>674</v>
      </c>
      <c r="Q344" t="s">
        <v>804</v>
      </c>
    </row>
    <row r="345" spans="1:17" x14ac:dyDescent="0.3">
      <c r="A345" t="s">
        <v>17</v>
      </c>
      <c r="B345" t="str">
        <f>"600683"</f>
        <v>600683</v>
      </c>
      <c r="C345" t="s">
        <v>805</v>
      </c>
      <c r="D345" t="s">
        <v>76</v>
      </c>
      <c r="E345">
        <v>54538783470</v>
      </c>
      <c r="F345">
        <v>47008913194</v>
      </c>
      <c r="G345">
        <v>46456219814</v>
      </c>
      <c r="H345">
        <v>41005229922</v>
      </c>
      <c r="I345">
        <v>29887451611</v>
      </c>
      <c r="J345">
        <v>30820162818</v>
      </c>
      <c r="K345">
        <v>27686831178</v>
      </c>
      <c r="L345">
        <v>29458780633</v>
      </c>
      <c r="M345">
        <v>25567068263</v>
      </c>
      <c r="N345">
        <v>23369718665</v>
      </c>
      <c r="O345">
        <v>14126074895</v>
      </c>
      <c r="P345">
        <v>224</v>
      </c>
      <c r="Q345" t="s">
        <v>806</v>
      </c>
    </row>
    <row r="346" spans="1:17" x14ac:dyDescent="0.3">
      <c r="A346" t="s">
        <v>47</v>
      </c>
      <c r="B346" t="str">
        <f>"000933"</f>
        <v>000933</v>
      </c>
      <c r="C346" t="s">
        <v>807</v>
      </c>
      <c r="D346" t="s">
        <v>346</v>
      </c>
      <c r="E346">
        <v>54503223049</v>
      </c>
      <c r="F346">
        <v>60205420789</v>
      </c>
      <c r="G346">
        <v>51387406802</v>
      </c>
      <c r="H346">
        <v>54213262231</v>
      </c>
      <c r="I346">
        <v>53364855596</v>
      </c>
      <c r="J346">
        <v>53426781583</v>
      </c>
      <c r="K346">
        <v>49957901167</v>
      </c>
      <c r="L346">
        <v>51012509541</v>
      </c>
      <c r="M346">
        <v>45576540670</v>
      </c>
      <c r="N346">
        <v>40846803354</v>
      </c>
      <c r="O346">
        <v>31537349477</v>
      </c>
      <c r="P346">
        <v>461</v>
      </c>
      <c r="Q346" t="s">
        <v>808</v>
      </c>
    </row>
    <row r="347" spans="1:17" x14ac:dyDescent="0.3">
      <c r="A347" t="s">
        <v>17</v>
      </c>
      <c r="B347" t="str">
        <f>"600881"</f>
        <v>600881</v>
      </c>
      <c r="C347" t="s">
        <v>809</v>
      </c>
      <c r="D347" t="s">
        <v>810</v>
      </c>
      <c r="E347">
        <v>54412009277</v>
      </c>
      <c r="F347">
        <v>58504962788</v>
      </c>
      <c r="G347">
        <v>58400020617</v>
      </c>
      <c r="H347">
        <v>58594297147</v>
      </c>
      <c r="I347">
        <v>57359936530</v>
      </c>
      <c r="J347">
        <v>51233032155</v>
      </c>
      <c r="K347">
        <v>52116995983</v>
      </c>
      <c r="L347">
        <v>53478505040</v>
      </c>
      <c r="M347">
        <v>48891436567</v>
      </c>
      <c r="N347">
        <v>46555867667</v>
      </c>
      <c r="O347">
        <v>33674685767</v>
      </c>
      <c r="P347">
        <v>144</v>
      </c>
      <c r="Q347" t="s">
        <v>811</v>
      </c>
    </row>
    <row r="348" spans="1:17" x14ac:dyDescent="0.3">
      <c r="A348" t="s">
        <v>47</v>
      </c>
      <c r="B348" t="str">
        <f>"002532"</f>
        <v>002532</v>
      </c>
      <c r="C348" t="s">
        <v>812</v>
      </c>
      <c r="D348" t="s">
        <v>346</v>
      </c>
      <c r="E348">
        <v>54124647337</v>
      </c>
      <c r="F348">
        <v>50256456749</v>
      </c>
      <c r="G348">
        <v>1962784432</v>
      </c>
      <c r="H348">
        <v>2097062816</v>
      </c>
      <c r="I348">
        <v>2042668080</v>
      </c>
      <c r="J348">
        <v>1937800168</v>
      </c>
      <c r="K348">
        <v>1730363061</v>
      </c>
      <c r="L348">
        <v>1521037701</v>
      </c>
      <c r="M348">
        <v>1435338129</v>
      </c>
      <c r="N348">
        <v>1271138767</v>
      </c>
      <c r="O348">
        <v>1134295924</v>
      </c>
      <c r="P348">
        <v>424</v>
      </c>
      <c r="Q348" t="s">
        <v>813</v>
      </c>
    </row>
    <row r="349" spans="1:17" x14ac:dyDescent="0.3">
      <c r="A349" t="s">
        <v>17</v>
      </c>
      <c r="B349" t="str">
        <f>"601375"</f>
        <v>601375</v>
      </c>
      <c r="C349" t="s">
        <v>814</v>
      </c>
      <c r="D349" t="s">
        <v>99</v>
      </c>
      <c r="E349">
        <v>54088001574</v>
      </c>
      <c r="F349">
        <v>53829209429</v>
      </c>
      <c r="G349">
        <v>46983037368</v>
      </c>
      <c r="H349">
        <v>48551702881</v>
      </c>
      <c r="I349">
        <v>42147805310</v>
      </c>
      <c r="J349">
        <v>39722935435</v>
      </c>
      <c r="P349">
        <v>690</v>
      </c>
      <c r="Q349" t="s">
        <v>815</v>
      </c>
    </row>
    <row r="350" spans="1:17" x14ac:dyDescent="0.3">
      <c r="A350" t="s">
        <v>17</v>
      </c>
      <c r="B350" t="str">
        <f>"600688"</f>
        <v>600688</v>
      </c>
      <c r="C350" t="s">
        <v>816</v>
      </c>
      <c r="D350" t="s">
        <v>62</v>
      </c>
      <c r="E350">
        <v>53737111000</v>
      </c>
      <c r="F350">
        <v>43426055000</v>
      </c>
      <c r="G350">
        <v>41465657000</v>
      </c>
      <c r="H350">
        <v>43079860000</v>
      </c>
      <c r="I350">
        <v>42269632000</v>
      </c>
      <c r="J350">
        <v>35650679000</v>
      </c>
      <c r="K350">
        <v>28050593000</v>
      </c>
      <c r="L350">
        <v>28844776000</v>
      </c>
      <c r="M350">
        <v>34426513000</v>
      </c>
      <c r="N350">
        <v>36601784000</v>
      </c>
      <c r="O350">
        <v>35554256000</v>
      </c>
      <c r="P350">
        <v>585</v>
      </c>
      <c r="Q350" t="s">
        <v>817</v>
      </c>
    </row>
    <row r="351" spans="1:17" x14ac:dyDescent="0.3">
      <c r="A351" t="s">
        <v>47</v>
      </c>
      <c r="B351" t="str">
        <f>"000553"</f>
        <v>000553</v>
      </c>
      <c r="C351" t="s">
        <v>818</v>
      </c>
      <c r="D351" t="s">
        <v>819</v>
      </c>
      <c r="E351">
        <v>53586599000</v>
      </c>
      <c r="F351">
        <v>48431370000</v>
      </c>
      <c r="G351">
        <v>47780240000</v>
      </c>
      <c r="H351">
        <v>45503823000</v>
      </c>
      <c r="I351">
        <v>39855390000</v>
      </c>
      <c r="J351">
        <v>3060171492</v>
      </c>
      <c r="K351">
        <v>3053685989</v>
      </c>
      <c r="L351">
        <v>3119198949</v>
      </c>
      <c r="M351">
        <v>3012803051</v>
      </c>
      <c r="N351">
        <v>2813724725</v>
      </c>
      <c r="O351">
        <v>2526612713</v>
      </c>
      <c r="P351">
        <v>227</v>
      </c>
      <c r="Q351" t="s">
        <v>820</v>
      </c>
    </row>
    <row r="352" spans="1:17" x14ac:dyDescent="0.3">
      <c r="A352" t="s">
        <v>47</v>
      </c>
      <c r="B352" t="str">
        <f>"000538"</f>
        <v>000538</v>
      </c>
      <c r="C352" t="s">
        <v>821</v>
      </c>
      <c r="D352" t="s">
        <v>695</v>
      </c>
      <c r="E352">
        <v>53119993188</v>
      </c>
      <c r="F352">
        <v>53797491345</v>
      </c>
      <c r="G352">
        <v>51555555783</v>
      </c>
      <c r="H352">
        <v>30869900033</v>
      </c>
      <c r="I352">
        <v>28606248561</v>
      </c>
      <c r="J352">
        <v>25265687462</v>
      </c>
      <c r="K352">
        <v>20055691296</v>
      </c>
      <c r="L352">
        <v>16995236975</v>
      </c>
      <c r="M352">
        <v>13700271678</v>
      </c>
      <c r="N352">
        <v>11662426418</v>
      </c>
      <c r="O352">
        <v>9792204711</v>
      </c>
      <c r="P352">
        <v>30717</v>
      </c>
      <c r="Q352" t="s">
        <v>822</v>
      </c>
    </row>
    <row r="353" spans="1:17" x14ac:dyDescent="0.3">
      <c r="A353" t="s">
        <v>17</v>
      </c>
      <c r="B353" t="str">
        <f>"600801"</f>
        <v>600801</v>
      </c>
      <c r="C353" t="s">
        <v>823</v>
      </c>
      <c r="D353" t="s">
        <v>253</v>
      </c>
      <c r="E353">
        <v>52932912389</v>
      </c>
      <c r="F353">
        <v>44321132362</v>
      </c>
      <c r="G353">
        <v>36335665690</v>
      </c>
      <c r="H353">
        <v>33549503756</v>
      </c>
      <c r="I353">
        <v>29698967787</v>
      </c>
      <c r="J353">
        <v>30115923188</v>
      </c>
      <c r="K353">
        <v>25288729035</v>
      </c>
      <c r="L353">
        <v>26373287037</v>
      </c>
      <c r="M353">
        <v>25804869837</v>
      </c>
      <c r="N353">
        <v>24144300156</v>
      </c>
      <c r="O353">
        <v>21337741856</v>
      </c>
      <c r="P353">
        <v>1595</v>
      </c>
      <c r="Q353" t="s">
        <v>824</v>
      </c>
    </row>
    <row r="354" spans="1:17" x14ac:dyDescent="0.3">
      <c r="A354" t="s">
        <v>47</v>
      </c>
      <c r="B354" t="str">
        <f>"000977"</f>
        <v>000977</v>
      </c>
      <c r="C354" t="s">
        <v>825</v>
      </c>
      <c r="D354" t="s">
        <v>765</v>
      </c>
      <c r="E354">
        <v>52844889639</v>
      </c>
      <c r="F354">
        <v>35183387413</v>
      </c>
      <c r="G354">
        <v>30368939359</v>
      </c>
      <c r="H354">
        <v>24754503956</v>
      </c>
      <c r="I354">
        <v>19112301573</v>
      </c>
      <c r="J354">
        <v>9322082433</v>
      </c>
      <c r="K354">
        <v>8421327411</v>
      </c>
      <c r="L354">
        <v>7121637281</v>
      </c>
      <c r="M354">
        <v>4984116088</v>
      </c>
      <c r="N354">
        <v>2307150852</v>
      </c>
      <c r="O354">
        <v>1695796095</v>
      </c>
      <c r="P354">
        <v>4425</v>
      </c>
      <c r="Q354" t="s">
        <v>826</v>
      </c>
    </row>
    <row r="355" spans="1:17" x14ac:dyDescent="0.3">
      <c r="A355" t="s">
        <v>17</v>
      </c>
      <c r="B355" t="str">
        <f>"600487"</f>
        <v>600487</v>
      </c>
      <c r="C355" t="s">
        <v>827</v>
      </c>
      <c r="D355" t="s">
        <v>828</v>
      </c>
      <c r="E355">
        <v>52756882624</v>
      </c>
      <c r="F355">
        <v>51048114140</v>
      </c>
      <c r="G355">
        <v>42775058547</v>
      </c>
      <c r="H355">
        <v>38750698986</v>
      </c>
      <c r="I355">
        <v>28619562249</v>
      </c>
      <c r="J355">
        <v>21064719083</v>
      </c>
      <c r="K355">
        <v>16307777941</v>
      </c>
      <c r="L355">
        <v>12957173900</v>
      </c>
      <c r="M355">
        <v>10859567068</v>
      </c>
      <c r="N355">
        <v>9404797100</v>
      </c>
      <c r="O355">
        <v>8904166004</v>
      </c>
      <c r="P355">
        <v>2802</v>
      </c>
      <c r="Q355" t="s">
        <v>829</v>
      </c>
    </row>
    <row r="356" spans="1:17" x14ac:dyDescent="0.3">
      <c r="A356" t="s">
        <v>47</v>
      </c>
      <c r="B356" t="str">
        <f>"000950"</f>
        <v>000950</v>
      </c>
      <c r="C356" t="s">
        <v>830</v>
      </c>
      <c r="D356" t="s">
        <v>362</v>
      </c>
      <c r="E356">
        <v>52383341339</v>
      </c>
      <c r="F356">
        <v>45309808003</v>
      </c>
      <c r="G356">
        <v>28443632841</v>
      </c>
      <c r="H356">
        <v>22549583048</v>
      </c>
      <c r="I356">
        <v>17456959091</v>
      </c>
      <c r="J356">
        <v>5441106732</v>
      </c>
      <c r="K356">
        <v>6041305025</v>
      </c>
      <c r="L356">
        <v>6893877165</v>
      </c>
      <c r="M356">
        <v>6739430457</v>
      </c>
      <c r="N356">
        <v>5116153712</v>
      </c>
      <c r="O356">
        <v>4726148350</v>
      </c>
      <c r="P356">
        <v>145</v>
      </c>
      <c r="Q356" t="s">
        <v>831</v>
      </c>
    </row>
    <row r="357" spans="1:17" x14ac:dyDescent="0.3">
      <c r="A357" t="s">
        <v>17</v>
      </c>
      <c r="B357" t="str">
        <f>"600143"</f>
        <v>600143</v>
      </c>
      <c r="C357" t="s">
        <v>832</v>
      </c>
      <c r="D357" t="s">
        <v>833</v>
      </c>
      <c r="E357">
        <v>52154987825</v>
      </c>
      <c r="F357">
        <v>35696625335</v>
      </c>
      <c r="G357">
        <v>29318213394</v>
      </c>
      <c r="H357">
        <v>22792222999</v>
      </c>
      <c r="I357">
        <v>21047327347</v>
      </c>
      <c r="J357">
        <v>22857506897</v>
      </c>
      <c r="K357">
        <v>15723075574</v>
      </c>
      <c r="L357">
        <v>14568860099</v>
      </c>
      <c r="M357">
        <v>13137831047</v>
      </c>
      <c r="N357">
        <v>12742295970</v>
      </c>
      <c r="O357">
        <v>13118121962</v>
      </c>
      <c r="P357">
        <v>1349</v>
      </c>
      <c r="Q357" t="s">
        <v>834</v>
      </c>
    </row>
    <row r="358" spans="1:17" x14ac:dyDescent="0.3">
      <c r="A358" t="s">
        <v>17</v>
      </c>
      <c r="B358" t="str">
        <f>"600699"</f>
        <v>600699</v>
      </c>
      <c r="C358" t="s">
        <v>835</v>
      </c>
      <c r="D358" t="s">
        <v>836</v>
      </c>
      <c r="E358">
        <v>51626589478</v>
      </c>
      <c r="F358">
        <v>55391197312</v>
      </c>
      <c r="G358">
        <v>56191739048</v>
      </c>
      <c r="H358">
        <v>57896331120</v>
      </c>
      <c r="I358">
        <v>36839278921</v>
      </c>
      <c r="J358">
        <v>32603956412</v>
      </c>
      <c r="K358">
        <v>12532188934</v>
      </c>
      <c r="L358">
        <v>7205946910</v>
      </c>
      <c r="M358">
        <v>6034575707</v>
      </c>
      <c r="N358">
        <v>5336661504</v>
      </c>
      <c r="O358">
        <v>1351345817</v>
      </c>
      <c r="P358">
        <v>958</v>
      </c>
      <c r="Q358" t="s">
        <v>837</v>
      </c>
    </row>
    <row r="359" spans="1:17" x14ac:dyDescent="0.3">
      <c r="A359" t="s">
        <v>17</v>
      </c>
      <c r="B359" t="str">
        <f>"601168"</f>
        <v>601168</v>
      </c>
      <c r="C359" t="s">
        <v>838</v>
      </c>
      <c r="D359" t="s">
        <v>301</v>
      </c>
      <c r="E359">
        <v>51581597845</v>
      </c>
      <c r="F359">
        <v>50420557005</v>
      </c>
      <c r="G359">
        <v>44605952894</v>
      </c>
      <c r="H359">
        <v>40520768052</v>
      </c>
      <c r="I359">
        <v>34984902713</v>
      </c>
      <c r="J359">
        <v>31131456405</v>
      </c>
      <c r="K359">
        <v>28000896230</v>
      </c>
      <c r="L359">
        <v>25752287823</v>
      </c>
      <c r="M359">
        <v>27005186749</v>
      </c>
      <c r="N359">
        <v>25505626380</v>
      </c>
      <c r="O359">
        <v>26080381117</v>
      </c>
      <c r="P359">
        <v>392</v>
      </c>
      <c r="Q359" t="s">
        <v>839</v>
      </c>
    </row>
    <row r="360" spans="1:17" x14ac:dyDescent="0.3">
      <c r="A360" t="s">
        <v>17</v>
      </c>
      <c r="B360" t="str">
        <f>"600166"</f>
        <v>600166</v>
      </c>
      <c r="C360" t="s">
        <v>840</v>
      </c>
      <c r="D360" t="s">
        <v>684</v>
      </c>
      <c r="E360">
        <v>51404708268</v>
      </c>
      <c r="F360">
        <v>53911207479</v>
      </c>
      <c r="G360">
        <v>54535650536</v>
      </c>
      <c r="H360">
        <v>52973047182</v>
      </c>
      <c r="I360">
        <v>66312352505</v>
      </c>
      <c r="J360">
        <v>58190841568</v>
      </c>
      <c r="K360">
        <v>46646406506</v>
      </c>
      <c r="L360">
        <v>40178057701</v>
      </c>
      <c r="M360">
        <v>35015591512</v>
      </c>
      <c r="N360">
        <v>33422931326</v>
      </c>
      <c r="O360">
        <v>32708481228</v>
      </c>
      <c r="P360">
        <v>439</v>
      </c>
      <c r="Q360" t="s">
        <v>841</v>
      </c>
    </row>
    <row r="361" spans="1:17" x14ac:dyDescent="0.3">
      <c r="A361" t="s">
        <v>17</v>
      </c>
      <c r="B361" t="str">
        <f>"600155"</f>
        <v>600155</v>
      </c>
      <c r="C361" t="s">
        <v>842</v>
      </c>
      <c r="D361" t="s">
        <v>99</v>
      </c>
      <c r="E361">
        <v>51355592726</v>
      </c>
      <c r="F361">
        <v>48970015521</v>
      </c>
      <c r="G361">
        <v>46074032321</v>
      </c>
      <c r="H361">
        <v>42957743007</v>
      </c>
      <c r="I361">
        <v>37466715115</v>
      </c>
      <c r="J361">
        <v>33292251752</v>
      </c>
      <c r="K361">
        <v>633913091</v>
      </c>
      <c r="L361">
        <v>1913317755</v>
      </c>
      <c r="M361">
        <v>1760941233</v>
      </c>
      <c r="N361">
        <v>632913435</v>
      </c>
      <c r="O361">
        <v>697691361</v>
      </c>
      <c r="P361">
        <v>630</v>
      </c>
      <c r="Q361" t="s">
        <v>843</v>
      </c>
    </row>
    <row r="362" spans="1:17" x14ac:dyDescent="0.3">
      <c r="A362" t="s">
        <v>17</v>
      </c>
      <c r="B362" t="str">
        <f>"600848"</f>
        <v>600848</v>
      </c>
      <c r="C362" t="s">
        <v>844</v>
      </c>
      <c r="D362" t="s">
        <v>190</v>
      </c>
      <c r="E362">
        <v>51314948090</v>
      </c>
      <c r="F362">
        <v>46120698432</v>
      </c>
      <c r="G362">
        <v>37164872360</v>
      </c>
      <c r="H362">
        <v>16300396529</v>
      </c>
      <c r="I362">
        <v>13967699416</v>
      </c>
      <c r="J362">
        <v>12368900456</v>
      </c>
      <c r="K362">
        <v>7013361482</v>
      </c>
      <c r="L362">
        <v>1743395880</v>
      </c>
      <c r="M362">
        <v>1844500727</v>
      </c>
      <c r="N362">
        <v>1725497902</v>
      </c>
      <c r="O362">
        <v>1487619691</v>
      </c>
      <c r="P362">
        <v>271</v>
      </c>
      <c r="Q362" t="s">
        <v>845</v>
      </c>
    </row>
    <row r="363" spans="1:17" x14ac:dyDescent="0.3">
      <c r="A363" t="s">
        <v>47</v>
      </c>
      <c r="B363" t="str">
        <f>"002648"</f>
        <v>002648</v>
      </c>
      <c r="C363" t="s">
        <v>846</v>
      </c>
      <c r="D363" t="s">
        <v>710</v>
      </c>
      <c r="E363">
        <v>51208814314</v>
      </c>
      <c r="F363">
        <v>37065219106</v>
      </c>
      <c r="G363">
        <v>19795309165</v>
      </c>
      <c r="H363">
        <v>14825749859</v>
      </c>
      <c r="I363">
        <v>10482213599</v>
      </c>
      <c r="J363">
        <v>8080839975</v>
      </c>
      <c r="K363">
        <v>7050500749</v>
      </c>
      <c r="L363">
        <v>7682223926</v>
      </c>
      <c r="M363">
        <v>6737962116</v>
      </c>
      <c r="N363">
        <v>3780952040</v>
      </c>
      <c r="O363">
        <v>3488460126</v>
      </c>
      <c r="P363">
        <v>526</v>
      </c>
      <c r="Q363" t="s">
        <v>847</v>
      </c>
    </row>
    <row r="364" spans="1:17" x14ac:dyDescent="0.3">
      <c r="A364" t="s">
        <v>47</v>
      </c>
      <c r="B364" t="str">
        <f>"000761"</f>
        <v>000761</v>
      </c>
      <c r="C364" t="s">
        <v>848</v>
      </c>
      <c r="D364" t="s">
        <v>210</v>
      </c>
      <c r="E364">
        <v>51152657505</v>
      </c>
      <c r="F364">
        <v>66446670324</v>
      </c>
      <c r="G364">
        <v>62419899871</v>
      </c>
      <c r="H364">
        <v>60065338434</v>
      </c>
      <c r="I364">
        <v>56754968275</v>
      </c>
      <c r="J364">
        <v>53301030465</v>
      </c>
      <c r="K364">
        <v>47685280387</v>
      </c>
      <c r="L364">
        <v>51392659909</v>
      </c>
      <c r="M364">
        <v>44140553167</v>
      </c>
      <c r="N364">
        <v>38646198335</v>
      </c>
      <c r="O364">
        <v>42690526250</v>
      </c>
      <c r="P364">
        <v>237</v>
      </c>
      <c r="Q364" t="s">
        <v>849</v>
      </c>
    </row>
    <row r="365" spans="1:17" x14ac:dyDescent="0.3">
      <c r="A365" t="s">
        <v>47</v>
      </c>
      <c r="B365" t="str">
        <f>"002601"</f>
        <v>002601</v>
      </c>
      <c r="C365" t="s">
        <v>850</v>
      </c>
      <c r="D365" t="s">
        <v>851</v>
      </c>
      <c r="E365">
        <v>50108003465</v>
      </c>
      <c r="F365">
        <v>37152741809</v>
      </c>
      <c r="G365">
        <v>28671468619</v>
      </c>
      <c r="H365">
        <v>22600834494</v>
      </c>
      <c r="I365">
        <v>21321371837</v>
      </c>
      <c r="J365">
        <v>18960485155</v>
      </c>
      <c r="K365">
        <v>6049709543</v>
      </c>
      <c r="L365">
        <v>5062511881</v>
      </c>
      <c r="M365">
        <v>4001349895</v>
      </c>
      <c r="N365">
        <v>3332753485</v>
      </c>
      <c r="O365">
        <v>2814452276</v>
      </c>
      <c r="P365">
        <v>1262</v>
      </c>
      <c r="Q365" t="s">
        <v>852</v>
      </c>
    </row>
    <row r="366" spans="1:17" x14ac:dyDescent="0.3">
      <c r="A366" t="s">
        <v>47</v>
      </c>
      <c r="B366" t="str">
        <f>"300014"</f>
        <v>300014</v>
      </c>
      <c r="C366" t="s">
        <v>853</v>
      </c>
      <c r="D366" t="s">
        <v>215</v>
      </c>
      <c r="E366">
        <v>50107179857</v>
      </c>
      <c r="F366">
        <v>29061079005</v>
      </c>
      <c r="G366">
        <v>16422726004</v>
      </c>
      <c r="H366">
        <v>10261709798</v>
      </c>
      <c r="I366">
        <v>8317664210</v>
      </c>
      <c r="J366">
        <v>5188273195</v>
      </c>
      <c r="K366">
        <v>2693015096</v>
      </c>
      <c r="L366">
        <v>1717917562</v>
      </c>
      <c r="M366">
        <v>1361200990</v>
      </c>
      <c r="N366">
        <v>966718820</v>
      </c>
      <c r="O366">
        <v>809934309</v>
      </c>
      <c r="P366">
        <v>2493</v>
      </c>
      <c r="Q366" t="s">
        <v>854</v>
      </c>
    </row>
    <row r="367" spans="1:17" x14ac:dyDescent="0.3">
      <c r="A367" t="s">
        <v>17</v>
      </c>
      <c r="B367" t="str">
        <f>"601990"</f>
        <v>601990</v>
      </c>
      <c r="C367" t="s">
        <v>855</v>
      </c>
      <c r="D367" t="s">
        <v>99</v>
      </c>
      <c r="E367">
        <v>50053807475</v>
      </c>
      <c r="F367">
        <v>45894272988</v>
      </c>
      <c r="G367">
        <v>40488195402</v>
      </c>
      <c r="H367">
        <v>31481289786</v>
      </c>
      <c r="I367">
        <v>24210946100</v>
      </c>
      <c r="P367">
        <v>722</v>
      </c>
      <c r="Q367" t="s">
        <v>856</v>
      </c>
    </row>
    <row r="368" spans="1:17" x14ac:dyDescent="0.3">
      <c r="A368" t="s">
        <v>47</v>
      </c>
      <c r="B368" t="str">
        <f>"200016"</f>
        <v>200016</v>
      </c>
      <c r="C368" t="s">
        <v>857</v>
      </c>
      <c r="E368">
        <v>50028098960.204002</v>
      </c>
      <c r="F368">
        <v>60479178366.485001</v>
      </c>
      <c r="G368">
        <v>48253127733.443398</v>
      </c>
      <c r="H368">
        <v>42446371832.0532</v>
      </c>
      <c r="I368">
        <v>29389207867.754002</v>
      </c>
      <c r="J368">
        <v>20915815995.574402</v>
      </c>
      <c r="K368">
        <v>16349917028.034401</v>
      </c>
      <c r="L368">
        <v>20105104636.25</v>
      </c>
      <c r="M368">
        <v>20032543235.0252</v>
      </c>
      <c r="N368">
        <v>19867240187.887199</v>
      </c>
      <c r="O368">
        <v>21018074349.330002</v>
      </c>
      <c r="P368">
        <v>36</v>
      </c>
      <c r="Q368" t="s">
        <v>858</v>
      </c>
    </row>
    <row r="369" spans="1:17" x14ac:dyDescent="0.3">
      <c r="A369" t="s">
        <v>47</v>
      </c>
      <c r="B369" t="str">
        <f>"000937"</f>
        <v>000937</v>
      </c>
      <c r="C369" t="s">
        <v>859</v>
      </c>
      <c r="D369" t="s">
        <v>530</v>
      </c>
      <c r="E369">
        <v>49523390115</v>
      </c>
      <c r="F369">
        <v>50260377129</v>
      </c>
      <c r="G369">
        <v>45142313474</v>
      </c>
      <c r="H369">
        <v>45661951577</v>
      </c>
      <c r="I369">
        <v>45247732097</v>
      </c>
      <c r="J369">
        <v>43749995189</v>
      </c>
      <c r="K369">
        <v>42034310890</v>
      </c>
      <c r="L369">
        <v>42469724600</v>
      </c>
      <c r="M369">
        <v>41353103974</v>
      </c>
      <c r="N369">
        <v>44232555761</v>
      </c>
      <c r="O369">
        <v>40080106393</v>
      </c>
      <c r="P369">
        <v>350</v>
      </c>
      <c r="Q369" t="s">
        <v>860</v>
      </c>
    </row>
    <row r="370" spans="1:17" x14ac:dyDescent="0.3">
      <c r="A370" t="s">
        <v>17</v>
      </c>
      <c r="B370" t="str">
        <f>"600703"</f>
        <v>600703</v>
      </c>
      <c r="C370" t="s">
        <v>861</v>
      </c>
      <c r="D370" t="s">
        <v>862</v>
      </c>
      <c r="E370">
        <v>49373419139</v>
      </c>
      <c r="F370">
        <v>40778496575</v>
      </c>
      <c r="G370">
        <v>30288805575</v>
      </c>
      <c r="H370">
        <v>31414202310</v>
      </c>
      <c r="I370">
        <v>26824399495</v>
      </c>
      <c r="J370">
        <v>24318281336</v>
      </c>
      <c r="K370">
        <v>22599605444</v>
      </c>
      <c r="L370">
        <v>17192419546</v>
      </c>
      <c r="M370">
        <v>16298041472</v>
      </c>
      <c r="N370">
        <v>11846046701</v>
      </c>
      <c r="O370">
        <v>10249416334</v>
      </c>
      <c r="P370">
        <v>2761</v>
      </c>
      <c r="Q370" t="s">
        <v>863</v>
      </c>
    </row>
    <row r="371" spans="1:17" x14ac:dyDescent="0.3">
      <c r="A371" t="s">
        <v>17</v>
      </c>
      <c r="B371" t="str">
        <f>"600489"</f>
        <v>600489</v>
      </c>
      <c r="C371" t="s">
        <v>864</v>
      </c>
      <c r="D371" t="s">
        <v>600</v>
      </c>
      <c r="E371">
        <v>49332335029</v>
      </c>
      <c r="F371">
        <v>51206356078</v>
      </c>
      <c r="G371">
        <v>45775709492</v>
      </c>
      <c r="H371">
        <v>38778759648</v>
      </c>
      <c r="I371">
        <v>39299069766</v>
      </c>
      <c r="J371">
        <v>40913403126</v>
      </c>
      <c r="K371">
        <v>38187197467</v>
      </c>
      <c r="L371">
        <v>30621576137</v>
      </c>
      <c r="M371">
        <v>24958432339</v>
      </c>
      <c r="N371">
        <v>22013524511</v>
      </c>
      <c r="O371">
        <v>18971227025</v>
      </c>
      <c r="P371">
        <v>454</v>
      </c>
      <c r="Q371" t="s">
        <v>865</v>
      </c>
    </row>
    <row r="372" spans="1:17" x14ac:dyDescent="0.3">
      <c r="A372" t="s">
        <v>17</v>
      </c>
      <c r="B372" t="str">
        <f>"600528"</f>
        <v>600528</v>
      </c>
      <c r="C372" t="s">
        <v>866</v>
      </c>
      <c r="D372" t="s">
        <v>193</v>
      </c>
      <c r="E372">
        <v>49213105562</v>
      </c>
      <c r="F372">
        <v>45312184739</v>
      </c>
      <c r="G372">
        <v>38918861002</v>
      </c>
      <c r="H372">
        <v>36303535089</v>
      </c>
      <c r="I372">
        <v>32586592537</v>
      </c>
      <c r="J372">
        <v>29849141585</v>
      </c>
      <c r="K372">
        <v>55650620996</v>
      </c>
      <c r="L372">
        <v>58389719743</v>
      </c>
      <c r="M372">
        <v>52798949669</v>
      </c>
      <c r="N372">
        <v>48561302635</v>
      </c>
      <c r="O372">
        <v>41197506402</v>
      </c>
      <c r="P372">
        <v>252</v>
      </c>
      <c r="Q372" t="s">
        <v>867</v>
      </c>
    </row>
    <row r="373" spans="1:17" x14ac:dyDescent="0.3">
      <c r="A373" t="s">
        <v>17</v>
      </c>
      <c r="B373" t="str">
        <f>"601236"</f>
        <v>601236</v>
      </c>
      <c r="C373" t="s">
        <v>868</v>
      </c>
      <c r="D373" t="s">
        <v>99</v>
      </c>
      <c r="E373">
        <v>49113765165</v>
      </c>
      <c r="F373">
        <v>37533543218</v>
      </c>
      <c r="G373">
        <v>50765556547</v>
      </c>
      <c r="H373">
        <v>34877619100</v>
      </c>
      <c r="M373">
        <v>9436257900</v>
      </c>
      <c r="N373">
        <v>8124943900</v>
      </c>
      <c r="P373">
        <v>879</v>
      </c>
      <c r="Q373" t="s">
        <v>869</v>
      </c>
    </row>
    <row r="374" spans="1:17" x14ac:dyDescent="0.3">
      <c r="A374" t="s">
        <v>17</v>
      </c>
      <c r="B374" t="str">
        <f>"600674"</f>
        <v>600674</v>
      </c>
      <c r="C374" t="s">
        <v>870</v>
      </c>
      <c r="D374" t="s">
        <v>238</v>
      </c>
      <c r="E374">
        <v>49007808870</v>
      </c>
      <c r="F374">
        <v>41901814588</v>
      </c>
      <c r="G374">
        <v>37518926492</v>
      </c>
      <c r="H374">
        <v>33342999778</v>
      </c>
      <c r="I374">
        <v>31356564407</v>
      </c>
      <c r="J374">
        <v>27656187476</v>
      </c>
      <c r="K374">
        <v>25160168440</v>
      </c>
      <c r="L374">
        <v>22101196783</v>
      </c>
      <c r="M374">
        <v>17366348467</v>
      </c>
      <c r="N374">
        <v>15777416001</v>
      </c>
      <c r="O374">
        <v>15167685735</v>
      </c>
      <c r="P374">
        <v>1531</v>
      </c>
      <c r="Q374" t="s">
        <v>871</v>
      </c>
    </row>
    <row r="375" spans="1:17" x14ac:dyDescent="0.3">
      <c r="A375" t="s">
        <v>17</v>
      </c>
      <c r="B375" t="str">
        <f>"600009"</f>
        <v>600009</v>
      </c>
      <c r="C375" t="s">
        <v>872</v>
      </c>
      <c r="D375" t="s">
        <v>873</v>
      </c>
      <c r="E375">
        <v>48999816262</v>
      </c>
      <c r="F375">
        <v>52787084232</v>
      </c>
      <c r="G375">
        <v>36322254280</v>
      </c>
      <c r="H375">
        <v>32210815523</v>
      </c>
      <c r="I375">
        <v>28355642982</v>
      </c>
      <c r="J375">
        <v>27661242183</v>
      </c>
      <c r="K375">
        <v>25917039140</v>
      </c>
      <c r="L375">
        <v>23619228568</v>
      </c>
      <c r="M375">
        <v>21197026064</v>
      </c>
      <c r="N375">
        <v>19719234468</v>
      </c>
      <c r="O375">
        <v>19053485516</v>
      </c>
      <c r="P375">
        <v>5731</v>
      </c>
      <c r="Q375" t="s">
        <v>874</v>
      </c>
    </row>
    <row r="376" spans="1:17" x14ac:dyDescent="0.3">
      <c r="A376" t="s">
        <v>47</v>
      </c>
      <c r="B376" t="str">
        <f>"002061"</f>
        <v>002061</v>
      </c>
      <c r="C376" t="s">
        <v>875</v>
      </c>
      <c r="D376" t="s">
        <v>84</v>
      </c>
      <c r="E376">
        <v>48788738433</v>
      </c>
      <c r="F376">
        <v>37943191811</v>
      </c>
      <c r="G376">
        <v>27638252965</v>
      </c>
      <c r="H376">
        <v>27449711831</v>
      </c>
      <c r="I376">
        <v>23578799791</v>
      </c>
      <c r="J376">
        <v>5518304862</v>
      </c>
      <c r="K376">
        <v>2475871822</v>
      </c>
      <c r="L376">
        <v>2830170518</v>
      </c>
      <c r="M376">
        <v>2854164159</v>
      </c>
      <c r="N376">
        <v>2750527889</v>
      </c>
      <c r="O376">
        <v>2177792350</v>
      </c>
      <c r="P376">
        <v>215</v>
      </c>
      <c r="Q376" t="s">
        <v>876</v>
      </c>
    </row>
    <row r="377" spans="1:17" x14ac:dyDescent="0.3">
      <c r="A377" t="s">
        <v>47</v>
      </c>
      <c r="B377" t="str">
        <f>"002074"</f>
        <v>002074</v>
      </c>
      <c r="C377" t="s">
        <v>877</v>
      </c>
      <c r="D377" t="s">
        <v>215</v>
      </c>
      <c r="E377">
        <v>48778838951</v>
      </c>
      <c r="F377">
        <v>28226231862</v>
      </c>
      <c r="G377">
        <v>25025662550</v>
      </c>
      <c r="H377">
        <v>20847014023</v>
      </c>
      <c r="I377">
        <v>16891251552</v>
      </c>
      <c r="J377">
        <v>10888447919</v>
      </c>
      <c r="K377">
        <v>7606944936</v>
      </c>
      <c r="L377">
        <v>1274965037</v>
      </c>
      <c r="M377">
        <v>1257109339</v>
      </c>
      <c r="N377">
        <v>1127563558</v>
      </c>
      <c r="O377">
        <v>929172052</v>
      </c>
      <c r="P377">
        <v>1003</v>
      </c>
      <c r="Q377" t="s">
        <v>878</v>
      </c>
    </row>
    <row r="378" spans="1:17" x14ac:dyDescent="0.3">
      <c r="A378" t="s">
        <v>17</v>
      </c>
      <c r="B378" t="str">
        <f>"601212"</f>
        <v>601212</v>
      </c>
      <c r="C378" t="s">
        <v>879</v>
      </c>
      <c r="D378" t="s">
        <v>880</v>
      </c>
      <c r="E378">
        <v>48641836661</v>
      </c>
      <c r="F378">
        <v>48014821152</v>
      </c>
      <c r="G378">
        <v>43490214124</v>
      </c>
      <c r="H378">
        <v>46218670247</v>
      </c>
      <c r="I378">
        <v>46896030130</v>
      </c>
      <c r="J378">
        <v>49132914851</v>
      </c>
      <c r="P378">
        <v>185</v>
      </c>
      <c r="Q378" t="s">
        <v>881</v>
      </c>
    </row>
    <row r="379" spans="1:17" x14ac:dyDescent="0.3">
      <c r="A379" t="s">
        <v>17</v>
      </c>
      <c r="B379" t="str">
        <f>"600522"</f>
        <v>600522</v>
      </c>
      <c r="C379" t="s">
        <v>882</v>
      </c>
      <c r="D379" t="s">
        <v>828</v>
      </c>
      <c r="E379">
        <v>48428099199</v>
      </c>
      <c r="F379">
        <v>45187137511</v>
      </c>
      <c r="G379">
        <v>40780983568</v>
      </c>
      <c r="H379">
        <v>35811448437</v>
      </c>
      <c r="I379">
        <v>28109930668</v>
      </c>
      <c r="J379">
        <v>24088730827</v>
      </c>
      <c r="K379">
        <v>16590556547</v>
      </c>
      <c r="L379">
        <v>11780759836</v>
      </c>
      <c r="M379">
        <v>8614435062</v>
      </c>
      <c r="N379">
        <v>7873723210</v>
      </c>
      <c r="O379">
        <v>6912755205</v>
      </c>
      <c r="P379">
        <v>1218</v>
      </c>
      <c r="Q379" t="s">
        <v>883</v>
      </c>
    </row>
    <row r="380" spans="1:17" x14ac:dyDescent="0.3">
      <c r="A380" t="s">
        <v>47</v>
      </c>
      <c r="B380" t="str">
        <f>"000926"</f>
        <v>000926</v>
      </c>
      <c r="C380" t="s">
        <v>884</v>
      </c>
      <c r="D380" t="s">
        <v>76</v>
      </c>
      <c r="E380">
        <v>48321535218</v>
      </c>
      <c r="F380">
        <v>51587437758</v>
      </c>
      <c r="G380">
        <v>50426750353</v>
      </c>
      <c r="H380">
        <v>47418534031</v>
      </c>
      <c r="I380">
        <v>46862616169</v>
      </c>
      <c r="J380">
        <v>46593368445</v>
      </c>
      <c r="K380">
        <v>40775452632</v>
      </c>
      <c r="L380">
        <v>30705891222</v>
      </c>
      <c r="M380">
        <v>29056523134</v>
      </c>
      <c r="N380">
        <v>25048126697</v>
      </c>
      <c r="O380">
        <v>22555854324</v>
      </c>
      <c r="P380">
        <v>239</v>
      </c>
      <c r="Q380" t="s">
        <v>885</v>
      </c>
    </row>
    <row r="381" spans="1:17" x14ac:dyDescent="0.3">
      <c r="A381" t="s">
        <v>17</v>
      </c>
      <c r="B381" t="str">
        <f>"600295"</f>
        <v>600295</v>
      </c>
      <c r="C381" t="s">
        <v>886</v>
      </c>
      <c r="D381" t="s">
        <v>887</v>
      </c>
      <c r="E381">
        <v>48138335438</v>
      </c>
      <c r="F381">
        <v>46271948614</v>
      </c>
      <c r="G381">
        <v>49526896029</v>
      </c>
      <c r="H381">
        <v>50086963550</v>
      </c>
      <c r="I381">
        <v>50240140577</v>
      </c>
      <c r="J381">
        <v>46263748837</v>
      </c>
      <c r="K381">
        <v>44468946065</v>
      </c>
      <c r="L381">
        <v>45134772149</v>
      </c>
      <c r="M381">
        <v>41277227435</v>
      </c>
      <c r="N381">
        <v>36299107425</v>
      </c>
      <c r="O381">
        <v>32137546404</v>
      </c>
      <c r="P381">
        <v>435</v>
      </c>
      <c r="Q381" t="s">
        <v>888</v>
      </c>
    </row>
    <row r="382" spans="1:17" x14ac:dyDescent="0.3">
      <c r="A382" t="s">
        <v>17</v>
      </c>
      <c r="B382" t="str">
        <f>"600020"</f>
        <v>600020</v>
      </c>
      <c r="C382" t="s">
        <v>889</v>
      </c>
      <c r="D382" t="s">
        <v>471</v>
      </c>
      <c r="E382">
        <v>48007091100</v>
      </c>
      <c r="F382">
        <v>48194604416</v>
      </c>
      <c r="G382">
        <v>49243170109</v>
      </c>
      <c r="H382">
        <v>50631607110</v>
      </c>
      <c r="I382">
        <v>54756128648</v>
      </c>
      <c r="J382">
        <v>49788116348</v>
      </c>
      <c r="K382">
        <v>48435412418</v>
      </c>
      <c r="L382">
        <v>41542737536</v>
      </c>
      <c r="M382">
        <v>35233812225</v>
      </c>
      <c r="N382">
        <v>34199419285</v>
      </c>
      <c r="O382">
        <v>30432306823</v>
      </c>
      <c r="P382">
        <v>386</v>
      </c>
      <c r="Q382" t="s">
        <v>890</v>
      </c>
    </row>
    <row r="383" spans="1:17" x14ac:dyDescent="0.3">
      <c r="A383" t="s">
        <v>17</v>
      </c>
      <c r="B383" t="str">
        <f>"600685"</f>
        <v>600685</v>
      </c>
      <c r="C383" t="s">
        <v>891</v>
      </c>
      <c r="D383" t="s">
        <v>351</v>
      </c>
      <c r="E383">
        <v>47990875566</v>
      </c>
      <c r="F383">
        <v>37721218087</v>
      </c>
      <c r="G383">
        <v>37500727573</v>
      </c>
      <c r="H383">
        <v>45896061259</v>
      </c>
      <c r="I383">
        <v>42565581180</v>
      </c>
      <c r="J383">
        <v>43903490001</v>
      </c>
      <c r="K383">
        <v>51025894642</v>
      </c>
      <c r="L383">
        <v>45543940639</v>
      </c>
      <c r="M383">
        <v>23789085818</v>
      </c>
      <c r="N383">
        <v>10358054643</v>
      </c>
      <c r="O383">
        <v>10884841699</v>
      </c>
      <c r="P383">
        <v>263</v>
      </c>
      <c r="Q383" t="s">
        <v>892</v>
      </c>
    </row>
    <row r="384" spans="1:17" x14ac:dyDescent="0.3">
      <c r="A384" t="s">
        <v>17</v>
      </c>
      <c r="B384" t="str">
        <f>"600739"</f>
        <v>600739</v>
      </c>
      <c r="C384" t="s">
        <v>893</v>
      </c>
      <c r="D384" t="s">
        <v>894</v>
      </c>
      <c r="E384">
        <v>47972020558</v>
      </c>
      <c r="F384">
        <v>40831294759</v>
      </c>
      <c r="G384">
        <v>39572628780</v>
      </c>
      <c r="H384">
        <v>37668631510</v>
      </c>
      <c r="I384">
        <v>37175449302</v>
      </c>
      <c r="J384">
        <v>35141715645</v>
      </c>
      <c r="K384">
        <v>31912685684</v>
      </c>
      <c r="L384">
        <v>22451367342</v>
      </c>
      <c r="M384">
        <v>18107673027</v>
      </c>
      <c r="N384">
        <v>16370898683</v>
      </c>
      <c r="O384">
        <v>15411729756</v>
      </c>
      <c r="P384">
        <v>338</v>
      </c>
      <c r="Q384" t="s">
        <v>895</v>
      </c>
    </row>
    <row r="385" spans="1:17" x14ac:dyDescent="0.3">
      <c r="A385" t="s">
        <v>17</v>
      </c>
      <c r="B385" t="str">
        <f>"600569"</f>
        <v>600569</v>
      </c>
      <c r="C385" t="s">
        <v>896</v>
      </c>
      <c r="D385" t="s">
        <v>210</v>
      </c>
      <c r="E385">
        <v>47559894844</v>
      </c>
      <c r="F385">
        <v>42309879406</v>
      </c>
      <c r="G385">
        <v>38774238713</v>
      </c>
      <c r="H385">
        <v>35635211787</v>
      </c>
      <c r="I385">
        <v>32540034131</v>
      </c>
      <c r="J385">
        <v>32357261472</v>
      </c>
      <c r="K385">
        <v>32071375579</v>
      </c>
      <c r="L385">
        <v>33412429585</v>
      </c>
      <c r="M385">
        <v>32886820891</v>
      </c>
      <c r="N385">
        <v>32812834303</v>
      </c>
      <c r="O385">
        <v>34091793484</v>
      </c>
      <c r="P385">
        <v>329</v>
      </c>
      <c r="Q385" t="s">
        <v>897</v>
      </c>
    </row>
    <row r="386" spans="1:17" x14ac:dyDescent="0.3">
      <c r="A386" t="s">
        <v>17</v>
      </c>
      <c r="B386" t="str">
        <f>"600754"</f>
        <v>600754</v>
      </c>
      <c r="C386" t="s">
        <v>898</v>
      </c>
      <c r="D386" t="s">
        <v>899</v>
      </c>
      <c r="E386">
        <v>47544759778</v>
      </c>
      <c r="F386">
        <v>52201604388</v>
      </c>
      <c r="G386">
        <v>37997754792</v>
      </c>
      <c r="H386">
        <v>39601054085</v>
      </c>
      <c r="I386">
        <v>42548362638</v>
      </c>
      <c r="J386">
        <v>43973971610</v>
      </c>
      <c r="K386">
        <v>40843992524</v>
      </c>
      <c r="L386">
        <v>26426176525</v>
      </c>
      <c r="M386">
        <v>6830918730</v>
      </c>
      <c r="N386">
        <v>5335518911</v>
      </c>
      <c r="O386">
        <v>5213034107</v>
      </c>
      <c r="P386">
        <v>668</v>
      </c>
      <c r="Q386" t="s">
        <v>900</v>
      </c>
    </row>
    <row r="387" spans="1:17" x14ac:dyDescent="0.3">
      <c r="A387" t="s">
        <v>17</v>
      </c>
      <c r="B387" t="str">
        <f>"600418"</f>
        <v>600418</v>
      </c>
      <c r="C387" t="s">
        <v>901</v>
      </c>
      <c r="D387" t="s">
        <v>684</v>
      </c>
      <c r="E387">
        <v>47287566544</v>
      </c>
      <c r="F387">
        <v>47438632466</v>
      </c>
      <c r="G387">
        <v>45298673389</v>
      </c>
      <c r="H387">
        <v>49333893691</v>
      </c>
      <c r="I387">
        <v>51765502710</v>
      </c>
      <c r="J387">
        <v>51593861045</v>
      </c>
      <c r="K387">
        <v>45720698807</v>
      </c>
      <c r="L387">
        <v>30180733598</v>
      </c>
      <c r="M387">
        <v>26861848960</v>
      </c>
      <c r="N387">
        <v>22615014893</v>
      </c>
      <c r="O387">
        <v>16340573500</v>
      </c>
      <c r="P387">
        <v>429</v>
      </c>
      <c r="Q387" t="s">
        <v>902</v>
      </c>
    </row>
    <row r="388" spans="1:17" x14ac:dyDescent="0.3">
      <c r="A388" t="s">
        <v>47</v>
      </c>
      <c r="B388" t="str">
        <f>"000958"</f>
        <v>000958</v>
      </c>
      <c r="C388" t="s">
        <v>903</v>
      </c>
      <c r="D388" t="s">
        <v>171</v>
      </c>
      <c r="E388">
        <v>47269793056</v>
      </c>
      <c r="F388">
        <v>95437387298</v>
      </c>
      <c r="G388">
        <v>75142279559</v>
      </c>
      <c r="H388">
        <v>11947254175</v>
      </c>
      <c r="I388">
        <v>9488073416</v>
      </c>
      <c r="J388">
        <v>5627874303</v>
      </c>
      <c r="K388">
        <v>4985640545</v>
      </c>
      <c r="L388">
        <v>2227250193</v>
      </c>
      <c r="M388">
        <v>1502468216</v>
      </c>
      <c r="N388">
        <v>1322188381</v>
      </c>
      <c r="O388">
        <v>1345740064</v>
      </c>
      <c r="P388">
        <v>162</v>
      </c>
      <c r="Q388" t="s">
        <v>904</v>
      </c>
    </row>
    <row r="389" spans="1:17" x14ac:dyDescent="0.3">
      <c r="A389" t="s">
        <v>47</v>
      </c>
      <c r="B389" t="str">
        <f>"002307"</f>
        <v>002307</v>
      </c>
      <c r="C389" t="s">
        <v>905</v>
      </c>
      <c r="D389" t="s">
        <v>84</v>
      </c>
      <c r="E389">
        <v>47121893898</v>
      </c>
      <c r="F389">
        <v>42091559213</v>
      </c>
      <c r="G389">
        <v>29545087837</v>
      </c>
      <c r="H389">
        <v>25041401654</v>
      </c>
      <c r="I389">
        <v>19734332391</v>
      </c>
      <c r="J389">
        <v>15807667871</v>
      </c>
      <c r="K389">
        <v>12150762909</v>
      </c>
      <c r="L389">
        <v>10084755878</v>
      </c>
      <c r="M389">
        <v>8251685792</v>
      </c>
      <c r="N389">
        <v>6910691140</v>
      </c>
      <c r="O389">
        <v>4503757534</v>
      </c>
      <c r="P389">
        <v>90</v>
      </c>
      <c r="Q389" t="s">
        <v>906</v>
      </c>
    </row>
    <row r="390" spans="1:17" x14ac:dyDescent="0.3">
      <c r="A390" t="s">
        <v>17</v>
      </c>
      <c r="B390" t="str">
        <f>"600600"</f>
        <v>600600</v>
      </c>
      <c r="C390" t="s">
        <v>907</v>
      </c>
      <c r="D390" t="s">
        <v>908</v>
      </c>
      <c r="E390">
        <v>46988567972</v>
      </c>
      <c r="F390">
        <v>42978389188</v>
      </c>
      <c r="G390">
        <v>36927689734</v>
      </c>
      <c r="H390">
        <v>35217612873</v>
      </c>
      <c r="I390">
        <v>32698603094</v>
      </c>
      <c r="J390">
        <v>30868477412</v>
      </c>
      <c r="K390">
        <v>29284564021</v>
      </c>
      <c r="L390">
        <v>28670008919</v>
      </c>
      <c r="M390">
        <v>28766993151</v>
      </c>
      <c r="N390">
        <v>25192960727</v>
      </c>
      <c r="O390">
        <v>22261932328</v>
      </c>
      <c r="P390">
        <v>2021</v>
      </c>
      <c r="Q390" t="s">
        <v>909</v>
      </c>
    </row>
    <row r="391" spans="1:17" x14ac:dyDescent="0.3">
      <c r="A391" t="s">
        <v>17</v>
      </c>
      <c r="B391" t="str">
        <f>"600660"</f>
        <v>600660</v>
      </c>
      <c r="C391" t="s">
        <v>910</v>
      </c>
      <c r="D391" t="s">
        <v>416</v>
      </c>
      <c r="E391">
        <v>46890662380</v>
      </c>
      <c r="F391">
        <v>39922816663</v>
      </c>
      <c r="G391">
        <v>41742008801</v>
      </c>
      <c r="H391">
        <v>39461303458</v>
      </c>
      <c r="I391">
        <v>33404363606</v>
      </c>
      <c r="J391">
        <v>30403497132</v>
      </c>
      <c r="K391">
        <v>26397817550</v>
      </c>
      <c r="L391">
        <v>23733646905</v>
      </c>
      <c r="M391">
        <v>15162770367</v>
      </c>
      <c r="N391">
        <v>13462393688</v>
      </c>
      <c r="O391">
        <v>12196036908</v>
      </c>
      <c r="P391">
        <v>13818</v>
      </c>
      <c r="Q391" t="s">
        <v>911</v>
      </c>
    </row>
    <row r="392" spans="1:17" x14ac:dyDescent="0.3">
      <c r="A392" t="s">
        <v>17</v>
      </c>
      <c r="B392" t="str">
        <f>"600989"</f>
        <v>600989</v>
      </c>
      <c r="C392" t="s">
        <v>912</v>
      </c>
      <c r="D392" t="s">
        <v>783</v>
      </c>
      <c r="E392">
        <v>46800095189</v>
      </c>
      <c r="F392">
        <v>40867250265</v>
      </c>
      <c r="G392">
        <v>36341764859</v>
      </c>
      <c r="H392">
        <v>28348941219</v>
      </c>
      <c r="J392">
        <v>27051218745</v>
      </c>
      <c r="P392">
        <v>769</v>
      </c>
      <c r="Q392" t="s">
        <v>913</v>
      </c>
    </row>
    <row r="393" spans="1:17" x14ac:dyDescent="0.3">
      <c r="A393" t="s">
        <v>47</v>
      </c>
      <c r="B393" t="str">
        <f>"002466"</f>
        <v>002466</v>
      </c>
      <c r="C393" t="s">
        <v>914</v>
      </c>
      <c r="D393" t="s">
        <v>915</v>
      </c>
      <c r="E393">
        <v>46726529154</v>
      </c>
      <c r="F393">
        <v>42831465192</v>
      </c>
      <c r="G393">
        <v>43229585324</v>
      </c>
      <c r="H393">
        <v>45195271456</v>
      </c>
      <c r="I393">
        <v>17976030770</v>
      </c>
      <c r="J393">
        <v>11955073221</v>
      </c>
      <c r="K393">
        <v>7891978583</v>
      </c>
      <c r="L393">
        <v>6318131269</v>
      </c>
      <c r="M393">
        <v>4628155524</v>
      </c>
      <c r="N393">
        <v>1551421456</v>
      </c>
      <c r="O393">
        <v>1107089435</v>
      </c>
      <c r="P393">
        <v>2365</v>
      </c>
      <c r="Q393" t="s">
        <v>916</v>
      </c>
    </row>
    <row r="394" spans="1:17" x14ac:dyDescent="0.3">
      <c r="A394" t="s">
        <v>47</v>
      </c>
      <c r="B394" t="str">
        <f>"002797"</f>
        <v>002797</v>
      </c>
      <c r="C394" t="s">
        <v>917</v>
      </c>
      <c r="D394" t="s">
        <v>99</v>
      </c>
      <c r="E394">
        <v>46547893081</v>
      </c>
      <c r="F394">
        <v>42481592466</v>
      </c>
      <c r="G394">
        <v>37871097736</v>
      </c>
      <c r="H394">
        <v>38502066239</v>
      </c>
      <c r="I394">
        <v>35236667515</v>
      </c>
      <c r="J394">
        <v>32921566395</v>
      </c>
      <c r="K394">
        <v>32433795683</v>
      </c>
      <c r="N394">
        <v>10041000000</v>
      </c>
      <c r="P394">
        <v>838</v>
      </c>
      <c r="Q394" t="s">
        <v>918</v>
      </c>
    </row>
    <row r="395" spans="1:17" x14ac:dyDescent="0.3">
      <c r="A395" t="s">
        <v>47</v>
      </c>
      <c r="B395" t="str">
        <f>"002271"</f>
        <v>002271</v>
      </c>
      <c r="C395" t="s">
        <v>919</v>
      </c>
      <c r="D395" t="s">
        <v>920</v>
      </c>
      <c r="E395">
        <v>46517613035</v>
      </c>
      <c r="F395">
        <v>36887519791</v>
      </c>
      <c r="G395">
        <v>22515119833</v>
      </c>
      <c r="H395">
        <v>18422605003</v>
      </c>
      <c r="I395">
        <v>12958100994</v>
      </c>
      <c r="J395">
        <v>8769216197</v>
      </c>
      <c r="K395">
        <v>6092584554</v>
      </c>
      <c r="L395">
        <v>4957518980</v>
      </c>
      <c r="M395">
        <v>3844520663</v>
      </c>
      <c r="N395">
        <v>2877739765</v>
      </c>
      <c r="O395">
        <v>2574512111</v>
      </c>
      <c r="P395">
        <v>22866</v>
      </c>
      <c r="Q395" t="s">
        <v>921</v>
      </c>
    </row>
    <row r="396" spans="1:17" x14ac:dyDescent="0.3">
      <c r="A396" t="s">
        <v>17</v>
      </c>
      <c r="B396" t="str">
        <f>"600176"</f>
        <v>600176</v>
      </c>
      <c r="C396" t="s">
        <v>922</v>
      </c>
      <c r="D396" t="s">
        <v>923</v>
      </c>
      <c r="E396">
        <v>46467128583</v>
      </c>
      <c r="F396">
        <v>37772052124</v>
      </c>
      <c r="G396">
        <v>34986807174</v>
      </c>
      <c r="H396">
        <v>31901040869</v>
      </c>
      <c r="I396">
        <v>25786619800</v>
      </c>
      <c r="J396">
        <v>24271049582</v>
      </c>
      <c r="K396">
        <v>23620763543</v>
      </c>
      <c r="L396">
        <v>20248039025</v>
      </c>
      <c r="M396">
        <v>19120233925</v>
      </c>
      <c r="N396">
        <v>18598733004</v>
      </c>
      <c r="O396">
        <v>16525273277</v>
      </c>
      <c r="P396">
        <v>2781</v>
      </c>
      <c r="Q396" t="s">
        <v>924</v>
      </c>
    </row>
    <row r="397" spans="1:17" x14ac:dyDescent="0.3">
      <c r="A397" t="s">
        <v>47</v>
      </c>
      <c r="B397" t="str">
        <f>"300207"</f>
        <v>300207</v>
      </c>
      <c r="C397" t="s">
        <v>925</v>
      </c>
      <c r="D397" t="s">
        <v>215</v>
      </c>
      <c r="E397">
        <v>46205099239</v>
      </c>
      <c r="F397">
        <v>31723917644</v>
      </c>
      <c r="G397">
        <v>23828003100</v>
      </c>
      <c r="H397">
        <v>18087613441</v>
      </c>
      <c r="I397">
        <v>15147669284</v>
      </c>
      <c r="J397">
        <v>7851441480</v>
      </c>
      <c r="K397">
        <v>5248305789</v>
      </c>
      <c r="L397">
        <v>4439756852</v>
      </c>
      <c r="M397">
        <v>2880838620</v>
      </c>
      <c r="N397">
        <v>1980122822</v>
      </c>
      <c r="O397">
        <v>1496249689</v>
      </c>
      <c r="P397">
        <v>1012</v>
      </c>
      <c r="Q397" t="s">
        <v>926</v>
      </c>
    </row>
    <row r="398" spans="1:17" x14ac:dyDescent="0.3">
      <c r="A398" t="s">
        <v>47</v>
      </c>
      <c r="B398" t="str">
        <f>"002110"</f>
        <v>002110</v>
      </c>
      <c r="C398" t="s">
        <v>927</v>
      </c>
      <c r="D398" t="s">
        <v>928</v>
      </c>
      <c r="E398">
        <v>45778833742</v>
      </c>
      <c r="F398">
        <v>44235344529</v>
      </c>
      <c r="G398">
        <v>30965194451</v>
      </c>
      <c r="H398">
        <v>28181677148</v>
      </c>
      <c r="I398">
        <v>17385225231</v>
      </c>
      <c r="J398">
        <v>13442322161</v>
      </c>
      <c r="K398">
        <v>7355134057</v>
      </c>
      <c r="L398">
        <v>8015137769</v>
      </c>
      <c r="M398">
        <v>8541170419</v>
      </c>
      <c r="N398">
        <v>9139465201</v>
      </c>
      <c r="O398">
        <v>9265315726</v>
      </c>
      <c r="P398">
        <v>1174</v>
      </c>
      <c r="Q398" t="s">
        <v>929</v>
      </c>
    </row>
    <row r="399" spans="1:17" x14ac:dyDescent="0.3">
      <c r="A399" t="s">
        <v>17</v>
      </c>
      <c r="B399" t="str">
        <f>"600077"</f>
        <v>600077</v>
      </c>
      <c r="C399" t="s">
        <v>930</v>
      </c>
      <c r="D399" t="s">
        <v>76</v>
      </c>
      <c r="E399">
        <v>45089589446</v>
      </c>
      <c r="F399">
        <v>44605864681</v>
      </c>
      <c r="G399">
        <v>41511739780</v>
      </c>
      <c r="H399">
        <v>25714833833</v>
      </c>
      <c r="I399">
        <v>18894202480</v>
      </c>
      <c r="J399">
        <v>10197391033</v>
      </c>
      <c r="K399">
        <v>13794899515</v>
      </c>
      <c r="L399">
        <v>13504702102</v>
      </c>
      <c r="M399">
        <v>12172987135</v>
      </c>
      <c r="N399">
        <v>10552219675</v>
      </c>
      <c r="O399">
        <v>11621179918</v>
      </c>
      <c r="P399">
        <v>126</v>
      </c>
      <c r="Q399" t="s">
        <v>931</v>
      </c>
    </row>
    <row r="400" spans="1:17" x14ac:dyDescent="0.3">
      <c r="A400" t="s">
        <v>17</v>
      </c>
      <c r="B400" t="str">
        <f>"600906"</f>
        <v>600906</v>
      </c>
      <c r="C400" t="s">
        <v>932</v>
      </c>
      <c r="D400" t="s">
        <v>99</v>
      </c>
      <c r="E400">
        <v>45029452884</v>
      </c>
      <c r="F400">
        <v>39942103987</v>
      </c>
      <c r="P400">
        <v>131</v>
      </c>
      <c r="Q400" t="s">
        <v>933</v>
      </c>
    </row>
    <row r="401" spans="1:17" x14ac:dyDescent="0.3">
      <c r="A401" t="s">
        <v>47</v>
      </c>
      <c r="B401" t="str">
        <f>"002460"</f>
        <v>002460</v>
      </c>
      <c r="C401" t="s">
        <v>934</v>
      </c>
      <c r="D401" t="s">
        <v>915</v>
      </c>
      <c r="E401">
        <v>44921545489</v>
      </c>
      <c r="F401">
        <v>23307694488</v>
      </c>
      <c r="G401">
        <v>15477310550</v>
      </c>
      <c r="H401">
        <v>13752725813</v>
      </c>
      <c r="I401">
        <v>8287777941</v>
      </c>
      <c r="J401">
        <v>4547595709</v>
      </c>
      <c r="K401">
        <v>3031778414</v>
      </c>
      <c r="L401">
        <v>2048429449</v>
      </c>
      <c r="M401">
        <v>1717208103</v>
      </c>
      <c r="N401">
        <v>1150741754</v>
      </c>
      <c r="O401">
        <v>866785302</v>
      </c>
      <c r="P401">
        <v>2486</v>
      </c>
      <c r="Q401" t="s">
        <v>935</v>
      </c>
    </row>
    <row r="402" spans="1:17" x14ac:dyDescent="0.3">
      <c r="A402" t="s">
        <v>17</v>
      </c>
      <c r="B402" t="str">
        <f>"688187"</f>
        <v>688187</v>
      </c>
      <c r="C402" t="s">
        <v>936</v>
      </c>
      <c r="D402" t="s">
        <v>193</v>
      </c>
      <c r="E402">
        <v>44888489114</v>
      </c>
      <c r="P402">
        <v>59</v>
      </c>
      <c r="Q402" t="s">
        <v>937</v>
      </c>
    </row>
    <row r="403" spans="1:17" x14ac:dyDescent="0.3">
      <c r="A403" t="s">
        <v>47</v>
      </c>
      <c r="B403" t="str">
        <f>"002183"</f>
        <v>002183</v>
      </c>
      <c r="C403" t="s">
        <v>938</v>
      </c>
      <c r="D403" t="s">
        <v>939</v>
      </c>
      <c r="E403">
        <v>44885529969</v>
      </c>
      <c r="F403">
        <v>41761350551</v>
      </c>
      <c r="G403">
        <v>43319451611</v>
      </c>
      <c r="H403">
        <v>41768373637</v>
      </c>
      <c r="I403">
        <v>47443902123</v>
      </c>
      <c r="J403">
        <v>43917559206</v>
      </c>
      <c r="K403">
        <v>33948296997</v>
      </c>
      <c r="L403">
        <v>22659050370</v>
      </c>
      <c r="M403">
        <v>16598155111</v>
      </c>
      <c r="N403">
        <v>11166100091</v>
      </c>
      <c r="O403">
        <v>12825045478</v>
      </c>
      <c r="P403">
        <v>261</v>
      </c>
      <c r="Q403" t="s">
        <v>940</v>
      </c>
    </row>
    <row r="404" spans="1:17" x14ac:dyDescent="0.3">
      <c r="A404" t="s">
        <v>17</v>
      </c>
      <c r="B404" t="str">
        <f>"600546"</f>
        <v>600546</v>
      </c>
      <c r="C404" t="s">
        <v>941</v>
      </c>
      <c r="D404" t="s">
        <v>141</v>
      </c>
      <c r="E404">
        <v>44875252865</v>
      </c>
      <c r="F404">
        <v>41867824961</v>
      </c>
      <c r="G404">
        <v>42186187398</v>
      </c>
      <c r="H404">
        <v>46538312486</v>
      </c>
      <c r="I404">
        <v>45942917823</v>
      </c>
      <c r="J404">
        <v>44011313421</v>
      </c>
      <c r="K404">
        <v>49310934059</v>
      </c>
      <c r="L404">
        <v>51214768224</v>
      </c>
      <c r="M404">
        <v>46131548526</v>
      </c>
      <c r="N404">
        <v>48080488482</v>
      </c>
      <c r="O404">
        <v>37092726931</v>
      </c>
      <c r="P404">
        <v>357</v>
      </c>
      <c r="Q404" t="s">
        <v>942</v>
      </c>
    </row>
    <row r="405" spans="1:17" x14ac:dyDescent="0.3">
      <c r="A405" t="s">
        <v>47</v>
      </c>
      <c r="B405" t="str">
        <f>"000028"</f>
        <v>000028</v>
      </c>
      <c r="C405" t="s">
        <v>943</v>
      </c>
      <c r="D405" t="s">
        <v>362</v>
      </c>
      <c r="E405">
        <v>44844103339</v>
      </c>
      <c r="F405">
        <v>43020753416</v>
      </c>
      <c r="G405">
        <v>36882640681</v>
      </c>
      <c r="H405">
        <v>30855284547</v>
      </c>
      <c r="I405">
        <v>23760905982</v>
      </c>
      <c r="J405">
        <v>21519365689</v>
      </c>
      <c r="K405">
        <v>14172328815</v>
      </c>
      <c r="L405">
        <v>13399261901</v>
      </c>
      <c r="M405">
        <v>12270542740</v>
      </c>
      <c r="N405">
        <v>9675831669</v>
      </c>
      <c r="O405">
        <v>8069831512</v>
      </c>
      <c r="P405">
        <v>1098</v>
      </c>
      <c r="Q405" t="s">
        <v>944</v>
      </c>
    </row>
    <row r="406" spans="1:17" x14ac:dyDescent="0.3">
      <c r="A406" t="s">
        <v>17</v>
      </c>
      <c r="B406" t="str">
        <f>"600483"</f>
        <v>600483</v>
      </c>
      <c r="C406" t="s">
        <v>945</v>
      </c>
      <c r="D406" t="s">
        <v>652</v>
      </c>
      <c r="E406">
        <v>44653053973</v>
      </c>
      <c r="F406">
        <v>37193416461</v>
      </c>
      <c r="G406">
        <v>27570551046</v>
      </c>
      <c r="H406">
        <v>27225165394</v>
      </c>
      <c r="I406">
        <v>23375495690</v>
      </c>
      <c r="J406">
        <v>18089537337</v>
      </c>
      <c r="K406">
        <v>17181676824</v>
      </c>
      <c r="L406">
        <v>14033223683</v>
      </c>
      <c r="M406">
        <v>1036364733</v>
      </c>
      <c r="N406">
        <v>1153243439</v>
      </c>
      <c r="O406">
        <v>1146639119</v>
      </c>
      <c r="P406">
        <v>331</v>
      </c>
      <c r="Q406" t="s">
        <v>946</v>
      </c>
    </row>
    <row r="407" spans="1:17" x14ac:dyDescent="0.3">
      <c r="A407" t="s">
        <v>17</v>
      </c>
      <c r="B407" t="str">
        <f>"600236"</f>
        <v>600236</v>
      </c>
      <c r="C407" t="s">
        <v>947</v>
      </c>
      <c r="D407" t="s">
        <v>238</v>
      </c>
      <c r="E407">
        <v>44541784459</v>
      </c>
      <c r="F407">
        <v>44644595674</v>
      </c>
      <c r="G407">
        <v>44419364889</v>
      </c>
      <c r="H407">
        <v>46335078259</v>
      </c>
      <c r="I407">
        <v>39926314167</v>
      </c>
      <c r="J407">
        <v>41396373729</v>
      </c>
      <c r="K407">
        <v>42062096728</v>
      </c>
      <c r="L407">
        <v>21847501712</v>
      </c>
      <c r="M407">
        <v>21800151967</v>
      </c>
      <c r="N407">
        <v>22632995507</v>
      </c>
      <c r="O407">
        <v>21455596388</v>
      </c>
      <c r="P407">
        <v>651</v>
      </c>
      <c r="Q407" t="s">
        <v>948</v>
      </c>
    </row>
    <row r="408" spans="1:17" x14ac:dyDescent="0.3">
      <c r="A408" t="s">
        <v>47</v>
      </c>
      <c r="B408" t="str">
        <f>"002078"</f>
        <v>002078</v>
      </c>
      <c r="C408" t="s">
        <v>949</v>
      </c>
      <c r="D408" t="s">
        <v>587</v>
      </c>
      <c r="E408">
        <v>44484216871</v>
      </c>
      <c r="F408">
        <v>38824524319</v>
      </c>
      <c r="G408">
        <v>34099316095</v>
      </c>
      <c r="H408">
        <v>29920697622</v>
      </c>
      <c r="I408">
        <v>26522330765</v>
      </c>
      <c r="J408">
        <v>21347838042</v>
      </c>
      <c r="K408">
        <v>20771900099</v>
      </c>
      <c r="L408">
        <v>18462141401</v>
      </c>
      <c r="M408">
        <v>16041765348</v>
      </c>
      <c r="N408">
        <v>14959179340</v>
      </c>
      <c r="O408">
        <v>15102106762</v>
      </c>
      <c r="P408">
        <v>1103</v>
      </c>
      <c r="Q408" t="s">
        <v>950</v>
      </c>
    </row>
    <row r="409" spans="1:17" x14ac:dyDescent="0.3">
      <c r="A409" t="s">
        <v>47</v>
      </c>
      <c r="B409" t="str">
        <f>"002310"</f>
        <v>002310</v>
      </c>
      <c r="C409" t="s">
        <v>951</v>
      </c>
      <c r="D409" t="s">
        <v>952</v>
      </c>
      <c r="E409">
        <v>44329551488</v>
      </c>
      <c r="F409">
        <v>44835228325</v>
      </c>
      <c r="G409">
        <v>44491207679</v>
      </c>
      <c r="H409">
        <v>41437855582</v>
      </c>
      <c r="I409">
        <v>38366799450</v>
      </c>
      <c r="J409">
        <v>23959844474</v>
      </c>
      <c r="K409">
        <v>16920955695</v>
      </c>
      <c r="L409">
        <v>12118923293</v>
      </c>
      <c r="M409">
        <v>11581972966</v>
      </c>
      <c r="N409">
        <v>6791466074</v>
      </c>
      <c r="O409">
        <v>3738473271</v>
      </c>
      <c r="P409">
        <v>1194</v>
      </c>
      <c r="Q409" t="s">
        <v>953</v>
      </c>
    </row>
    <row r="410" spans="1:17" x14ac:dyDescent="0.3">
      <c r="A410" t="s">
        <v>17</v>
      </c>
      <c r="B410" t="str">
        <f>"600517"</f>
        <v>600517</v>
      </c>
      <c r="C410" t="s">
        <v>954</v>
      </c>
      <c r="D410" t="s">
        <v>459</v>
      </c>
      <c r="E410">
        <v>44281391240</v>
      </c>
      <c r="F410">
        <v>42440255093</v>
      </c>
      <c r="G410">
        <v>35001465829</v>
      </c>
      <c r="H410">
        <v>8887783238</v>
      </c>
      <c r="I410">
        <v>8511544671</v>
      </c>
      <c r="J410">
        <v>8685960291</v>
      </c>
      <c r="K410">
        <v>8828114216</v>
      </c>
      <c r="L410">
        <v>5148954091</v>
      </c>
      <c r="M410">
        <v>4315250737</v>
      </c>
      <c r="N410">
        <v>3929108780</v>
      </c>
      <c r="O410">
        <v>1978365523</v>
      </c>
      <c r="P410">
        <v>246</v>
      </c>
      <c r="Q410" t="s">
        <v>955</v>
      </c>
    </row>
    <row r="411" spans="1:17" x14ac:dyDescent="0.3">
      <c r="A411" t="s">
        <v>17</v>
      </c>
      <c r="B411" t="str">
        <f>"600707"</f>
        <v>600707</v>
      </c>
      <c r="C411" t="s">
        <v>956</v>
      </c>
      <c r="D411" t="s">
        <v>181</v>
      </c>
      <c r="E411">
        <v>44242224907</v>
      </c>
      <c r="F411">
        <v>42178313390</v>
      </c>
      <c r="G411">
        <v>41754013203</v>
      </c>
      <c r="H411">
        <v>40408950963</v>
      </c>
      <c r="I411">
        <v>36680989732</v>
      </c>
      <c r="J411">
        <v>6609864186</v>
      </c>
      <c r="K411">
        <v>5993169184</v>
      </c>
      <c r="L411">
        <v>5972281958</v>
      </c>
      <c r="M411">
        <v>7079642919</v>
      </c>
      <c r="N411">
        <v>7910707442</v>
      </c>
      <c r="O411">
        <v>8692454752</v>
      </c>
      <c r="P411">
        <v>251</v>
      </c>
      <c r="Q411" t="s">
        <v>957</v>
      </c>
    </row>
    <row r="412" spans="1:17" x14ac:dyDescent="0.3">
      <c r="A412" t="s">
        <v>47</v>
      </c>
      <c r="B412" t="str">
        <f>"300274"</f>
        <v>300274</v>
      </c>
      <c r="C412" t="s">
        <v>958</v>
      </c>
      <c r="D412" t="s">
        <v>959</v>
      </c>
      <c r="E412">
        <v>44101895513</v>
      </c>
      <c r="F412">
        <v>28655741590</v>
      </c>
      <c r="G412">
        <v>21723771264</v>
      </c>
      <c r="H412">
        <v>18955634471</v>
      </c>
      <c r="I412">
        <v>15284073144</v>
      </c>
      <c r="J412">
        <v>11104341472</v>
      </c>
      <c r="K412">
        <v>7602044251</v>
      </c>
      <c r="L412">
        <v>4851021351</v>
      </c>
      <c r="M412">
        <v>3586910739</v>
      </c>
      <c r="N412">
        <v>2633506256</v>
      </c>
      <c r="O412">
        <v>2377301188</v>
      </c>
      <c r="P412">
        <v>2195</v>
      </c>
      <c r="Q412" t="s">
        <v>960</v>
      </c>
    </row>
    <row r="413" spans="1:17" x14ac:dyDescent="0.3">
      <c r="A413" t="s">
        <v>47</v>
      </c>
      <c r="B413" t="str">
        <f>"000032"</f>
        <v>000032</v>
      </c>
      <c r="C413" t="s">
        <v>961</v>
      </c>
      <c r="D413" t="s">
        <v>962</v>
      </c>
      <c r="E413">
        <v>44053049505</v>
      </c>
      <c r="F413">
        <v>2553090027</v>
      </c>
      <c r="G413">
        <v>2360852744</v>
      </c>
      <c r="H413">
        <v>2241235590</v>
      </c>
      <c r="I413">
        <v>2099406590</v>
      </c>
      <c r="J413">
        <v>1934496323</v>
      </c>
      <c r="K413">
        <v>1970118263</v>
      </c>
      <c r="L413">
        <v>1352460812</v>
      </c>
      <c r="M413">
        <v>1447184565</v>
      </c>
      <c r="N413">
        <v>1558182287</v>
      </c>
      <c r="O413">
        <v>1545557494</v>
      </c>
      <c r="P413">
        <v>121</v>
      </c>
      <c r="Q413" t="s">
        <v>963</v>
      </c>
    </row>
    <row r="414" spans="1:17" x14ac:dyDescent="0.3">
      <c r="A414" t="s">
        <v>17</v>
      </c>
      <c r="B414" t="str">
        <f>"600811"</f>
        <v>600811</v>
      </c>
      <c r="C414" t="s">
        <v>964</v>
      </c>
      <c r="D414" t="s">
        <v>810</v>
      </c>
      <c r="E414">
        <v>43683729266</v>
      </c>
      <c r="F414">
        <v>45823510157</v>
      </c>
      <c r="G414">
        <v>47716327791</v>
      </c>
      <c r="H414">
        <v>51256734958</v>
      </c>
      <c r="I414">
        <v>49473420869</v>
      </c>
      <c r="J414">
        <v>50278397124</v>
      </c>
      <c r="K414">
        <v>20801424967</v>
      </c>
      <c r="L414">
        <v>20352463229</v>
      </c>
      <c r="M414">
        <v>17238272445</v>
      </c>
      <c r="N414">
        <v>15918834256</v>
      </c>
      <c r="O414">
        <v>12757655086</v>
      </c>
      <c r="P414">
        <v>205</v>
      </c>
      <c r="Q414" t="s">
        <v>965</v>
      </c>
    </row>
    <row r="415" spans="1:17" x14ac:dyDescent="0.3">
      <c r="A415" t="s">
        <v>47</v>
      </c>
      <c r="B415" t="str">
        <f>"002180"</f>
        <v>002180</v>
      </c>
      <c r="C415" t="s">
        <v>966</v>
      </c>
      <c r="D415" t="s">
        <v>967</v>
      </c>
      <c r="E415">
        <v>43498057893</v>
      </c>
      <c r="F415">
        <v>37588065752</v>
      </c>
      <c r="G415">
        <v>37675862405</v>
      </c>
      <c r="H415">
        <v>35156005402</v>
      </c>
      <c r="I415">
        <v>33703533323</v>
      </c>
      <c r="J415">
        <v>51149088525</v>
      </c>
      <c r="K415">
        <v>3111543005</v>
      </c>
      <c r="L415">
        <v>708222801</v>
      </c>
      <c r="M415">
        <v>420212378</v>
      </c>
      <c r="N415">
        <v>427463402</v>
      </c>
      <c r="O415">
        <v>407028021</v>
      </c>
      <c r="P415">
        <v>472</v>
      </c>
      <c r="Q415" t="s">
        <v>968</v>
      </c>
    </row>
    <row r="416" spans="1:17" x14ac:dyDescent="0.3">
      <c r="A416" t="s">
        <v>17</v>
      </c>
      <c r="B416" t="str">
        <f>"603225"</f>
        <v>603225</v>
      </c>
      <c r="C416" t="s">
        <v>969</v>
      </c>
      <c r="D416" t="s">
        <v>970</v>
      </c>
      <c r="E416">
        <v>43430168155</v>
      </c>
      <c r="F416">
        <v>30540002353</v>
      </c>
      <c r="G416">
        <v>26717852567</v>
      </c>
      <c r="H416">
        <v>18919198005</v>
      </c>
      <c r="I416">
        <v>12280013443</v>
      </c>
      <c r="J416">
        <v>9798212422</v>
      </c>
      <c r="P416">
        <v>388</v>
      </c>
      <c r="Q416" t="s">
        <v>971</v>
      </c>
    </row>
    <row r="417" spans="1:17" x14ac:dyDescent="0.3">
      <c r="A417" t="s">
        <v>17</v>
      </c>
      <c r="B417" t="str">
        <f>"600637"</f>
        <v>600637</v>
      </c>
      <c r="C417" t="s">
        <v>972</v>
      </c>
      <c r="D417" t="s">
        <v>973</v>
      </c>
      <c r="E417">
        <v>43399639712</v>
      </c>
      <c r="F417">
        <v>44286774314</v>
      </c>
      <c r="G417">
        <v>44463191345</v>
      </c>
      <c r="H417">
        <v>37850974363</v>
      </c>
      <c r="I417">
        <v>37305721571</v>
      </c>
      <c r="J417">
        <v>37002299018</v>
      </c>
      <c r="K417">
        <v>35410336977</v>
      </c>
      <c r="L417">
        <v>7023336534</v>
      </c>
      <c r="M417">
        <v>5305732597</v>
      </c>
      <c r="N417">
        <v>3944394592</v>
      </c>
      <c r="O417">
        <v>3203103415</v>
      </c>
      <c r="P417">
        <v>442</v>
      </c>
      <c r="Q417" t="s">
        <v>974</v>
      </c>
    </row>
    <row r="418" spans="1:17" x14ac:dyDescent="0.3">
      <c r="A418" t="s">
        <v>17</v>
      </c>
      <c r="B418" t="str">
        <f>"600032"</f>
        <v>600032</v>
      </c>
      <c r="C418" t="s">
        <v>975</v>
      </c>
      <c r="D418" t="s">
        <v>976</v>
      </c>
      <c r="E418">
        <v>43357720621</v>
      </c>
      <c r="F418">
        <v>30889748044</v>
      </c>
      <c r="P418">
        <v>81</v>
      </c>
      <c r="Q418" t="s">
        <v>977</v>
      </c>
    </row>
    <row r="419" spans="1:17" x14ac:dyDescent="0.3">
      <c r="A419" t="s">
        <v>47</v>
      </c>
      <c r="B419" t="str">
        <f>"000528"</f>
        <v>000528</v>
      </c>
      <c r="C419" t="s">
        <v>978</v>
      </c>
      <c r="D419" t="s">
        <v>429</v>
      </c>
      <c r="E419">
        <v>43068277837</v>
      </c>
      <c r="F419">
        <v>36920233780</v>
      </c>
      <c r="G419">
        <v>30720726082</v>
      </c>
      <c r="H419">
        <v>28493704497</v>
      </c>
      <c r="I419">
        <v>24425803009</v>
      </c>
      <c r="J419">
        <v>19564392038</v>
      </c>
      <c r="K419">
        <v>21565569940</v>
      </c>
      <c r="L419">
        <v>20280229414</v>
      </c>
      <c r="M419">
        <v>22757718302</v>
      </c>
      <c r="N419">
        <v>22879387175</v>
      </c>
      <c r="O419">
        <v>26137812095</v>
      </c>
      <c r="P419">
        <v>481</v>
      </c>
      <c r="Q419" t="s">
        <v>979</v>
      </c>
    </row>
    <row r="420" spans="1:17" x14ac:dyDescent="0.3">
      <c r="A420" t="s">
        <v>47</v>
      </c>
      <c r="B420" t="str">
        <f>"000568"</f>
        <v>000568</v>
      </c>
      <c r="C420" t="s">
        <v>980</v>
      </c>
      <c r="D420" t="s">
        <v>286</v>
      </c>
      <c r="E420">
        <v>43063821253</v>
      </c>
      <c r="F420">
        <v>37107992570</v>
      </c>
      <c r="G420">
        <v>29755363959</v>
      </c>
      <c r="H420">
        <v>23926523365</v>
      </c>
      <c r="I420">
        <v>20147440936</v>
      </c>
      <c r="J420">
        <v>14290574932</v>
      </c>
      <c r="K420">
        <v>12837774761</v>
      </c>
      <c r="L420">
        <v>13642599391</v>
      </c>
      <c r="M420">
        <v>13949879407</v>
      </c>
      <c r="N420">
        <v>15052827116</v>
      </c>
      <c r="O420">
        <v>13235531273</v>
      </c>
      <c r="P420">
        <v>6440</v>
      </c>
      <c r="Q420" t="s">
        <v>981</v>
      </c>
    </row>
    <row r="421" spans="1:17" x14ac:dyDescent="0.3">
      <c r="A421" t="s">
        <v>17</v>
      </c>
      <c r="B421" t="str">
        <f>"603885"</f>
        <v>603885</v>
      </c>
      <c r="C421" t="s">
        <v>982</v>
      </c>
      <c r="D421" t="s">
        <v>243</v>
      </c>
      <c r="E421">
        <v>43007185418</v>
      </c>
      <c r="F421">
        <v>40890672677</v>
      </c>
      <c r="G421">
        <v>31719699204</v>
      </c>
      <c r="H421">
        <v>23375220586</v>
      </c>
      <c r="I421">
        <v>20840782717</v>
      </c>
      <c r="J421">
        <v>18909743316</v>
      </c>
      <c r="K421">
        <v>14472766578</v>
      </c>
      <c r="L421">
        <v>8913800500</v>
      </c>
      <c r="P421">
        <v>475</v>
      </c>
      <c r="Q421" t="s">
        <v>983</v>
      </c>
    </row>
    <row r="422" spans="1:17" x14ac:dyDescent="0.3">
      <c r="A422" t="s">
        <v>17</v>
      </c>
      <c r="B422" t="str">
        <f>"600648"</f>
        <v>600648</v>
      </c>
      <c r="C422" t="s">
        <v>984</v>
      </c>
      <c r="D422" t="s">
        <v>190</v>
      </c>
      <c r="E422">
        <v>42998857501</v>
      </c>
      <c r="F422">
        <v>37923774194</v>
      </c>
      <c r="G422">
        <v>33663030653</v>
      </c>
      <c r="H422">
        <v>29251947324</v>
      </c>
      <c r="I422">
        <v>31348774641</v>
      </c>
      <c r="J422">
        <v>29280044877</v>
      </c>
      <c r="K422">
        <v>27891892716</v>
      </c>
      <c r="L422">
        <v>25721429456</v>
      </c>
      <c r="M422">
        <v>24673178577</v>
      </c>
      <c r="N422">
        <v>25079870801</v>
      </c>
      <c r="O422">
        <v>22823440586</v>
      </c>
      <c r="P422">
        <v>139</v>
      </c>
      <c r="Q422" t="s">
        <v>985</v>
      </c>
    </row>
    <row r="423" spans="1:17" x14ac:dyDescent="0.3">
      <c r="A423" t="s">
        <v>47</v>
      </c>
      <c r="B423" t="str">
        <f>"000620"</f>
        <v>000620</v>
      </c>
      <c r="C423" t="s">
        <v>986</v>
      </c>
      <c r="D423" t="s">
        <v>76</v>
      </c>
      <c r="E423">
        <v>42818465625</v>
      </c>
      <c r="F423">
        <v>49811662911</v>
      </c>
      <c r="G423">
        <v>52075443397</v>
      </c>
      <c r="H423">
        <v>56326944830</v>
      </c>
      <c r="I423">
        <v>50989901715</v>
      </c>
      <c r="J423">
        <v>44190073943</v>
      </c>
      <c r="K423">
        <v>34997149425</v>
      </c>
      <c r="L423">
        <v>26555663536</v>
      </c>
      <c r="M423">
        <v>19675423698</v>
      </c>
      <c r="N423">
        <v>11329522321</v>
      </c>
      <c r="O423">
        <v>7360279039</v>
      </c>
      <c r="P423">
        <v>298</v>
      </c>
      <c r="Q423" t="s">
        <v>987</v>
      </c>
    </row>
    <row r="424" spans="1:17" x14ac:dyDescent="0.3">
      <c r="A424" t="s">
        <v>17</v>
      </c>
      <c r="B424" t="str">
        <f>"600582"</f>
        <v>600582</v>
      </c>
      <c r="C424" t="s">
        <v>988</v>
      </c>
      <c r="D424" t="s">
        <v>607</v>
      </c>
      <c r="E424">
        <v>42578489631</v>
      </c>
      <c r="F424">
        <v>37950548503</v>
      </c>
      <c r="G424">
        <v>36530010374</v>
      </c>
      <c r="H424">
        <v>37887892909</v>
      </c>
      <c r="I424">
        <v>36044403108</v>
      </c>
      <c r="J424">
        <v>34557080745</v>
      </c>
      <c r="K424">
        <v>32018123964</v>
      </c>
      <c r="L424">
        <v>29346901779</v>
      </c>
      <c r="M424">
        <v>18361060912</v>
      </c>
      <c r="N424">
        <v>17161727412</v>
      </c>
      <c r="O424">
        <v>14003648326</v>
      </c>
      <c r="P424">
        <v>396</v>
      </c>
      <c r="Q424" t="s">
        <v>989</v>
      </c>
    </row>
    <row r="425" spans="1:17" x14ac:dyDescent="0.3">
      <c r="A425" t="s">
        <v>17</v>
      </c>
      <c r="B425" t="str">
        <f>"601005"</f>
        <v>601005</v>
      </c>
      <c r="C425" t="s">
        <v>990</v>
      </c>
      <c r="D425" t="s">
        <v>210</v>
      </c>
      <c r="E425">
        <v>42362462000</v>
      </c>
      <c r="F425">
        <v>42136595000</v>
      </c>
      <c r="G425">
        <v>28377210000</v>
      </c>
      <c r="H425">
        <v>26414800000</v>
      </c>
      <c r="I425">
        <v>25462966000</v>
      </c>
      <c r="J425">
        <v>36676495000</v>
      </c>
      <c r="K425">
        <v>38676461000</v>
      </c>
      <c r="L425">
        <v>47071824000</v>
      </c>
      <c r="M425">
        <v>49087423000</v>
      </c>
      <c r="N425">
        <v>30270102000</v>
      </c>
      <c r="O425">
        <v>27877176000</v>
      </c>
      <c r="P425">
        <v>249</v>
      </c>
      <c r="Q425" t="s">
        <v>991</v>
      </c>
    </row>
    <row r="426" spans="1:17" x14ac:dyDescent="0.3">
      <c r="A426" t="s">
        <v>17</v>
      </c>
      <c r="B426" t="str">
        <f>"600307"</f>
        <v>600307</v>
      </c>
      <c r="C426" t="s">
        <v>992</v>
      </c>
      <c r="D426" t="s">
        <v>210</v>
      </c>
      <c r="E426">
        <v>42250397603</v>
      </c>
      <c r="F426">
        <v>42474423532</v>
      </c>
      <c r="G426">
        <v>37962157810</v>
      </c>
      <c r="H426">
        <v>39581832797</v>
      </c>
      <c r="I426">
        <v>40370786405</v>
      </c>
      <c r="J426">
        <v>37363717162</v>
      </c>
      <c r="K426">
        <v>38623217376</v>
      </c>
      <c r="L426">
        <v>49648307915</v>
      </c>
      <c r="M426">
        <v>54676339839</v>
      </c>
      <c r="N426">
        <v>56129842136</v>
      </c>
      <c r="O426">
        <v>51069255296</v>
      </c>
      <c r="P426">
        <v>211</v>
      </c>
      <c r="Q426" t="s">
        <v>993</v>
      </c>
    </row>
    <row r="427" spans="1:17" x14ac:dyDescent="0.3">
      <c r="A427" t="s">
        <v>47</v>
      </c>
      <c r="B427" t="str">
        <f>"002236"</f>
        <v>002236</v>
      </c>
      <c r="C427" t="s">
        <v>994</v>
      </c>
      <c r="D427" t="s">
        <v>523</v>
      </c>
      <c r="E427">
        <v>42223316353</v>
      </c>
      <c r="F427">
        <v>37793288584</v>
      </c>
      <c r="G427">
        <v>28388447812</v>
      </c>
      <c r="H427">
        <v>25249751298</v>
      </c>
      <c r="I427">
        <v>20881982026</v>
      </c>
      <c r="J427">
        <v>14887202943</v>
      </c>
      <c r="K427">
        <v>11040597573</v>
      </c>
      <c r="L427">
        <v>7513336329</v>
      </c>
      <c r="M427">
        <v>6479879502</v>
      </c>
      <c r="N427">
        <v>3358242841</v>
      </c>
      <c r="O427">
        <v>2265711349</v>
      </c>
      <c r="P427">
        <v>32899</v>
      </c>
      <c r="Q427" t="s">
        <v>995</v>
      </c>
    </row>
    <row r="428" spans="1:17" x14ac:dyDescent="0.3">
      <c r="A428" t="s">
        <v>17</v>
      </c>
      <c r="B428" t="str">
        <f>"600970"</f>
        <v>600970</v>
      </c>
      <c r="C428" t="s">
        <v>996</v>
      </c>
      <c r="D428" t="s">
        <v>997</v>
      </c>
      <c r="E428">
        <v>41989014032</v>
      </c>
      <c r="F428">
        <v>33817296869</v>
      </c>
      <c r="G428">
        <v>33687325807</v>
      </c>
      <c r="H428">
        <v>31787193202</v>
      </c>
      <c r="I428">
        <v>31460198968</v>
      </c>
      <c r="J428">
        <v>28727594577</v>
      </c>
      <c r="K428">
        <v>28175430868</v>
      </c>
      <c r="L428">
        <v>25115123748</v>
      </c>
      <c r="M428">
        <v>23268161838</v>
      </c>
      <c r="N428">
        <v>20668109505</v>
      </c>
      <c r="O428">
        <v>20191986114</v>
      </c>
      <c r="P428">
        <v>853</v>
      </c>
      <c r="Q428" t="s">
        <v>998</v>
      </c>
    </row>
    <row r="429" spans="1:17" x14ac:dyDescent="0.3">
      <c r="A429" t="s">
        <v>47</v>
      </c>
      <c r="B429" t="str">
        <f>"002157"</f>
        <v>002157</v>
      </c>
      <c r="C429" t="s">
        <v>999</v>
      </c>
      <c r="D429" t="s">
        <v>354</v>
      </c>
      <c r="E429">
        <v>41931871861</v>
      </c>
      <c r="F429">
        <v>69729793156</v>
      </c>
      <c r="G429">
        <v>36272436559</v>
      </c>
      <c r="H429">
        <v>21350100202</v>
      </c>
      <c r="I429">
        <v>16828495722</v>
      </c>
      <c r="J429">
        <v>12462269218</v>
      </c>
      <c r="K429">
        <v>9441134808</v>
      </c>
      <c r="L429">
        <v>7537222845</v>
      </c>
      <c r="M429">
        <v>6368496250</v>
      </c>
      <c r="N429">
        <v>5236894232</v>
      </c>
      <c r="O429">
        <v>3375538993</v>
      </c>
      <c r="P429">
        <v>1128</v>
      </c>
      <c r="Q429" t="s">
        <v>1000</v>
      </c>
    </row>
    <row r="430" spans="1:17" x14ac:dyDescent="0.3">
      <c r="A430" t="s">
        <v>47</v>
      </c>
      <c r="B430" t="str">
        <f>"000960"</f>
        <v>000960</v>
      </c>
      <c r="C430" t="s">
        <v>1001</v>
      </c>
      <c r="D430" t="s">
        <v>1002</v>
      </c>
      <c r="E430">
        <v>41911009020</v>
      </c>
      <c r="F430">
        <v>41282336235</v>
      </c>
      <c r="G430">
        <v>36320791151</v>
      </c>
      <c r="H430">
        <v>34491800741</v>
      </c>
      <c r="I430">
        <v>32119505497</v>
      </c>
      <c r="J430">
        <v>28186422470</v>
      </c>
      <c r="K430">
        <v>27360505102</v>
      </c>
      <c r="L430">
        <v>22603454775</v>
      </c>
      <c r="M430">
        <v>22227446234</v>
      </c>
      <c r="N430">
        <v>23895311080</v>
      </c>
      <c r="O430">
        <v>17284892313</v>
      </c>
      <c r="P430">
        <v>356</v>
      </c>
      <c r="Q430" t="s">
        <v>1003</v>
      </c>
    </row>
    <row r="431" spans="1:17" x14ac:dyDescent="0.3">
      <c r="A431" t="s">
        <v>47</v>
      </c>
      <c r="B431" t="str">
        <f>"002311"</f>
        <v>002311</v>
      </c>
      <c r="C431" t="s">
        <v>1004</v>
      </c>
      <c r="D431" t="s">
        <v>1005</v>
      </c>
      <c r="E431">
        <v>41734466079</v>
      </c>
      <c r="F431">
        <v>33196469634</v>
      </c>
      <c r="G431">
        <v>25147659313</v>
      </c>
      <c r="H431">
        <v>19206841914</v>
      </c>
      <c r="I431">
        <v>14957002282</v>
      </c>
      <c r="J431">
        <v>12072956072</v>
      </c>
      <c r="K431">
        <v>9016580615</v>
      </c>
      <c r="L431">
        <v>8640190192</v>
      </c>
      <c r="M431">
        <v>7852250620</v>
      </c>
      <c r="N431">
        <v>7268278502</v>
      </c>
      <c r="O431">
        <v>5104675899</v>
      </c>
      <c r="P431">
        <v>1933</v>
      </c>
      <c r="Q431" t="s">
        <v>1006</v>
      </c>
    </row>
    <row r="432" spans="1:17" x14ac:dyDescent="0.3">
      <c r="A432" t="s">
        <v>47</v>
      </c>
      <c r="B432" t="str">
        <f>"000543"</f>
        <v>000543</v>
      </c>
      <c r="C432" t="s">
        <v>1007</v>
      </c>
      <c r="D432" t="s">
        <v>171</v>
      </c>
      <c r="E432">
        <v>41702722717</v>
      </c>
      <c r="F432">
        <v>34356256185</v>
      </c>
      <c r="G432">
        <v>33643023453</v>
      </c>
      <c r="H432">
        <v>29023655051</v>
      </c>
      <c r="I432">
        <v>26643106310</v>
      </c>
      <c r="J432">
        <v>26873493411</v>
      </c>
      <c r="K432">
        <v>22295460336</v>
      </c>
      <c r="L432">
        <v>23527873269</v>
      </c>
      <c r="M432">
        <v>21954728071</v>
      </c>
      <c r="N432">
        <v>18514949193</v>
      </c>
      <c r="O432">
        <v>15488563293</v>
      </c>
      <c r="P432">
        <v>322</v>
      </c>
      <c r="Q432" t="s">
        <v>1008</v>
      </c>
    </row>
    <row r="433" spans="1:17" x14ac:dyDescent="0.3">
      <c r="A433" t="s">
        <v>17</v>
      </c>
      <c r="B433" t="str">
        <f>"601360"</f>
        <v>601360</v>
      </c>
      <c r="C433" t="s">
        <v>1009</v>
      </c>
      <c r="D433" t="s">
        <v>1010</v>
      </c>
      <c r="E433">
        <v>41592249000</v>
      </c>
      <c r="F433">
        <v>44853010000</v>
      </c>
      <c r="G433">
        <v>33510909000</v>
      </c>
      <c r="H433">
        <v>30383567000</v>
      </c>
      <c r="I433">
        <v>22868107000</v>
      </c>
      <c r="J433">
        <v>2616806976</v>
      </c>
      <c r="K433">
        <v>2648245928</v>
      </c>
      <c r="L433">
        <v>2663597368</v>
      </c>
      <c r="M433">
        <v>2467216898</v>
      </c>
      <c r="N433">
        <v>2331679428</v>
      </c>
      <c r="O433">
        <v>1906611470</v>
      </c>
      <c r="P433">
        <v>1010</v>
      </c>
      <c r="Q433" t="s">
        <v>1011</v>
      </c>
    </row>
    <row r="434" spans="1:17" x14ac:dyDescent="0.3">
      <c r="A434" t="s">
        <v>17</v>
      </c>
      <c r="B434" t="str">
        <f>"600863"</f>
        <v>600863</v>
      </c>
      <c r="C434" t="s">
        <v>1012</v>
      </c>
      <c r="D434" t="s">
        <v>171</v>
      </c>
      <c r="E434">
        <v>41341173751</v>
      </c>
      <c r="F434">
        <v>42355806248</v>
      </c>
      <c r="G434">
        <v>44323631594</v>
      </c>
      <c r="H434">
        <v>43447698787</v>
      </c>
      <c r="I434">
        <v>42404450651</v>
      </c>
      <c r="J434">
        <v>38908208593</v>
      </c>
      <c r="K434">
        <v>38302724518</v>
      </c>
      <c r="L434">
        <v>38436504283</v>
      </c>
      <c r="M434">
        <v>35732036534</v>
      </c>
      <c r="N434">
        <v>35863479435</v>
      </c>
      <c r="O434">
        <v>36768201559</v>
      </c>
      <c r="P434">
        <v>310</v>
      </c>
      <c r="Q434" t="s">
        <v>1013</v>
      </c>
    </row>
    <row r="435" spans="1:17" x14ac:dyDescent="0.3">
      <c r="A435" t="s">
        <v>17</v>
      </c>
      <c r="B435" t="str">
        <f>"600094"</f>
        <v>600094</v>
      </c>
      <c r="C435" t="s">
        <v>1014</v>
      </c>
      <c r="D435" t="s">
        <v>76</v>
      </c>
      <c r="E435">
        <v>41323080791</v>
      </c>
      <c r="F435">
        <v>36822266255</v>
      </c>
      <c r="G435">
        <v>42726097334</v>
      </c>
      <c r="H435">
        <v>47672478090</v>
      </c>
      <c r="I435">
        <v>57473616044</v>
      </c>
      <c r="J435">
        <v>55220218879</v>
      </c>
      <c r="K435">
        <v>39315461525</v>
      </c>
      <c r="L435">
        <v>22506259251</v>
      </c>
      <c r="M435">
        <v>16180151248</v>
      </c>
      <c r="N435">
        <v>11465177980</v>
      </c>
      <c r="O435">
        <v>7658103019</v>
      </c>
      <c r="P435">
        <v>159</v>
      </c>
      <c r="Q435" t="s">
        <v>1015</v>
      </c>
    </row>
    <row r="436" spans="1:17" x14ac:dyDescent="0.3">
      <c r="A436" t="s">
        <v>47</v>
      </c>
      <c r="B436" t="str">
        <f>"000009"</f>
        <v>000009</v>
      </c>
      <c r="C436" t="s">
        <v>1016</v>
      </c>
      <c r="D436" t="s">
        <v>1017</v>
      </c>
      <c r="E436">
        <v>40892985827</v>
      </c>
      <c r="F436">
        <v>32232577933</v>
      </c>
      <c r="G436">
        <v>30239161749</v>
      </c>
      <c r="H436">
        <v>30012095163</v>
      </c>
      <c r="I436">
        <v>27472955961</v>
      </c>
      <c r="J436">
        <v>22638422167</v>
      </c>
      <c r="K436">
        <v>18774013352</v>
      </c>
      <c r="L436">
        <v>15028314295</v>
      </c>
      <c r="M436">
        <v>14301102010</v>
      </c>
      <c r="N436">
        <v>13126130098</v>
      </c>
      <c r="O436">
        <v>12048387984</v>
      </c>
      <c r="P436">
        <v>468</v>
      </c>
      <c r="Q436" t="s">
        <v>1018</v>
      </c>
    </row>
    <row r="437" spans="1:17" x14ac:dyDescent="0.3">
      <c r="A437" t="s">
        <v>47</v>
      </c>
      <c r="B437" t="str">
        <f>"000591"</f>
        <v>000591</v>
      </c>
      <c r="C437" t="s">
        <v>1019</v>
      </c>
      <c r="D437" t="s">
        <v>976</v>
      </c>
      <c r="E437">
        <v>40866834644</v>
      </c>
      <c r="F437">
        <v>40111613601</v>
      </c>
      <c r="G437">
        <v>38258769160</v>
      </c>
      <c r="H437">
        <v>35019998115</v>
      </c>
      <c r="I437">
        <v>31394975806</v>
      </c>
      <c r="J437">
        <v>30341209864</v>
      </c>
      <c r="K437">
        <v>23734033818</v>
      </c>
      <c r="L437">
        <v>3257704891</v>
      </c>
      <c r="M437">
        <v>3154032125</v>
      </c>
      <c r="N437">
        <v>2922767384</v>
      </c>
      <c r="O437">
        <v>2630743430</v>
      </c>
      <c r="P437">
        <v>664</v>
      </c>
      <c r="Q437" t="s">
        <v>1020</v>
      </c>
    </row>
    <row r="438" spans="1:17" x14ac:dyDescent="0.3">
      <c r="A438" t="s">
        <v>47</v>
      </c>
      <c r="B438" t="str">
        <f>"000727"</f>
        <v>000727</v>
      </c>
      <c r="C438" t="s">
        <v>1021</v>
      </c>
      <c r="D438" t="s">
        <v>181</v>
      </c>
      <c r="E438">
        <v>40832190432</v>
      </c>
      <c r="F438">
        <v>37257826817</v>
      </c>
      <c r="G438">
        <v>20980514287</v>
      </c>
      <c r="H438">
        <v>30827806884</v>
      </c>
      <c r="I438">
        <v>32709778356</v>
      </c>
      <c r="J438">
        <v>32742497463</v>
      </c>
      <c r="K438">
        <v>30630700538</v>
      </c>
      <c r="L438">
        <v>29549191094</v>
      </c>
      <c r="M438">
        <v>923088815</v>
      </c>
      <c r="N438">
        <v>1164791706</v>
      </c>
      <c r="O438">
        <v>1029860009</v>
      </c>
      <c r="P438">
        <v>197</v>
      </c>
      <c r="Q438" t="s">
        <v>1022</v>
      </c>
    </row>
    <row r="439" spans="1:17" x14ac:dyDescent="0.3">
      <c r="A439" t="s">
        <v>17</v>
      </c>
      <c r="B439" t="str">
        <f>"601107"</f>
        <v>601107</v>
      </c>
      <c r="C439" t="s">
        <v>1023</v>
      </c>
      <c r="D439" t="s">
        <v>471</v>
      </c>
      <c r="E439">
        <v>40805830525</v>
      </c>
      <c r="F439">
        <v>40658839808</v>
      </c>
      <c r="G439">
        <v>38575566381</v>
      </c>
      <c r="H439">
        <v>36654416308</v>
      </c>
      <c r="I439">
        <v>34865923308</v>
      </c>
      <c r="J439">
        <v>35839836869</v>
      </c>
      <c r="K439">
        <v>33209533202</v>
      </c>
      <c r="L439">
        <v>29043126960</v>
      </c>
      <c r="M439">
        <v>25149297479</v>
      </c>
      <c r="N439">
        <v>20540508371</v>
      </c>
      <c r="O439">
        <v>16351077473</v>
      </c>
      <c r="P439">
        <v>231</v>
      </c>
      <c r="Q439" t="s">
        <v>1024</v>
      </c>
    </row>
    <row r="440" spans="1:17" x14ac:dyDescent="0.3">
      <c r="A440" t="s">
        <v>17</v>
      </c>
      <c r="B440" t="str">
        <f>"601001"</f>
        <v>601001</v>
      </c>
      <c r="C440" t="s">
        <v>1025</v>
      </c>
      <c r="D440" t="s">
        <v>141</v>
      </c>
      <c r="E440">
        <v>40802261232</v>
      </c>
      <c r="F440">
        <v>35001283643</v>
      </c>
      <c r="G440">
        <v>27625405705</v>
      </c>
      <c r="H440">
        <v>25676018809</v>
      </c>
      <c r="I440">
        <v>28665762037</v>
      </c>
      <c r="J440">
        <v>26923718947</v>
      </c>
      <c r="K440">
        <v>26534224077</v>
      </c>
      <c r="L440">
        <v>24507148581</v>
      </c>
      <c r="M440">
        <v>20547714659</v>
      </c>
      <c r="N440">
        <v>22684908807</v>
      </c>
      <c r="O440">
        <v>20304839756</v>
      </c>
      <c r="P440">
        <v>289</v>
      </c>
      <c r="Q440" t="s">
        <v>1026</v>
      </c>
    </row>
    <row r="441" spans="1:17" x14ac:dyDescent="0.3">
      <c r="A441" t="s">
        <v>17</v>
      </c>
      <c r="B441" t="str">
        <f>"601016"</f>
        <v>601016</v>
      </c>
      <c r="C441" t="s">
        <v>1027</v>
      </c>
      <c r="D441" t="s">
        <v>298</v>
      </c>
      <c r="E441">
        <v>40791764821</v>
      </c>
      <c r="F441">
        <v>34778750942</v>
      </c>
      <c r="G441">
        <v>24989592540</v>
      </c>
      <c r="H441">
        <v>21390711341</v>
      </c>
      <c r="I441">
        <v>20452195312</v>
      </c>
      <c r="J441">
        <v>18427996381</v>
      </c>
      <c r="K441">
        <v>17284311703</v>
      </c>
      <c r="L441">
        <v>13516760942</v>
      </c>
      <c r="P441">
        <v>542</v>
      </c>
      <c r="Q441" t="s">
        <v>1028</v>
      </c>
    </row>
    <row r="442" spans="1:17" x14ac:dyDescent="0.3">
      <c r="A442" t="s">
        <v>47</v>
      </c>
      <c r="B442" t="str">
        <f>"002080"</f>
        <v>002080</v>
      </c>
      <c r="C442" t="s">
        <v>1029</v>
      </c>
      <c r="D442" t="s">
        <v>923</v>
      </c>
      <c r="E442">
        <v>40772015204</v>
      </c>
      <c r="F442">
        <v>36323865016</v>
      </c>
      <c r="G442">
        <v>30145272565</v>
      </c>
      <c r="H442">
        <v>25137024403</v>
      </c>
      <c r="I442">
        <v>22881415058</v>
      </c>
      <c r="J442">
        <v>20767387115</v>
      </c>
      <c r="K442">
        <v>8350958361</v>
      </c>
      <c r="L442">
        <v>8118625459</v>
      </c>
      <c r="M442">
        <v>7142929655</v>
      </c>
      <c r="N442">
        <v>5924229046</v>
      </c>
      <c r="O442">
        <v>4829426328</v>
      </c>
      <c r="P442">
        <v>913</v>
      </c>
      <c r="Q442" t="s">
        <v>1030</v>
      </c>
    </row>
    <row r="443" spans="1:17" x14ac:dyDescent="0.3">
      <c r="A443" t="s">
        <v>47</v>
      </c>
      <c r="B443" t="str">
        <f>"002602"</f>
        <v>002602</v>
      </c>
      <c r="C443" t="s">
        <v>1031</v>
      </c>
      <c r="D443" t="s">
        <v>1032</v>
      </c>
      <c r="E443">
        <v>40705801886</v>
      </c>
      <c r="F443">
        <v>44243355760</v>
      </c>
      <c r="G443">
        <v>36548122690</v>
      </c>
      <c r="H443">
        <v>16501785316</v>
      </c>
      <c r="I443">
        <v>15261841255</v>
      </c>
      <c r="J443">
        <v>5745922667</v>
      </c>
      <c r="K443">
        <v>5189175880</v>
      </c>
      <c r="L443">
        <v>4299196626</v>
      </c>
      <c r="M443">
        <v>2122812391</v>
      </c>
      <c r="N443">
        <v>1953866508</v>
      </c>
      <c r="O443">
        <v>1721840287</v>
      </c>
      <c r="P443">
        <v>718</v>
      </c>
      <c r="Q443" t="s">
        <v>1033</v>
      </c>
    </row>
    <row r="444" spans="1:17" x14ac:dyDescent="0.3">
      <c r="A444" t="s">
        <v>47</v>
      </c>
      <c r="B444" t="str">
        <f>"002010"</f>
        <v>002010</v>
      </c>
      <c r="C444" t="s">
        <v>1034</v>
      </c>
      <c r="D444" t="s">
        <v>1035</v>
      </c>
      <c r="E444">
        <v>40657951901</v>
      </c>
      <c r="F444">
        <v>35242348127</v>
      </c>
      <c r="G444">
        <v>31588247588</v>
      </c>
      <c r="H444">
        <v>30137452998</v>
      </c>
      <c r="I444">
        <v>26775250536</v>
      </c>
      <c r="J444">
        <v>17902105584</v>
      </c>
      <c r="K444">
        <v>14188066891</v>
      </c>
      <c r="L444">
        <v>4261270966</v>
      </c>
      <c r="M444">
        <v>3819642599</v>
      </c>
      <c r="N444">
        <v>3414668404</v>
      </c>
      <c r="O444">
        <v>2447453074</v>
      </c>
      <c r="P444">
        <v>279</v>
      </c>
      <c r="Q444" t="s">
        <v>1036</v>
      </c>
    </row>
    <row r="445" spans="1:17" x14ac:dyDescent="0.3">
      <c r="A445" t="s">
        <v>17</v>
      </c>
      <c r="B445" t="str">
        <f>"600665"</f>
        <v>600665</v>
      </c>
      <c r="C445" t="s">
        <v>1037</v>
      </c>
      <c r="D445" t="s">
        <v>76</v>
      </c>
      <c r="E445">
        <v>40578686640</v>
      </c>
      <c r="F445">
        <v>34704612216</v>
      </c>
      <c r="G445">
        <v>28358990219</v>
      </c>
      <c r="H445">
        <v>23628524212</v>
      </c>
      <c r="I445">
        <v>21755361281</v>
      </c>
      <c r="J445">
        <v>18726272381</v>
      </c>
      <c r="K445">
        <v>19495931748</v>
      </c>
      <c r="L445">
        <v>14128288474</v>
      </c>
      <c r="M445">
        <v>11430297026</v>
      </c>
      <c r="N445">
        <v>8933590949</v>
      </c>
      <c r="O445">
        <v>8078379346</v>
      </c>
      <c r="P445">
        <v>455</v>
      </c>
      <c r="Q445" t="s">
        <v>1038</v>
      </c>
    </row>
    <row r="446" spans="1:17" x14ac:dyDescent="0.3">
      <c r="A446" t="s">
        <v>47</v>
      </c>
      <c r="B446" t="str">
        <f>"000016"</f>
        <v>000016</v>
      </c>
      <c r="C446" t="s">
        <v>1039</v>
      </c>
      <c r="D446" t="s">
        <v>612</v>
      </c>
      <c r="E446">
        <v>40541409206</v>
      </c>
      <c r="F446">
        <v>51058825130</v>
      </c>
      <c r="G446">
        <v>44151457346</v>
      </c>
      <c r="H446">
        <v>36306878652</v>
      </c>
      <c r="I446">
        <v>23501965508</v>
      </c>
      <c r="J446">
        <v>18539102992</v>
      </c>
      <c r="K446">
        <v>13610186488</v>
      </c>
      <c r="L446">
        <v>16084083709</v>
      </c>
      <c r="M446">
        <v>16046574203</v>
      </c>
      <c r="N446">
        <v>15896335564</v>
      </c>
      <c r="O446">
        <v>17046289010</v>
      </c>
      <c r="P446">
        <v>266</v>
      </c>
      <c r="Q446" t="s">
        <v>1040</v>
      </c>
    </row>
    <row r="447" spans="1:17" x14ac:dyDescent="0.3">
      <c r="A447" t="s">
        <v>17</v>
      </c>
      <c r="B447" t="str">
        <f>"601228"</f>
        <v>601228</v>
      </c>
      <c r="C447" t="s">
        <v>1041</v>
      </c>
      <c r="D447" t="s">
        <v>357</v>
      </c>
      <c r="E447">
        <v>40386673510</v>
      </c>
      <c r="F447">
        <v>35895201654</v>
      </c>
      <c r="G447">
        <v>29366895741</v>
      </c>
      <c r="H447">
        <v>25592989178</v>
      </c>
      <c r="I447">
        <v>21863238975</v>
      </c>
      <c r="J447">
        <v>22366343423</v>
      </c>
      <c r="P447">
        <v>189</v>
      </c>
      <c r="Q447" t="s">
        <v>1042</v>
      </c>
    </row>
    <row r="448" spans="1:17" x14ac:dyDescent="0.3">
      <c r="A448" t="s">
        <v>17</v>
      </c>
      <c r="B448" t="str">
        <f>"600733"</f>
        <v>600733</v>
      </c>
      <c r="C448" t="s">
        <v>1043</v>
      </c>
      <c r="D448" t="s">
        <v>114</v>
      </c>
      <c r="E448">
        <v>40330546938</v>
      </c>
      <c r="F448">
        <v>42644470091</v>
      </c>
      <c r="G448">
        <v>58703679638</v>
      </c>
      <c r="H448">
        <v>45041934236</v>
      </c>
      <c r="I448">
        <v>379217192</v>
      </c>
      <c r="J448">
        <v>378167317</v>
      </c>
      <c r="K448">
        <v>429538139</v>
      </c>
      <c r="L448">
        <v>477786698</v>
      </c>
      <c r="M448">
        <v>505070886</v>
      </c>
      <c r="N448">
        <v>549352564</v>
      </c>
      <c r="O448">
        <v>652818575</v>
      </c>
      <c r="P448">
        <v>369</v>
      </c>
      <c r="Q448" t="s">
        <v>1044</v>
      </c>
    </row>
    <row r="449" spans="1:17" x14ac:dyDescent="0.3">
      <c r="A449" t="s">
        <v>47</v>
      </c>
      <c r="B449" t="str">
        <f>"000878"</f>
        <v>000878</v>
      </c>
      <c r="C449" t="s">
        <v>1045</v>
      </c>
      <c r="D449" t="s">
        <v>301</v>
      </c>
      <c r="E449">
        <v>40304986629</v>
      </c>
      <c r="F449">
        <v>45103215308</v>
      </c>
      <c r="G449">
        <v>47254290070</v>
      </c>
      <c r="H449">
        <v>38997460703</v>
      </c>
      <c r="I449">
        <v>28816239086</v>
      </c>
      <c r="J449">
        <v>24209110944</v>
      </c>
      <c r="K449">
        <v>25112280329</v>
      </c>
      <c r="L449">
        <v>24337819225</v>
      </c>
      <c r="M449">
        <v>28052278470</v>
      </c>
      <c r="N449">
        <v>31701742915</v>
      </c>
      <c r="O449">
        <v>31658980862</v>
      </c>
      <c r="P449">
        <v>418</v>
      </c>
      <c r="Q449" t="s">
        <v>1046</v>
      </c>
    </row>
    <row r="450" spans="1:17" x14ac:dyDescent="0.3">
      <c r="A450" t="s">
        <v>47</v>
      </c>
      <c r="B450" t="str">
        <f>"000042"</f>
        <v>000042</v>
      </c>
      <c r="C450" t="s">
        <v>1047</v>
      </c>
      <c r="D450" t="s">
        <v>76</v>
      </c>
      <c r="E450">
        <v>40201972877</v>
      </c>
      <c r="F450">
        <v>42627371598</v>
      </c>
      <c r="G450">
        <v>45923231441</v>
      </c>
      <c r="H450">
        <v>44628466854</v>
      </c>
      <c r="I450">
        <v>44601069486</v>
      </c>
      <c r="J450">
        <v>32638277011</v>
      </c>
      <c r="K450">
        <v>27775184659</v>
      </c>
      <c r="L450">
        <v>16230454221</v>
      </c>
      <c r="M450">
        <v>8669239409</v>
      </c>
      <c r="N450">
        <v>7996868024</v>
      </c>
      <c r="O450">
        <v>6977712436</v>
      </c>
      <c r="P450">
        <v>121</v>
      </c>
      <c r="Q450" t="s">
        <v>1048</v>
      </c>
    </row>
    <row r="451" spans="1:17" x14ac:dyDescent="0.3">
      <c r="A451" t="s">
        <v>17</v>
      </c>
      <c r="B451" t="str">
        <f>"600239"</f>
        <v>600239</v>
      </c>
      <c r="C451" t="s">
        <v>1049</v>
      </c>
      <c r="D451" t="s">
        <v>76</v>
      </c>
      <c r="E451">
        <v>40057649785</v>
      </c>
      <c r="F451">
        <v>78355776186</v>
      </c>
      <c r="G451">
        <v>85753492948</v>
      </c>
      <c r="H451">
        <v>85299375448</v>
      </c>
      <c r="I451">
        <v>78410087346</v>
      </c>
      <c r="J451">
        <v>64147302414</v>
      </c>
      <c r="K451">
        <v>48535112259</v>
      </c>
      <c r="L451">
        <v>34384085214</v>
      </c>
      <c r="M451">
        <v>27827249893</v>
      </c>
      <c r="N451">
        <v>22478151560</v>
      </c>
      <c r="O451">
        <v>14859382101</v>
      </c>
      <c r="P451">
        <v>128</v>
      </c>
      <c r="Q451" t="s">
        <v>1050</v>
      </c>
    </row>
    <row r="452" spans="1:17" x14ac:dyDescent="0.3">
      <c r="A452" t="s">
        <v>47</v>
      </c>
      <c r="B452" t="str">
        <f>"002128"</f>
        <v>002128</v>
      </c>
      <c r="C452" t="s">
        <v>1051</v>
      </c>
      <c r="D452" t="s">
        <v>141</v>
      </c>
      <c r="E452">
        <v>39991571054</v>
      </c>
      <c r="F452">
        <v>35891370614</v>
      </c>
      <c r="G452">
        <v>35869690088</v>
      </c>
      <c r="H452">
        <v>18635364457</v>
      </c>
      <c r="I452">
        <v>15696115088</v>
      </c>
      <c r="J452">
        <v>14729933871</v>
      </c>
      <c r="K452">
        <v>14672965889</v>
      </c>
      <c r="L452">
        <v>14595114825</v>
      </c>
      <c r="M452">
        <v>10285000288</v>
      </c>
      <c r="N452">
        <v>9882284395</v>
      </c>
      <c r="O452">
        <v>8836654914</v>
      </c>
      <c r="P452">
        <v>1050</v>
      </c>
      <c r="Q452" t="s">
        <v>1052</v>
      </c>
    </row>
    <row r="453" spans="1:17" x14ac:dyDescent="0.3">
      <c r="A453" t="s">
        <v>47</v>
      </c>
      <c r="B453" t="str">
        <f>"200152"</f>
        <v>200152</v>
      </c>
      <c r="C453" t="s">
        <v>1053</v>
      </c>
      <c r="E453">
        <v>39918642045.592003</v>
      </c>
      <c r="F453">
        <v>41256647280.851501</v>
      </c>
      <c r="G453">
        <v>19187064290.009102</v>
      </c>
      <c r="H453">
        <v>20141245288.2024</v>
      </c>
      <c r="I453">
        <v>17781951651.686001</v>
      </c>
      <c r="J453">
        <v>14195203615.2334</v>
      </c>
      <c r="K453">
        <v>15205549739.1936</v>
      </c>
      <c r="L453">
        <v>15456614846.25</v>
      </c>
      <c r="M453">
        <v>14582801560.9184</v>
      </c>
      <c r="N453">
        <v>14528150571.4284</v>
      </c>
      <c r="O453">
        <v>11960157295.044001</v>
      </c>
      <c r="P453">
        <v>112</v>
      </c>
      <c r="Q453" t="s">
        <v>1054</v>
      </c>
    </row>
    <row r="454" spans="1:17" x14ac:dyDescent="0.3">
      <c r="A454" t="s">
        <v>17</v>
      </c>
      <c r="B454" t="str">
        <f>"600884"</f>
        <v>600884</v>
      </c>
      <c r="C454" t="s">
        <v>1055</v>
      </c>
      <c r="D454" t="s">
        <v>1017</v>
      </c>
      <c r="E454">
        <v>39885454463</v>
      </c>
      <c r="F454">
        <v>34572035765</v>
      </c>
      <c r="G454">
        <v>24400981303</v>
      </c>
      <c r="H454">
        <v>24923336745</v>
      </c>
      <c r="I454">
        <v>24495618496</v>
      </c>
      <c r="J454">
        <v>15409853527</v>
      </c>
      <c r="K454">
        <v>13562504969</v>
      </c>
      <c r="L454">
        <v>9509825862</v>
      </c>
      <c r="M454">
        <v>8530370411</v>
      </c>
      <c r="N454">
        <v>7690388464</v>
      </c>
      <c r="O454">
        <v>6727894012</v>
      </c>
      <c r="P454">
        <v>758</v>
      </c>
      <c r="Q454" t="s">
        <v>1056</v>
      </c>
    </row>
    <row r="455" spans="1:17" x14ac:dyDescent="0.3">
      <c r="A455" t="s">
        <v>47</v>
      </c>
      <c r="B455" t="str">
        <f>"000807"</f>
        <v>000807</v>
      </c>
      <c r="C455" t="s">
        <v>1057</v>
      </c>
      <c r="D455" t="s">
        <v>346</v>
      </c>
      <c r="E455">
        <v>39878585373</v>
      </c>
      <c r="F455">
        <v>41279416483</v>
      </c>
      <c r="G455">
        <v>39853765228</v>
      </c>
      <c r="H455">
        <v>38595856121</v>
      </c>
      <c r="I455">
        <v>36156681283</v>
      </c>
      <c r="J455">
        <v>31605200147</v>
      </c>
      <c r="K455">
        <v>28367886267</v>
      </c>
      <c r="L455">
        <v>24356011003</v>
      </c>
      <c r="M455">
        <v>23422075341</v>
      </c>
      <c r="N455">
        <v>19891061362</v>
      </c>
      <c r="O455">
        <v>16091553962</v>
      </c>
      <c r="P455">
        <v>551</v>
      </c>
      <c r="Q455" t="s">
        <v>1058</v>
      </c>
    </row>
    <row r="456" spans="1:17" x14ac:dyDescent="0.3">
      <c r="A456" t="s">
        <v>17</v>
      </c>
      <c r="B456" t="str">
        <f>"600276"</f>
        <v>600276</v>
      </c>
      <c r="C456" t="s">
        <v>1059</v>
      </c>
      <c r="D456" t="s">
        <v>550</v>
      </c>
      <c r="E456">
        <v>39817549289</v>
      </c>
      <c r="F456">
        <v>36157171063</v>
      </c>
      <c r="G456">
        <v>29166504365</v>
      </c>
      <c r="H456">
        <v>23181490118</v>
      </c>
      <c r="I456">
        <v>18902238600</v>
      </c>
      <c r="J456">
        <v>15302432917</v>
      </c>
      <c r="K456">
        <v>12204627821</v>
      </c>
      <c r="L456">
        <v>9768875000</v>
      </c>
      <c r="M456">
        <v>7683547775</v>
      </c>
      <c r="N456">
        <v>6358170202</v>
      </c>
      <c r="O456">
        <v>5303438085</v>
      </c>
      <c r="P456">
        <v>70860</v>
      </c>
      <c r="Q456" t="s">
        <v>1060</v>
      </c>
    </row>
    <row r="457" spans="1:17" x14ac:dyDescent="0.3">
      <c r="A457" t="s">
        <v>17</v>
      </c>
      <c r="B457" t="str">
        <f>"601106"</f>
        <v>601106</v>
      </c>
      <c r="C457" t="s">
        <v>1061</v>
      </c>
      <c r="D457" t="s">
        <v>607</v>
      </c>
      <c r="E457">
        <v>39762879741</v>
      </c>
      <c r="F457">
        <v>34156752981</v>
      </c>
      <c r="G457">
        <v>34776688343</v>
      </c>
      <c r="H457">
        <v>35490280059</v>
      </c>
      <c r="I457">
        <v>34325008522</v>
      </c>
      <c r="J457">
        <v>30873594339</v>
      </c>
      <c r="K457">
        <v>37616224051</v>
      </c>
      <c r="L457">
        <v>39127297487</v>
      </c>
      <c r="M457">
        <v>35914269596</v>
      </c>
      <c r="N457">
        <v>36099973125</v>
      </c>
      <c r="O457">
        <v>34307866402</v>
      </c>
      <c r="P457">
        <v>175</v>
      </c>
      <c r="Q457" t="s">
        <v>1062</v>
      </c>
    </row>
    <row r="458" spans="1:17" x14ac:dyDescent="0.3">
      <c r="A458" t="s">
        <v>47</v>
      </c>
      <c r="B458" t="str">
        <f>"000666"</f>
        <v>000666</v>
      </c>
      <c r="C458" t="s">
        <v>1063</v>
      </c>
      <c r="D458" t="s">
        <v>1064</v>
      </c>
      <c r="E458">
        <v>39742213322</v>
      </c>
      <c r="F458">
        <v>38127848310</v>
      </c>
      <c r="G458">
        <v>35719404774</v>
      </c>
      <c r="H458">
        <v>37028755485</v>
      </c>
      <c r="I458">
        <v>37385412520</v>
      </c>
      <c r="J458">
        <v>34638309232</v>
      </c>
      <c r="K458">
        <v>27320999189</v>
      </c>
      <c r="L458">
        <v>22310220725</v>
      </c>
      <c r="M458">
        <v>19474489523</v>
      </c>
      <c r="N458">
        <v>16993519931</v>
      </c>
      <c r="O458">
        <v>13422744944</v>
      </c>
      <c r="P458">
        <v>186</v>
      </c>
      <c r="Q458" t="s">
        <v>1065</v>
      </c>
    </row>
    <row r="459" spans="1:17" x14ac:dyDescent="0.3">
      <c r="A459" t="s">
        <v>17</v>
      </c>
      <c r="B459" t="str">
        <f>"601021"</f>
        <v>601021</v>
      </c>
      <c r="C459" t="s">
        <v>1066</v>
      </c>
      <c r="D459" t="s">
        <v>243</v>
      </c>
      <c r="E459">
        <v>39027291213</v>
      </c>
      <c r="F459">
        <v>38006464516</v>
      </c>
      <c r="G459">
        <v>30043758366</v>
      </c>
      <c r="H459">
        <v>27374802362</v>
      </c>
      <c r="I459">
        <v>24535514320</v>
      </c>
      <c r="J459">
        <v>19021018413</v>
      </c>
      <c r="K459">
        <v>16485708867</v>
      </c>
      <c r="L459">
        <v>12309975100</v>
      </c>
      <c r="P459">
        <v>1019</v>
      </c>
      <c r="Q459" t="s">
        <v>1067</v>
      </c>
    </row>
    <row r="460" spans="1:17" x14ac:dyDescent="0.3">
      <c r="A460" t="s">
        <v>47</v>
      </c>
      <c r="B460" t="str">
        <f>"002340"</f>
        <v>002340</v>
      </c>
      <c r="C460" t="s">
        <v>1068</v>
      </c>
      <c r="D460" t="s">
        <v>1017</v>
      </c>
      <c r="E460">
        <v>38920203106</v>
      </c>
      <c r="F460">
        <v>31491017821</v>
      </c>
      <c r="G460">
        <v>27856628243</v>
      </c>
      <c r="H460">
        <v>26214757868</v>
      </c>
      <c r="I460">
        <v>22798920391</v>
      </c>
      <c r="J460">
        <v>18986094650</v>
      </c>
      <c r="K460">
        <v>16937597620</v>
      </c>
      <c r="L460">
        <v>11776352210</v>
      </c>
      <c r="M460">
        <v>7861894171</v>
      </c>
      <c r="N460">
        <v>6562586353</v>
      </c>
      <c r="O460">
        <v>3981416481</v>
      </c>
      <c r="P460">
        <v>1302</v>
      </c>
      <c r="Q460" t="s">
        <v>1069</v>
      </c>
    </row>
    <row r="461" spans="1:17" x14ac:dyDescent="0.3">
      <c r="A461" t="s">
        <v>17</v>
      </c>
      <c r="B461" t="str">
        <f>"601179"</f>
        <v>601179</v>
      </c>
      <c r="C461" t="s">
        <v>1070</v>
      </c>
      <c r="D461" t="s">
        <v>459</v>
      </c>
      <c r="E461">
        <v>38863883697</v>
      </c>
      <c r="F461">
        <v>35721334004</v>
      </c>
      <c r="G461">
        <v>35744183249</v>
      </c>
      <c r="H461">
        <v>34506672629</v>
      </c>
      <c r="I461">
        <v>32395696345</v>
      </c>
      <c r="J461">
        <v>33907259301</v>
      </c>
      <c r="K461">
        <v>31993949818</v>
      </c>
      <c r="L461">
        <v>31133188717</v>
      </c>
      <c r="M461">
        <v>32452320375</v>
      </c>
      <c r="N461">
        <v>28841216448</v>
      </c>
      <c r="O461">
        <v>28691747713</v>
      </c>
      <c r="P461">
        <v>329</v>
      </c>
      <c r="Q461" t="s">
        <v>1071</v>
      </c>
    </row>
    <row r="462" spans="1:17" x14ac:dyDescent="0.3">
      <c r="A462" t="s">
        <v>17</v>
      </c>
      <c r="B462" t="str">
        <f>"600859"</f>
        <v>600859</v>
      </c>
      <c r="C462" t="s">
        <v>1072</v>
      </c>
      <c r="D462" t="s">
        <v>1073</v>
      </c>
      <c r="E462">
        <v>38753231979</v>
      </c>
      <c r="F462">
        <v>28043690310</v>
      </c>
      <c r="G462">
        <v>21385362925</v>
      </c>
      <c r="H462">
        <v>21539424631</v>
      </c>
      <c r="I462">
        <v>19843430602</v>
      </c>
      <c r="J462">
        <v>17744535888</v>
      </c>
      <c r="K462">
        <v>13779453404</v>
      </c>
      <c r="L462">
        <v>13575933240</v>
      </c>
      <c r="M462">
        <v>13342917944</v>
      </c>
      <c r="N462">
        <v>14484449924</v>
      </c>
      <c r="O462">
        <v>10414391423</v>
      </c>
      <c r="P462">
        <v>553</v>
      </c>
      <c r="Q462" t="s">
        <v>1074</v>
      </c>
    </row>
    <row r="463" spans="1:17" x14ac:dyDescent="0.3">
      <c r="A463" t="s">
        <v>47</v>
      </c>
      <c r="B463" t="str">
        <f>"002387"</f>
        <v>002387</v>
      </c>
      <c r="C463" t="s">
        <v>1075</v>
      </c>
      <c r="D463" t="s">
        <v>181</v>
      </c>
      <c r="E463">
        <v>38709197973</v>
      </c>
      <c r="F463">
        <v>37780139188</v>
      </c>
      <c r="G463">
        <v>36796961675</v>
      </c>
      <c r="H463">
        <v>35956925604</v>
      </c>
      <c r="I463">
        <v>41521427763</v>
      </c>
      <c r="J463">
        <v>1339852923</v>
      </c>
      <c r="K463">
        <v>995699044</v>
      </c>
      <c r="L463">
        <v>2197092025</v>
      </c>
      <c r="M463">
        <v>1802305712</v>
      </c>
      <c r="N463">
        <v>1861123275</v>
      </c>
      <c r="O463">
        <v>1431691047</v>
      </c>
      <c r="P463">
        <v>274</v>
      </c>
      <c r="Q463" t="s">
        <v>1076</v>
      </c>
    </row>
    <row r="464" spans="1:17" x14ac:dyDescent="0.3">
      <c r="A464" t="s">
        <v>47</v>
      </c>
      <c r="B464" t="str">
        <f>"000895"</f>
        <v>000895</v>
      </c>
      <c r="C464" t="s">
        <v>1077</v>
      </c>
      <c r="D464" t="s">
        <v>1078</v>
      </c>
      <c r="E464">
        <v>38658274809</v>
      </c>
      <c r="F464">
        <v>37157150246</v>
      </c>
      <c r="G464">
        <v>31215956316</v>
      </c>
      <c r="H464">
        <v>24123542965</v>
      </c>
      <c r="I464">
        <v>23488935007</v>
      </c>
      <c r="J464">
        <v>22830241995</v>
      </c>
      <c r="K464">
        <v>23304917639</v>
      </c>
      <c r="L464">
        <v>22327325379</v>
      </c>
      <c r="M464">
        <v>20199624014</v>
      </c>
      <c r="N464">
        <v>17773936435</v>
      </c>
      <c r="O464">
        <v>6845211122</v>
      </c>
      <c r="P464">
        <v>37259</v>
      </c>
      <c r="Q464" t="s">
        <v>1079</v>
      </c>
    </row>
    <row r="465" spans="1:17" x14ac:dyDescent="0.3">
      <c r="A465" t="s">
        <v>47</v>
      </c>
      <c r="B465" t="str">
        <f>"000537"</f>
        <v>000537</v>
      </c>
      <c r="C465" t="s">
        <v>1080</v>
      </c>
      <c r="D465" t="s">
        <v>76</v>
      </c>
      <c r="E465">
        <v>38425095875</v>
      </c>
      <c r="F465">
        <v>74625439425</v>
      </c>
      <c r="G465">
        <v>67864016964</v>
      </c>
      <c r="H465">
        <v>76635279236</v>
      </c>
      <c r="I465">
        <v>73290210809</v>
      </c>
      <c r="J465">
        <v>19131024810</v>
      </c>
      <c r="K465">
        <v>10175026707</v>
      </c>
      <c r="L465">
        <v>4822835440</v>
      </c>
      <c r="M465">
        <v>4198311361</v>
      </c>
      <c r="N465">
        <v>3467860019</v>
      </c>
      <c r="O465">
        <v>3008906638</v>
      </c>
      <c r="P465">
        <v>604</v>
      </c>
      <c r="Q465" t="s">
        <v>1081</v>
      </c>
    </row>
    <row r="466" spans="1:17" x14ac:dyDescent="0.3">
      <c r="A466" t="s">
        <v>47</v>
      </c>
      <c r="B466" t="str">
        <f>"300760"</f>
        <v>300760</v>
      </c>
      <c r="C466" t="s">
        <v>1082</v>
      </c>
      <c r="D466" t="s">
        <v>1083</v>
      </c>
      <c r="E466">
        <v>38336461111</v>
      </c>
      <c r="F466">
        <v>35040358937</v>
      </c>
      <c r="G466">
        <v>27715233480</v>
      </c>
      <c r="H466">
        <v>22148350182</v>
      </c>
      <c r="I466">
        <v>14508145374</v>
      </c>
      <c r="P466">
        <v>4593</v>
      </c>
      <c r="Q466" t="s">
        <v>1084</v>
      </c>
    </row>
    <row r="467" spans="1:17" x14ac:dyDescent="0.3">
      <c r="A467" t="s">
        <v>17</v>
      </c>
      <c r="B467" t="str">
        <f>"600621"</f>
        <v>600621</v>
      </c>
      <c r="C467" t="s">
        <v>1085</v>
      </c>
      <c r="D467" t="s">
        <v>99</v>
      </c>
      <c r="E467">
        <v>38092367748</v>
      </c>
      <c r="F467">
        <v>28235829891</v>
      </c>
      <c r="G467">
        <v>26590630850</v>
      </c>
      <c r="H467">
        <v>24724988906</v>
      </c>
      <c r="I467">
        <v>18299371701</v>
      </c>
      <c r="J467">
        <v>4316814402</v>
      </c>
      <c r="K467">
        <v>3724825139</v>
      </c>
      <c r="L467">
        <v>3288843151</v>
      </c>
      <c r="M467">
        <v>3356059866</v>
      </c>
      <c r="N467">
        <v>3204785063</v>
      </c>
      <c r="O467">
        <v>2327254606</v>
      </c>
      <c r="P467">
        <v>594</v>
      </c>
      <c r="Q467" t="s">
        <v>1086</v>
      </c>
    </row>
    <row r="468" spans="1:17" x14ac:dyDescent="0.3">
      <c r="A468" t="s">
        <v>47</v>
      </c>
      <c r="B468" t="str">
        <f>"200596"</f>
        <v>200596</v>
      </c>
      <c r="C468" t="s">
        <v>1087</v>
      </c>
      <c r="E468">
        <v>38034987675.984001</v>
      </c>
      <c r="F468">
        <v>21520531186.712502</v>
      </c>
      <c r="G468">
        <v>16822787739.660299</v>
      </c>
      <c r="H468">
        <v>15969826033.559999</v>
      </c>
      <c r="I468">
        <v>14384984556.8955</v>
      </c>
      <c r="J468">
        <v>11629344264.745001</v>
      </c>
      <c r="K468">
        <v>10043912818.662001</v>
      </c>
      <c r="L468">
        <v>8745811010</v>
      </c>
      <c r="M468">
        <v>7653601586.7368002</v>
      </c>
      <c r="N468">
        <v>7095094695.6851997</v>
      </c>
      <c r="O468">
        <v>5319181123.8299999</v>
      </c>
      <c r="P468">
        <v>745</v>
      </c>
      <c r="Q468" t="s">
        <v>1088</v>
      </c>
    </row>
    <row r="469" spans="1:17" x14ac:dyDescent="0.3">
      <c r="A469" t="s">
        <v>47</v>
      </c>
      <c r="B469" t="str">
        <f>"000652"</f>
        <v>000652</v>
      </c>
      <c r="C469" t="s">
        <v>1089</v>
      </c>
      <c r="D469" t="s">
        <v>810</v>
      </c>
      <c r="E469">
        <v>37737072235</v>
      </c>
      <c r="F469">
        <v>34604715533</v>
      </c>
      <c r="G469">
        <v>36040374150</v>
      </c>
      <c r="H469">
        <v>36001772649</v>
      </c>
      <c r="I469">
        <v>34595879667</v>
      </c>
      <c r="J469">
        <v>32573711816</v>
      </c>
      <c r="K469">
        <v>29696076067</v>
      </c>
      <c r="L469">
        <v>24174728001</v>
      </c>
      <c r="M469">
        <v>20888156208</v>
      </c>
      <c r="N469">
        <v>18554810025</v>
      </c>
      <c r="O469">
        <v>15067930546</v>
      </c>
      <c r="P469">
        <v>196</v>
      </c>
      <c r="Q469" t="s">
        <v>1090</v>
      </c>
    </row>
    <row r="470" spans="1:17" x14ac:dyDescent="0.3">
      <c r="A470" t="s">
        <v>17</v>
      </c>
      <c r="B470" t="str">
        <f>"600835"</f>
        <v>600835</v>
      </c>
      <c r="C470" t="s">
        <v>1091</v>
      </c>
      <c r="D470" t="s">
        <v>1092</v>
      </c>
      <c r="E470">
        <v>37612014978</v>
      </c>
      <c r="F470">
        <v>36540802779</v>
      </c>
      <c r="G470">
        <v>33874776445</v>
      </c>
      <c r="H470">
        <v>33589773167</v>
      </c>
      <c r="I470">
        <v>33759891732</v>
      </c>
      <c r="J470">
        <v>32796133093</v>
      </c>
      <c r="K470">
        <v>30448597828</v>
      </c>
      <c r="L470">
        <v>29973481838</v>
      </c>
      <c r="M470">
        <v>28118184340</v>
      </c>
      <c r="N470">
        <v>24586762638</v>
      </c>
      <c r="O470">
        <v>18228936756</v>
      </c>
      <c r="P470">
        <v>661</v>
      </c>
      <c r="Q470" t="s">
        <v>1093</v>
      </c>
    </row>
    <row r="471" spans="1:17" x14ac:dyDescent="0.3">
      <c r="A471" t="s">
        <v>47</v>
      </c>
      <c r="B471" t="str">
        <f>"000600"</f>
        <v>000600</v>
      </c>
      <c r="C471" t="s">
        <v>1094</v>
      </c>
      <c r="D471" t="s">
        <v>171</v>
      </c>
      <c r="E471">
        <v>37583644167</v>
      </c>
      <c r="F471">
        <v>37394137051</v>
      </c>
      <c r="G471">
        <v>32931480117</v>
      </c>
      <c r="H471">
        <v>31850046578</v>
      </c>
      <c r="I471">
        <v>31555148840</v>
      </c>
      <c r="J471">
        <v>29243706986</v>
      </c>
      <c r="K471">
        <v>26351014896</v>
      </c>
      <c r="L471">
        <v>24506799866</v>
      </c>
      <c r="M471">
        <v>23195613947</v>
      </c>
      <c r="N471">
        <v>17448010413</v>
      </c>
      <c r="O471">
        <v>15659746413</v>
      </c>
      <c r="P471">
        <v>312</v>
      </c>
      <c r="Q471" t="s">
        <v>1095</v>
      </c>
    </row>
    <row r="472" spans="1:17" x14ac:dyDescent="0.3">
      <c r="A472" t="s">
        <v>17</v>
      </c>
      <c r="B472" t="str">
        <f>"600549"</f>
        <v>600549</v>
      </c>
      <c r="C472" t="s">
        <v>1096</v>
      </c>
      <c r="D472" t="s">
        <v>1097</v>
      </c>
      <c r="E472">
        <v>37168907730</v>
      </c>
      <c r="F472">
        <v>27993314564</v>
      </c>
      <c r="G472">
        <v>23723632562</v>
      </c>
      <c r="H472">
        <v>23606531109</v>
      </c>
      <c r="I472">
        <v>20406558685</v>
      </c>
      <c r="J472">
        <v>16235858385</v>
      </c>
      <c r="K472">
        <v>16349381236</v>
      </c>
      <c r="L472">
        <v>16486023306</v>
      </c>
      <c r="M472">
        <v>15544630497</v>
      </c>
      <c r="N472">
        <v>14139218939</v>
      </c>
      <c r="O472">
        <v>12887616853</v>
      </c>
      <c r="P472">
        <v>446</v>
      </c>
      <c r="Q472" t="s">
        <v>1098</v>
      </c>
    </row>
    <row r="473" spans="1:17" x14ac:dyDescent="0.3">
      <c r="A473" t="s">
        <v>17</v>
      </c>
      <c r="B473" t="str">
        <f>"601717"</f>
        <v>601717</v>
      </c>
      <c r="C473" t="s">
        <v>1099</v>
      </c>
      <c r="D473" t="s">
        <v>607</v>
      </c>
      <c r="E473">
        <v>37076721530</v>
      </c>
      <c r="F473">
        <v>35595701654</v>
      </c>
      <c r="G473">
        <v>28947411178</v>
      </c>
      <c r="H473">
        <v>28230225063</v>
      </c>
      <c r="I473">
        <v>20221650630</v>
      </c>
      <c r="J473">
        <v>14052826288</v>
      </c>
      <c r="K473">
        <v>11987027529</v>
      </c>
      <c r="L473">
        <v>12234201599</v>
      </c>
      <c r="M473">
        <v>12958269485</v>
      </c>
      <c r="N473">
        <v>13224402773</v>
      </c>
      <c r="O473">
        <v>10280925774</v>
      </c>
      <c r="P473">
        <v>318</v>
      </c>
      <c r="Q473" t="s">
        <v>1100</v>
      </c>
    </row>
    <row r="474" spans="1:17" x14ac:dyDescent="0.3">
      <c r="A474" t="s">
        <v>17</v>
      </c>
      <c r="B474" t="str">
        <f>"601966"</f>
        <v>601966</v>
      </c>
      <c r="C474" t="s">
        <v>1101</v>
      </c>
      <c r="D474" t="s">
        <v>1102</v>
      </c>
      <c r="E474">
        <v>37061505109</v>
      </c>
      <c r="F474">
        <v>30688355763</v>
      </c>
      <c r="G474">
        <v>27700670790</v>
      </c>
      <c r="H474">
        <v>26519082203</v>
      </c>
      <c r="I474">
        <v>21374907665</v>
      </c>
      <c r="J474">
        <v>19149289751</v>
      </c>
      <c r="K474">
        <v>16394270100</v>
      </c>
      <c r="P474">
        <v>927</v>
      </c>
      <c r="Q474" t="s">
        <v>1103</v>
      </c>
    </row>
    <row r="475" spans="1:17" x14ac:dyDescent="0.3">
      <c r="A475" t="s">
        <v>47</v>
      </c>
      <c r="B475" t="str">
        <f>"000078"</f>
        <v>000078</v>
      </c>
      <c r="C475" t="s">
        <v>1104</v>
      </c>
      <c r="D475" t="s">
        <v>362</v>
      </c>
      <c r="E475">
        <v>36942029946</v>
      </c>
      <c r="F475">
        <v>41998395707</v>
      </c>
      <c r="G475">
        <v>43683252763</v>
      </c>
      <c r="H475">
        <v>39273306438</v>
      </c>
      <c r="I475">
        <v>33631868511</v>
      </c>
      <c r="J475">
        <v>17474257077</v>
      </c>
      <c r="K475">
        <v>13513609447</v>
      </c>
      <c r="L475">
        <v>10944882438</v>
      </c>
      <c r="M475">
        <v>8334910225</v>
      </c>
      <c r="N475">
        <v>6976273464</v>
      </c>
      <c r="O475">
        <v>5078776130</v>
      </c>
      <c r="P475">
        <v>291</v>
      </c>
      <c r="Q475" t="s">
        <v>1105</v>
      </c>
    </row>
    <row r="476" spans="1:17" x14ac:dyDescent="0.3">
      <c r="A476" t="s">
        <v>47</v>
      </c>
      <c r="B476" t="str">
        <f>"000951"</f>
        <v>000951</v>
      </c>
      <c r="C476" t="s">
        <v>1106</v>
      </c>
      <c r="D476" t="s">
        <v>684</v>
      </c>
      <c r="E476">
        <v>36929949405</v>
      </c>
      <c r="F476">
        <v>45412221900</v>
      </c>
      <c r="G476">
        <v>25996974052</v>
      </c>
      <c r="H476">
        <v>25132048792</v>
      </c>
      <c r="I476">
        <v>28359271702</v>
      </c>
      <c r="J476">
        <v>24609840116</v>
      </c>
      <c r="K476">
        <v>17259678275</v>
      </c>
      <c r="L476">
        <v>16854706535</v>
      </c>
      <c r="M476">
        <v>16540478576</v>
      </c>
      <c r="N476">
        <v>14699733774</v>
      </c>
      <c r="O476">
        <v>19055651881</v>
      </c>
      <c r="P476">
        <v>856</v>
      </c>
      <c r="Q476" t="s">
        <v>1107</v>
      </c>
    </row>
    <row r="477" spans="1:17" x14ac:dyDescent="0.3">
      <c r="A477" t="s">
        <v>17</v>
      </c>
      <c r="B477" t="str">
        <f>"600584"</f>
        <v>600584</v>
      </c>
      <c r="C477" t="s">
        <v>1108</v>
      </c>
      <c r="D477" t="s">
        <v>1109</v>
      </c>
      <c r="E477">
        <v>36887449670</v>
      </c>
      <c r="F477">
        <v>32030513819</v>
      </c>
      <c r="G477">
        <v>32801469804</v>
      </c>
      <c r="H477">
        <v>31671035235</v>
      </c>
      <c r="I477">
        <v>29795410770</v>
      </c>
      <c r="J477">
        <v>29332407353</v>
      </c>
      <c r="K477">
        <v>25998769097</v>
      </c>
      <c r="L477">
        <v>11071406528</v>
      </c>
      <c r="M477">
        <v>8079080951</v>
      </c>
      <c r="N477">
        <v>7156342681</v>
      </c>
      <c r="O477">
        <v>6137731927</v>
      </c>
      <c r="P477">
        <v>1664</v>
      </c>
      <c r="Q477" t="s">
        <v>1110</v>
      </c>
    </row>
    <row r="478" spans="1:17" x14ac:dyDescent="0.3">
      <c r="A478" t="s">
        <v>47</v>
      </c>
      <c r="B478" t="str">
        <f>"002001"</f>
        <v>002001</v>
      </c>
      <c r="C478" t="s">
        <v>1111</v>
      </c>
      <c r="D478" t="s">
        <v>1112</v>
      </c>
      <c r="E478">
        <v>36866945527</v>
      </c>
      <c r="F478">
        <v>33384510853</v>
      </c>
      <c r="G478">
        <v>29061644516</v>
      </c>
      <c r="H478">
        <v>23469961657</v>
      </c>
      <c r="I478">
        <v>19576796996</v>
      </c>
      <c r="J478">
        <v>11923204428</v>
      </c>
      <c r="K478">
        <v>9678859029</v>
      </c>
      <c r="L478">
        <v>9179666733</v>
      </c>
      <c r="M478">
        <v>8690024171</v>
      </c>
      <c r="N478">
        <v>8048447043</v>
      </c>
      <c r="O478">
        <v>7727366404</v>
      </c>
      <c r="P478">
        <v>1984</v>
      </c>
      <c r="Q478" t="s">
        <v>1113</v>
      </c>
    </row>
    <row r="479" spans="1:17" x14ac:dyDescent="0.3">
      <c r="A479" t="s">
        <v>47</v>
      </c>
      <c r="B479" t="str">
        <f>"002384"</f>
        <v>002384</v>
      </c>
      <c r="C479" t="s">
        <v>1114</v>
      </c>
      <c r="D479" t="s">
        <v>1115</v>
      </c>
      <c r="E479">
        <v>36822540484</v>
      </c>
      <c r="F479">
        <v>35092187751</v>
      </c>
      <c r="G479">
        <v>31864421054</v>
      </c>
      <c r="H479">
        <v>28931613348</v>
      </c>
      <c r="I479">
        <v>23651413366</v>
      </c>
      <c r="J479">
        <v>15799924888</v>
      </c>
      <c r="K479">
        <v>6988119297</v>
      </c>
      <c r="L479">
        <v>5313726455</v>
      </c>
      <c r="M479">
        <v>3712462288</v>
      </c>
      <c r="N479">
        <v>2690963917</v>
      </c>
      <c r="O479">
        <v>2075588449</v>
      </c>
      <c r="P479">
        <v>1070</v>
      </c>
      <c r="Q479" t="s">
        <v>1116</v>
      </c>
    </row>
    <row r="480" spans="1:17" x14ac:dyDescent="0.3">
      <c r="A480" t="s">
        <v>17</v>
      </c>
      <c r="B480" t="str">
        <f>"601333"</f>
        <v>601333</v>
      </c>
      <c r="C480" t="s">
        <v>1117</v>
      </c>
      <c r="D480" t="s">
        <v>259</v>
      </c>
      <c r="E480">
        <v>36728169181</v>
      </c>
      <c r="F480">
        <v>36867346357</v>
      </c>
      <c r="G480">
        <v>36257764194</v>
      </c>
      <c r="H480">
        <v>36360548077</v>
      </c>
      <c r="I480">
        <v>33999738254</v>
      </c>
      <c r="J480">
        <v>32567620906</v>
      </c>
      <c r="K480">
        <v>31496953086</v>
      </c>
      <c r="L480">
        <v>30363308957</v>
      </c>
      <c r="M480">
        <v>32907595153</v>
      </c>
      <c r="N480">
        <v>32814389568</v>
      </c>
      <c r="O480">
        <v>32260269779</v>
      </c>
      <c r="P480">
        <v>318</v>
      </c>
      <c r="Q480" t="s">
        <v>1118</v>
      </c>
    </row>
    <row r="481" spans="1:17" x14ac:dyDescent="0.3">
      <c r="A481" t="s">
        <v>17</v>
      </c>
      <c r="B481" t="str">
        <f>"600510"</f>
        <v>600510</v>
      </c>
      <c r="C481" t="s">
        <v>1119</v>
      </c>
      <c r="D481" t="s">
        <v>76</v>
      </c>
      <c r="E481">
        <v>36522275953</v>
      </c>
      <c r="F481">
        <v>33879109199</v>
      </c>
      <c r="G481">
        <v>30725526076</v>
      </c>
      <c r="H481">
        <v>28501272655</v>
      </c>
      <c r="I481">
        <v>22491149801</v>
      </c>
      <c r="J481">
        <v>19348668014</v>
      </c>
      <c r="K481">
        <v>18032257656</v>
      </c>
      <c r="L481">
        <v>17642327153</v>
      </c>
      <c r="M481">
        <v>14564618659</v>
      </c>
      <c r="N481">
        <v>12043300716</v>
      </c>
      <c r="O481">
        <v>10940789161</v>
      </c>
      <c r="P481">
        <v>240</v>
      </c>
      <c r="Q481" t="s">
        <v>1120</v>
      </c>
    </row>
    <row r="482" spans="1:17" x14ac:dyDescent="0.3">
      <c r="A482" t="s">
        <v>17</v>
      </c>
      <c r="B482" t="str">
        <f>"601216"</f>
        <v>601216</v>
      </c>
      <c r="C482" t="s">
        <v>1121</v>
      </c>
      <c r="D482" t="s">
        <v>625</v>
      </c>
      <c r="E482">
        <v>36480170562</v>
      </c>
      <c r="F482">
        <v>36368559450</v>
      </c>
      <c r="G482">
        <v>40188094344</v>
      </c>
      <c r="H482">
        <v>27510553794</v>
      </c>
      <c r="I482">
        <v>24681160314</v>
      </c>
      <c r="J482">
        <v>19750624371</v>
      </c>
      <c r="K482">
        <v>20297439889</v>
      </c>
      <c r="L482">
        <v>12526663304</v>
      </c>
      <c r="M482">
        <v>10716779834</v>
      </c>
      <c r="N482">
        <v>7918890791</v>
      </c>
      <c r="O482">
        <v>7255382501</v>
      </c>
      <c r="P482">
        <v>958</v>
      </c>
      <c r="Q482" t="s">
        <v>1122</v>
      </c>
    </row>
    <row r="483" spans="1:17" x14ac:dyDescent="0.3">
      <c r="A483" t="s">
        <v>17</v>
      </c>
      <c r="B483" t="str">
        <f>"600895"</f>
        <v>600895</v>
      </c>
      <c r="C483" t="s">
        <v>1123</v>
      </c>
      <c r="D483" t="s">
        <v>190</v>
      </c>
      <c r="E483">
        <v>36446339223</v>
      </c>
      <c r="F483">
        <v>32682792499</v>
      </c>
      <c r="G483">
        <v>26884712134</v>
      </c>
      <c r="H483">
        <v>19000335133</v>
      </c>
      <c r="I483">
        <v>19090804704</v>
      </c>
      <c r="J483">
        <v>19179027325</v>
      </c>
      <c r="K483">
        <v>17846105625</v>
      </c>
      <c r="L483">
        <v>17956828405</v>
      </c>
      <c r="M483">
        <v>18270408186</v>
      </c>
      <c r="N483">
        <v>18317440791</v>
      </c>
      <c r="O483">
        <v>17789487417</v>
      </c>
      <c r="P483">
        <v>336</v>
      </c>
      <c r="Q483" t="s">
        <v>1124</v>
      </c>
    </row>
    <row r="484" spans="1:17" x14ac:dyDescent="0.3">
      <c r="A484" t="s">
        <v>47</v>
      </c>
      <c r="B484" t="str">
        <f>"002600"</f>
        <v>002600</v>
      </c>
      <c r="C484" t="s">
        <v>1125</v>
      </c>
      <c r="D484" t="s">
        <v>283</v>
      </c>
      <c r="E484">
        <v>36408909358</v>
      </c>
      <c r="F484">
        <v>31316429927</v>
      </c>
      <c r="G484">
        <v>26757301652</v>
      </c>
      <c r="H484">
        <v>21804395441</v>
      </c>
      <c r="I484">
        <v>23695519354</v>
      </c>
      <c r="J484">
        <v>13004961526</v>
      </c>
      <c r="K484">
        <v>6285268742</v>
      </c>
      <c r="L484">
        <v>2691141721</v>
      </c>
      <c r="M484">
        <v>2227203596</v>
      </c>
      <c r="N484">
        <v>1791925437</v>
      </c>
      <c r="O484">
        <v>1728958126</v>
      </c>
      <c r="P484">
        <v>877</v>
      </c>
      <c r="Q484" t="s">
        <v>1126</v>
      </c>
    </row>
    <row r="485" spans="1:17" x14ac:dyDescent="0.3">
      <c r="A485" t="s">
        <v>17</v>
      </c>
      <c r="B485" t="str">
        <f>"600269"</f>
        <v>600269</v>
      </c>
      <c r="C485" t="s">
        <v>1127</v>
      </c>
      <c r="D485" t="s">
        <v>471</v>
      </c>
      <c r="E485">
        <v>36138562810</v>
      </c>
      <c r="F485">
        <v>35250416505</v>
      </c>
      <c r="G485">
        <v>34218109387</v>
      </c>
      <c r="H485">
        <v>34118744573</v>
      </c>
      <c r="I485">
        <v>33248560181</v>
      </c>
      <c r="J485">
        <v>31625396796</v>
      </c>
      <c r="K485">
        <v>31485283380</v>
      </c>
      <c r="L485">
        <v>31231407445</v>
      </c>
      <c r="M485">
        <v>29118049162</v>
      </c>
      <c r="N485">
        <v>26596302153</v>
      </c>
      <c r="O485">
        <v>22870120704</v>
      </c>
      <c r="P485">
        <v>405</v>
      </c>
      <c r="Q485" t="s">
        <v>1128</v>
      </c>
    </row>
    <row r="486" spans="1:17" x14ac:dyDescent="0.3">
      <c r="A486" t="s">
        <v>17</v>
      </c>
      <c r="B486" t="str">
        <f>"600141"</f>
        <v>600141</v>
      </c>
      <c r="C486" t="s">
        <v>1129</v>
      </c>
      <c r="D486" t="s">
        <v>760</v>
      </c>
      <c r="E486">
        <v>35879299213</v>
      </c>
      <c r="F486">
        <v>29489811553</v>
      </c>
      <c r="G486">
        <v>29647446296</v>
      </c>
      <c r="H486">
        <v>27017752277</v>
      </c>
      <c r="I486">
        <v>24556960709</v>
      </c>
      <c r="J486">
        <v>21973742995</v>
      </c>
      <c r="K486">
        <v>22664524317</v>
      </c>
      <c r="L486">
        <v>20208949233</v>
      </c>
      <c r="M486">
        <v>16794582730</v>
      </c>
      <c r="N486">
        <v>14482880569</v>
      </c>
      <c r="O486">
        <v>9949071636</v>
      </c>
      <c r="P486">
        <v>426</v>
      </c>
      <c r="Q486" t="s">
        <v>1130</v>
      </c>
    </row>
    <row r="487" spans="1:17" x14ac:dyDescent="0.3">
      <c r="A487" t="s">
        <v>17</v>
      </c>
      <c r="B487" t="str">
        <f>"600864"</f>
        <v>600864</v>
      </c>
      <c r="C487" t="s">
        <v>1131</v>
      </c>
      <c r="D487" t="s">
        <v>99</v>
      </c>
      <c r="E487">
        <v>35857430644</v>
      </c>
      <c r="F487">
        <v>32331679517</v>
      </c>
      <c r="G487">
        <v>42719871301</v>
      </c>
      <c r="H487">
        <v>42610633258</v>
      </c>
      <c r="I487">
        <v>43528485186</v>
      </c>
      <c r="J487">
        <v>34553216069</v>
      </c>
      <c r="K487">
        <v>5579047322</v>
      </c>
      <c r="L487">
        <v>7152056782</v>
      </c>
      <c r="M487">
        <v>4846894256</v>
      </c>
      <c r="N487">
        <v>5901616101</v>
      </c>
      <c r="O487">
        <v>3973919996</v>
      </c>
      <c r="P487">
        <v>412</v>
      </c>
      <c r="Q487" t="s">
        <v>1132</v>
      </c>
    </row>
    <row r="488" spans="1:17" x14ac:dyDescent="0.3">
      <c r="A488" t="s">
        <v>17</v>
      </c>
      <c r="B488" t="str">
        <f>"600498"</f>
        <v>600498</v>
      </c>
      <c r="C488" t="s">
        <v>1133</v>
      </c>
      <c r="D488" t="s">
        <v>367</v>
      </c>
      <c r="E488">
        <v>35838849436</v>
      </c>
      <c r="F488">
        <v>35449663656</v>
      </c>
      <c r="G488">
        <v>32618954628</v>
      </c>
      <c r="H488">
        <v>30773139847</v>
      </c>
      <c r="I488">
        <v>27901849428</v>
      </c>
      <c r="J488">
        <v>24998725954</v>
      </c>
      <c r="K488">
        <v>20297508069</v>
      </c>
      <c r="L488">
        <v>16198439733</v>
      </c>
      <c r="M488">
        <v>14073318165</v>
      </c>
      <c r="N488">
        <v>12213509966</v>
      </c>
      <c r="O488">
        <v>9688825392</v>
      </c>
      <c r="P488">
        <v>853</v>
      </c>
      <c r="Q488" t="s">
        <v>1134</v>
      </c>
    </row>
    <row r="489" spans="1:17" x14ac:dyDescent="0.3">
      <c r="A489" t="s">
        <v>17</v>
      </c>
      <c r="B489" t="str">
        <f>"600079"</f>
        <v>600079</v>
      </c>
      <c r="C489" t="s">
        <v>1135</v>
      </c>
      <c r="D489" t="s">
        <v>550</v>
      </c>
      <c r="E489">
        <v>35763693756</v>
      </c>
      <c r="F489">
        <v>32372415670</v>
      </c>
      <c r="G489">
        <v>38137999646</v>
      </c>
      <c r="H489">
        <v>35886381802</v>
      </c>
      <c r="I489">
        <v>36740439568</v>
      </c>
      <c r="J489">
        <v>27685935146</v>
      </c>
      <c r="K489">
        <v>20100070711</v>
      </c>
      <c r="L489">
        <v>15951714382</v>
      </c>
      <c r="M489">
        <v>10076909264</v>
      </c>
      <c r="N489">
        <v>8334332671</v>
      </c>
      <c r="O489">
        <v>6304763311</v>
      </c>
      <c r="P489">
        <v>941</v>
      </c>
      <c r="Q489" t="s">
        <v>1136</v>
      </c>
    </row>
    <row r="490" spans="1:17" x14ac:dyDescent="0.3">
      <c r="A490" t="s">
        <v>47</v>
      </c>
      <c r="B490" t="str">
        <f>"002120"</f>
        <v>002120</v>
      </c>
      <c r="C490" t="s">
        <v>1137</v>
      </c>
      <c r="D490" t="s">
        <v>339</v>
      </c>
      <c r="E490">
        <v>35657932490</v>
      </c>
      <c r="F490">
        <v>29614292620</v>
      </c>
      <c r="G490">
        <v>22922952549</v>
      </c>
      <c r="H490">
        <v>19182395517</v>
      </c>
      <c r="I490">
        <v>9319920205</v>
      </c>
      <c r="J490">
        <v>6583508503</v>
      </c>
      <c r="K490">
        <v>956305085</v>
      </c>
      <c r="L490">
        <v>779372252</v>
      </c>
      <c r="M490">
        <v>861611794</v>
      </c>
      <c r="N490">
        <v>836515209</v>
      </c>
      <c r="O490">
        <v>1036035226</v>
      </c>
      <c r="P490">
        <v>1163</v>
      </c>
      <c r="Q490" t="s">
        <v>1138</v>
      </c>
    </row>
    <row r="491" spans="1:17" x14ac:dyDescent="0.3">
      <c r="A491" t="s">
        <v>17</v>
      </c>
      <c r="B491" t="str">
        <f>"600622"</f>
        <v>600622</v>
      </c>
      <c r="C491" t="s">
        <v>1139</v>
      </c>
      <c r="D491" t="s">
        <v>76</v>
      </c>
      <c r="E491">
        <v>35403748134</v>
      </c>
      <c r="F491">
        <v>35279675924</v>
      </c>
      <c r="G491">
        <v>28087881399</v>
      </c>
      <c r="H491">
        <v>22033696322</v>
      </c>
      <c r="I491">
        <v>19550430485</v>
      </c>
      <c r="J491">
        <v>12616711394</v>
      </c>
      <c r="K491">
        <v>10674154382</v>
      </c>
      <c r="L491">
        <v>8873715737</v>
      </c>
      <c r="M491">
        <v>8363247601</v>
      </c>
      <c r="N491">
        <v>7184717500</v>
      </c>
      <c r="O491">
        <v>6777491612</v>
      </c>
      <c r="P491">
        <v>246</v>
      </c>
      <c r="Q491" t="s">
        <v>1140</v>
      </c>
    </row>
    <row r="492" spans="1:17" x14ac:dyDescent="0.3">
      <c r="A492" t="s">
        <v>47</v>
      </c>
      <c r="B492" t="str">
        <f>"002221"</f>
        <v>002221</v>
      </c>
      <c r="C492" t="s">
        <v>1141</v>
      </c>
      <c r="D492" t="s">
        <v>615</v>
      </c>
      <c r="E492">
        <v>35342637481</v>
      </c>
      <c r="F492">
        <v>29117196777</v>
      </c>
      <c r="G492">
        <v>27212542053</v>
      </c>
      <c r="H492">
        <v>27821322931</v>
      </c>
      <c r="I492">
        <v>24253905989</v>
      </c>
      <c r="J492">
        <v>22564482685</v>
      </c>
      <c r="K492">
        <v>16850831285</v>
      </c>
      <c r="L492">
        <v>13757472985</v>
      </c>
      <c r="M492">
        <v>8269513270</v>
      </c>
      <c r="N492">
        <v>5049478752</v>
      </c>
      <c r="O492">
        <v>3708550861</v>
      </c>
      <c r="P492">
        <v>390</v>
      </c>
      <c r="Q492" t="s">
        <v>1142</v>
      </c>
    </row>
    <row r="493" spans="1:17" x14ac:dyDescent="0.3">
      <c r="A493" t="s">
        <v>47</v>
      </c>
      <c r="B493" t="str">
        <f>"000906"</f>
        <v>000906</v>
      </c>
      <c r="C493" t="s">
        <v>1143</v>
      </c>
      <c r="D493" t="s">
        <v>134</v>
      </c>
      <c r="E493">
        <v>35258533942</v>
      </c>
      <c r="F493">
        <v>27847543364</v>
      </c>
      <c r="G493">
        <v>26868170149</v>
      </c>
      <c r="H493">
        <v>14636035767</v>
      </c>
      <c r="I493">
        <v>11671038573</v>
      </c>
      <c r="J493">
        <v>9056868975</v>
      </c>
      <c r="K493">
        <v>7076807452</v>
      </c>
      <c r="L493">
        <v>6129568198</v>
      </c>
      <c r="M493">
        <v>5819320293</v>
      </c>
      <c r="N493">
        <v>5884984482</v>
      </c>
      <c r="O493">
        <v>5531140867</v>
      </c>
      <c r="P493">
        <v>238</v>
      </c>
      <c r="Q493" t="s">
        <v>1144</v>
      </c>
    </row>
    <row r="494" spans="1:17" x14ac:dyDescent="0.3">
      <c r="A494" t="s">
        <v>17</v>
      </c>
      <c r="B494" t="str">
        <f>"600959"</f>
        <v>600959</v>
      </c>
      <c r="C494" t="s">
        <v>1145</v>
      </c>
      <c r="D494" t="s">
        <v>973</v>
      </c>
      <c r="E494">
        <v>35074792359</v>
      </c>
      <c r="F494">
        <v>33921195542</v>
      </c>
      <c r="G494">
        <v>32413408692</v>
      </c>
      <c r="H494">
        <v>32010847543</v>
      </c>
      <c r="I494">
        <v>32054120338</v>
      </c>
      <c r="J494">
        <v>31937442518</v>
      </c>
      <c r="K494">
        <v>18746266852</v>
      </c>
      <c r="L494">
        <v>15112033563</v>
      </c>
      <c r="P494">
        <v>150</v>
      </c>
      <c r="Q494" t="s">
        <v>1146</v>
      </c>
    </row>
    <row r="495" spans="1:17" x14ac:dyDescent="0.3">
      <c r="A495" t="s">
        <v>17</v>
      </c>
      <c r="B495" t="str">
        <f>"600111"</f>
        <v>600111</v>
      </c>
      <c r="C495" t="s">
        <v>1147</v>
      </c>
      <c r="D495" t="s">
        <v>1148</v>
      </c>
      <c r="E495">
        <v>34985451395</v>
      </c>
      <c r="F495">
        <v>27445044774</v>
      </c>
      <c r="G495">
        <v>24324461389</v>
      </c>
      <c r="H495">
        <v>23857448964</v>
      </c>
      <c r="I495">
        <v>21697930611</v>
      </c>
      <c r="J495">
        <v>18020558893</v>
      </c>
      <c r="K495">
        <v>14398879480</v>
      </c>
      <c r="L495">
        <v>16916743643</v>
      </c>
      <c r="M495">
        <v>17314410461</v>
      </c>
      <c r="N495">
        <v>19253770288</v>
      </c>
      <c r="O495">
        <v>18569012665</v>
      </c>
      <c r="P495">
        <v>1179</v>
      </c>
      <c r="Q495" t="s">
        <v>1149</v>
      </c>
    </row>
    <row r="496" spans="1:17" x14ac:dyDescent="0.3">
      <c r="A496" t="s">
        <v>17</v>
      </c>
      <c r="B496" t="str">
        <f>"601231"</f>
        <v>601231</v>
      </c>
      <c r="C496" t="s">
        <v>1150</v>
      </c>
      <c r="D496" t="s">
        <v>283</v>
      </c>
      <c r="E496">
        <v>34898783833</v>
      </c>
      <c r="F496">
        <v>31719167833</v>
      </c>
      <c r="G496">
        <v>21365541305</v>
      </c>
      <c r="H496">
        <v>18237917663</v>
      </c>
      <c r="I496">
        <v>15842097598</v>
      </c>
      <c r="J496">
        <v>14330360114</v>
      </c>
      <c r="K496">
        <v>12597781026</v>
      </c>
      <c r="L496">
        <v>12927875791</v>
      </c>
      <c r="M496">
        <v>8339275265</v>
      </c>
      <c r="N496">
        <v>7368116763</v>
      </c>
      <c r="O496">
        <v>6753220286</v>
      </c>
      <c r="P496">
        <v>735</v>
      </c>
      <c r="Q496" t="s">
        <v>1151</v>
      </c>
    </row>
    <row r="497" spans="1:17" x14ac:dyDescent="0.3">
      <c r="A497" t="s">
        <v>47</v>
      </c>
      <c r="B497" t="str">
        <f>"300919"</f>
        <v>300919</v>
      </c>
      <c r="C497" t="s">
        <v>1152</v>
      </c>
      <c r="D497" t="s">
        <v>1017</v>
      </c>
      <c r="E497">
        <v>34879613087</v>
      </c>
      <c r="F497">
        <v>13084050160</v>
      </c>
      <c r="G497">
        <v>6287528777</v>
      </c>
      <c r="P497">
        <v>175</v>
      </c>
      <c r="Q497" t="s">
        <v>1153</v>
      </c>
    </row>
    <row r="498" spans="1:17" x14ac:dyDescent="0.3">
      <c r="A498" t="s">
        <v>47</v>
      </c>
      <c r="B498" t="str">
        <f>"002203"</f>
        <v>002203</v>
      </c>
      <c r="C498" t="s">
        <v>1154</v>
      </c>
      <c r="D498" t="s">
        <v>301</v>
      </c>
      <c r="E498">
        <v>34709028232</v>
      </c>
      <c r="F498">
        <v>29742947171</v>
      </c>
      <c r="G498">
        <v>27534421371</v>
      </c>
      <c r="H498">
        <v>21928756725</v>
      </c>
      <c r="I498">
        <v>17349342086</v>
      </c>
      <c r="J498">
        <v>13234958547</v>
      </c>
      <c r="K498">
        <v>10520552466</v>
      </c>
      <c r="L498">
        <v>9172812140</v>
      </c>
      <c r="M498">
        <v>7540364789</v>
      </c>
      <c r="N498">
        <v>7484743812</v>
      </c>
      <c r="O498">
        <v>6591321305</v>
      </c>
      <c r="P498">
        <v>239</v>
      </c>
      <c r="Q498" t="s">
        <v>1155</v>
      </c>
    </row>
    <row r="499" spans="1:17" x14ac:dyDescent="0.3">
      <c r="A499" t="s">
        <v>47</v>
      </c>
      <c r="B499" t="str">
        <f>"000598"</f>
        <v>000598</v>
      </c>
      <c r="C499" t="s">
        <v>1156</v>
      </c>
      <c r="D499" t="s">
        <v>520</v>
      </c>
      <c r="E499">
        <v>34706725993</v>
      </c>
      <c r="F499">
        <v>30805272429</v>
      </c>
      <c r="G499">
        <v>25849523388</v>
      </c>
      <c r="H499">
        <v>21299676286</v>
      </c>
      <c r="I499">
        <v>18868763442</v>
      </c>
      <c r="J499">
        <v>17129031612</v>
      </c>
      <c r="K499">
        <v>14558206315</v>
      </c>
      <c r="L499">
        <v>12470009182</v>
      </c>
      <c r="M499">
        <v>10335455442</v>
      </c>
      <c r="N499">
        <v>10301913647</v>
      </c>
      <c r="O499">
        <v>7243473095</v>
      </c>
      <c r="P499">
        <v>444</v>
      </c>
      <c r="Q499" t="s">
        <v>1157</v>
      </c>
    </row>
    <row r="500" spans="1:17" x14ac:dyDescent="0.3">
      <c r="A500" t="s">
        <v>17</v>
      </c>
      <c r="B500" t="str">
        <f>"600095"</f>
        <v>600095</v>
      </c>
      <c r="C500" t="s">
        <v>1158</v>
      </c>
      <c r="D500" t="s">
        <v>99</v>
      </c>
      <c r="E500">
        <v>34677897592</v>
      </c>
      <c r="F500">
        <v>36309851727</v>
      </c>
      <c r="G500">
        <v>1165646574</v>
      </c>
      <c r="H500">
        <v>1068688399</v>
      </c>
      <c r="I500">
        <v>1051856316</v>
      </c>
      <c r="J500">
        <v>1095921801</v>
      </c>
      <c r="K500">
        <v>1136555708</v>
      </c>
      <c r="L500">
        <v>1202560098</v>
      </c>
      <c r="M500">
        <v>1403026313</v>
      </c>
      <c r="N500">
        <v>1418826243</v>
      </c>
      <c r="O500">
        <v>1255415566</v>
      </c>
      <c r="P500">
        <v>330</v>
      </c>
      <c r="Q500" t="s">
        <v>1159</v>
      </c>
    </row>
    <row r="501" spans="1:17" x14ac:dyDescent="0.3">
      <c r="A501" t="s">
        <v>17</v>
      </c>
      <c r="B501" t="str">
        <f>"600233"</f>
        <v>600233</v>
      </c>
      <c r="C501" t="s">
        <v>1160</v>
      </c>
      <c r="D501" t="s">
        <v>339</v>
      </c>
      <c r="E501">
        <v>34674447385</v>
      </c>
      <c r="F501">
        <v>27200802526</v>
      </c>
      <c r="G501">
        <v>21902699288</v>
      </c>
      <c r="H501">
        <v>19715396087</v>
      </c>
      <c r="I501">
        <v>13648142355</v>
      </c>
      <c r="J501">
        <v>10698745638</v>
      </c>
      <c r="K501">
        <v>1557441026</v>
      </c>
      <c r="L501">
        <v>1467081442</v>
      </c>
      <c r="M501">
        <v>1397292617</v>
      </c>
      <c r="N501">
        <v>1363990577</v>
      </c>
      <c r="O501">
        <v>1308319235</v>
      </c>
      <c r="P501">
        <v>733</v>
      </c>
      <c r="Q501" t="s">
        <v>1161</v>
      </c>
    </row>
    <row r="502" spans="1:17" x14ac:dyDescent="0.3">
      <c r="A502" t="s">
        <v>47</v>
      </c>
      <c r="B502" t="str">
        <f>"002081"</f>
        <v>002081</v>
      </c>
      <c r="C502" t="s">
        <v>1162</v>
      </c>
      <c r="D502" t="s">
        <v>1163</v>
      </c>
      <c r="E502">
        <v>34599086163</v>
      </c>
      <c r="F502">
        <v>40199552783</v>
      </c>
      <c r="G502">
        <v>36588903620</v>
      </c>
      <c r="H502">
        <v>31861576272</v>
      </c>
      <c r="I502">
        <v>25774514614</v>
      </c>
      <c r="J502">
        <v>25643891878</v>
      </c>
      <c r="K502">
        <v>22845926495</v>
      </c>
      <c r="L502">
        <v>20308725962</v>
      </c>
      <c r="M502">
        <v>16905264848</v>
      </c>
      <c r="N502">
        <v>12152650200</v>
      </c>
      <c r="O502">
        <v>7079797766</v>
      </c>
      <c r="P502">
        <v>18140</v>
      </c>
      <c r="Q502" t="s">
        <v>1164</v>
      </c>
    </row>
    <row r="503" spans="1:17" x14ac:dyDescent="0.3">
      <c r="A503" t="s">
        <v>47</v>
      </c>
      <c r="B503" t="str">
        <f>"002091"</f>
        <v>002091</v>
      </c>
      <c r="C503" t="s">
        <v>1165</v>
      </c>
      <c r="D503" t="s">
        <v>768</v>
      </c>
      <c r="E503">
        <v>34572177017</v>
      </c>
      <c r="F503">
        <v>23168270362</v>
      </c>
      <c r="G503">
        <v>23551090024</v>
      </c>
      <c r="H503">
        <v>21809913573</v>
      </c>
      <c r="I503">
        <v>18673862715</v>
      </c>
      <c r="J503">
        <v>17405943716</v>
      </c>
      <c r="K503">
        <v>3785549610</v>
      </c>
      <c r="L503">
        <v>2861008985</v>
      </c>
      <c r="M503">
        <v>2307748016</v>
      </c>
      <c r="N503">
        <v>2013703573</v>
      </c>
      <c r="O503">
        <v>1945409758</v>
      </c>
      <c r="P503">
        <v>509</v>
      </c>
      <c r="Q503" t="s">
        <v>1166</v>
      </c>
    </row>
    <row r="504" spans="1:17" x14ac:dyDescent="0.3">
      <c r="A504" t="s">
        <v>47</v>
      </c>
      <c r="B504" t="str">
        <f>"000034"</f>
        <v>000034</v>
      </c>
      <c r="C504" t="s">
        <v>1167</v>
      </c>
      <c r="D504" t="s">
        <v>700</v>
      </c>
      <c r="E504">
        <v>34467500358</v>
      </c>
      <c r="F504">
        <v>32313167576</v>
      </c>
      <c r="G504">
        <v>27393882950</v>
      </c>
      <c r="H504">
        <v>24596120667</v>
      </c>
      <c r="I504">
        <v>22827915553</v>
      </c>
      <c r="J504">
        <v>16267956372</v>
      </c>
      <c r="K504">
        <v>16646334417</v>
      </c>
      <c r="L504">
        <v>445902837</v>
      </c>
      <c r="M504">
        <v>413356314</v>
      </c>
      <c r="N504">
        <v>189349372</v>
      </c>
      <c r="O504">
        <v>191982522</v>
      </c>
      <c r="P504">
        <v>412</v>
      </c>
      <c r="Q504" t="s">
        <v>1168</v>
      </c>
    </row>
    <row r="505" spans="1:17" x14ac:dyDescent="0.3">
      <c r="A505" t="s">
        <v>17</v>
      </c>
      <c r="B505" t="str">
        <f>"600684"</f>
        <v>600684</v>
      </c>
      <c r="C505" t="s">
        <v>1169</v>
      </c>
      <c r="D505" t="s">
        <v>76</v>
      </c>
      <c r="E505">
        <v>34407475924</v>
      </c>
      <c r="F505">
        <v>28682736230</v>
      </c>
      <c r="G505">
        <v>25193150741</v>
      </c>
      <c r="H505">
        <v>17941355947</v>
      </c>
      <c r="I505">
        <v>14849086213</v>
      </c>
      <c r="J505">
        <v>13964917170</v>
      </c>
      <c r="K505">
        <v>10345526668</v>
      </c>
      <c r="L505">
        <v>6602426159</v>
      </c>
      <c r="M505">
        <v>5834653739</v>
      </c>
      <c r="N505">
        <v>4126219054</v>
      </c>
      <c r="O505">
        <v>2741466045</v>
      </c>
      <c r="P505">
        <v>124</v>
      </c>
      <c r="Q505" t="s">
        <v>1170</v>
      </c>
    </row>
    <row r="506" spans="1:17" x14ac:dyDescent="0.3">
      <c r="A506" t="s">
        <v>17</v>
      </c>
      <c r="B506" t="str">
        <f>"601139"</f>
        <v>601139</v>
      </c>
      <c r="C506" t="s">
        <v>1171</v>
      </c>
      <c r="D506" t="s">
        <v>476</v>
      </c>
      <c r="E506">
        <v>34392437146</v>
      </c>
      <c r="F506">
        <v>25926059071</v>
      </c>
      <c r="G506">
        <v>23158153323</v>
      </c>
      <c r="H506">
        <v>19984942219</v>
      </c>
      <c r="I506">
        <v>18498332690</v>
      </c>
      <c r="J506">
        <v>17228485675</v>
      </c>
      <c r="K506">
        <v>15679657992</v>
      </c>
      <c r="L506">
        <v>14117519330</v>
      </c>
      <c r="M506">
        <v>12029356916</v>
      </c>
      <c r="N506">
        <v>9887559201</v>
      </c>
      <c r="O506">
        <v>8883147023</v>
      </c>
      <c r="P506">
        <v>476</v>
      </c>
      <c r="Q506" t="s">
        <v>1172</v>
      </c>
    </row>
    <row r="507" spans="1:17" x14ac:dyDescent="0.3">
      <c r="A507" t="s">
        <v>17</v>
      </c>
      <c r="B507" t="str">
        <f>"600968"</f>
        <v>600968</v>
      </c>
      <c r="C507" t="s">
        <v>1173</v>
      </c>
      <c r="D507" t="s">
        <v>655</v>
      </c>
      <c r="E507">
        <v>34381577151</v>
      </c>
      <c r="F507">
        <v>30048683408</v>
      </c>
      <c r="G507">
        <v>28382226331</v>
      </c>
      <c r="H507">
        <v>26214398597</v>
      </c>
      <c r="P507">
        <v>189</v>
      </c>
      <c r="Q507" t="s">
        <v>1174</v>
      </c>
    </row>
    <row r="508" spans="1:17" x14ac:dyDescent="0.3">
      <c r="A508" t="s">
        <v>47</v>
      </c>
      <c r="B508" t="str">
        <f>"000066"</f>
        <v>000066</v>
      </c>
      <c r="C508" t="s">
        <v>1175</v>
      </c>
      <c r="D508" t="s">
        <v>765</v>
      </c>
      <c r="E508">
        <v>34252393029</v>
      </c>
      <c r="F508">
        <v>29520987080</v>
      </c>
      <c r="G508">
        <v>23923236846</v>
      </c>
      <c r="H508">
        <v>15524675765</v>
      </c>
      <c r="I508">
        <v>14325387777</v>
      </c>
      <c r="J508">
        <v>14332861371</v>
      </c>
      <c r="K508">
        <v>37367149023</v>
      </c>
      <c r="L508">
        <v>37830003783</v>
      </c>
      <c r="M508">
        <v>37009756910</v>
      </c>
      <c r="N508">
        <v>39291383642</v>
      </c>
      <c r="O508">
        <v>31231569168</v>
      </c>
      <c r="P508">
        <v>712</v>
      </c>
      <c r="Q508" t="s">
        <v>1176</v>
      </c>
    </row>
    <row r="509" spans="1:17" x14ac:dyDescent="0.3">
      <c r="A509" t="s">
        <v>47</v>
      </c>
      <c r="B509" t="str">
        <f>"002938"</f>
        <v>002938</v>
      </c>
      <c r="C509" t="s">
        <v>1177</v>
      </c>
      <c r="D509" t="s">
        <v>1115</v>
      </c>
      <c r="E509">
        <v>34185080556</v>
      </c>
      <c r="F509">
        <v>32248514021</v>
      </c>
      <c r="G509">
        <v>27523633926</v>
      </c>
      <c r="H509">
        <v>24180657013</v>
      </c>
      <c r="I509">
        <v>19023661759</v>
      </c>
      <c r="P509">
        <v>961</v>
      </c>
      <c r="Q509" t="s">
        <v>1178</v>
      </c>
    </row>
    <row r="510" spans="1:17" x14ac:dyDescent="0.3">
      <c r="A510" t="s">
        <v>17</v>
      </c>
      <c r="B510" t="str">
        <f>"600879"</f>
        <v>600879</v>
      </c>
      <c r="C510" t="s">
        <v>1179</v>
      </c>
      <c r="D510" t="s">
        <v>1180</v>
      </c>
      <c r="E510">
        <v>34180112122</v>
      </c>
      <c r="F510">
        <v>30386146463</v>
      </c>
      <c r="G510">
        <v>27964659468</v>
      </c>
      <c r="H510">
        <v>26537780018</v>
      </c>
      <c r="I510">
        <v>23846108274</v>
      </c>
      <c r="J510">
        <v>21205444331</v>
      </c>
      <c r="K510">
        <v>10974141661</v>
      </c>
      <c r="L510">
        <v>10202555521</v>
      </c>
      <c r="M510">
        <v>8992246435</v>
      </c>
      <c r="N510">
        <v>7735378379</v>
      </c>
      <c r="O510">
        <v>7145157389</v>
      </c>
      <c r="P510">
        <v>359</v>
      </c>
      <c r="Q510" t="s">
        <v>1181</v>
      </c>
    </row>
    <row r="511" spans="1:17" x14ac:dyDescent="0.3">
      <c r="A511" t="s">
        <v>17</v>
      </c>
      <c r="B511" t="str">
        <f>"600717"</f>
        <v>600717</v>
      </c>
      <c r="C511" t="s">
        <v>1182</v>
      </c>
      <c r="D511" t="s">
        <v>357</v>
      </c>
      <c r="E511">
        <v>34164679945</v>
      </c>
      <c r="F511">
        <v>36436628390</v>
      </c>
      <c r="G511">
        <v>35293330920</v>
      </c>
      <c r="H511">
        <v>34312232667</v>
      </c>
      <c r="I511">
        <v>35832927659</v>
      </c>
      <c r="J511">
        <v>32960736657</v>
      </c>
      <c r="K511">
        <v>33365142111</v>
      </c>
      <c r="L511">
        <v>34409949875</v>
      </c>
      <c r="M511">
        <v>30245931286</v>
      </c>
      <c r="N511">
        <v>26961248629</v>
      </c>
      <c r="O511">
        <v>23000082557</v>
      </c>
      <c r="P511">
        <v>262</v>
      </c>
      <c r="Q511" t="s">
        <v>1183</v>
      </c>
    </row>
    <row r="512" spans="1:17" x14ac:dyDescent="0.3">
      <c r="A512" t="s">
        <v>47</v>
      </c>
      <c r="B512" t="str">
        <f>"002013"</f>
        <v>002013</v>
      </c>
      <c r="C512" t="s">
        <v>1184</v>
      </c>
      <c r="D512" t="s">
        <v>570</v>
      </c>
      <c r="E512">
        <v>34152377861</v>
      </c>
      <c r="F512">
        <v>30208091023</v>
      </c>
      <c r="G512">
        <v>27986403909</v>
      </c>
      <c r="H512">
        <v>27147275121</v>
      </c>
      <c r="I512">
        <v>21914998751</v>
      </c>
      <c r="J512">
        <v>19846731534</v>
      </c>
      <c r="K512">
        <v>19889309409</v>
      </c>
      <c r="L512">
        <v>16721336367</v>
      </c>
      <c r="M512">
        <v>15335895991</v>
      </c>
      <c r="N512">
        <v>12885629546</v>
      </c>
      <c r="O512">
        <v>793362149</v>
      </c>
      <c r="P512">
        <v>656</v>
      </c>
      <c r="Q512" t="s">
        <v>1185</v>
      </c>
    </row>
    <row r="513" spans="1:17" x14ac:dyDescent="0.3">
      <c r="A513" t="s">
        <v>17</v>
      </c>
      <c r="B513" t="str">
        <f>"600185"</f>
        <v>600185</v>
      </c>
      <c r="C513" t="s">
        <v>1186</v>
      </c>
      <c r="D513" t="s">
        <v>76</v>
      </c>
      <c r="E513">
        <v>34078159230</v>
      </c>
      <c r="F513">
        <v>38479711340</v>
      </c>
      <c r="G513">
        <v>33903346030</v>
      </c>
      <c r="H513">
        <v>30973748872</v>
      </c>
      <c r="I513">
        <v>27687773385</v>
      </c>
      <c r="J513">
        <v>26416136461</v>
      </c>
      <c r="K513">
        <v>20940259809</v>
      </c>
      <c r="L513">
        <v>19753262537</v>
      </c>
      <c r="M513">
        <v>15825617724</v>
      </c>
      <c r="N513">
        <v>13980248959</v>
      </c>
      <c r="O513">
        <v>12066721249</v>
      </c>
      <c r="P513">
        <v>321</v>
      </c>
      <c r="Q513" t="s">
        <v>1187</v>
      </c>
    </row>
    <row r="514" spans="1:17" x14ac:dyDescent="0.3">
      <c r="A514" t="s">
        <v>17</v>
      </c>
      <c r="B514" t="str">
        <f>"600583"</f>
        <v>600583</v>
      </c>
      <c r="C514" t="s">
        <v>1188</v>
      </c>
      <c r="D514" t="s">
        <v>533</v>
      </c>
      <c r="E514">
        <v>34044448900</v>
      </c>
      <c r="F514">
        <v>32226117900</v>
      </c>
      <c r="G514">
        <v>30786010009</v>
      </c>
      <c r="H514">
        <v>29139359323</v>
      </c>
      <c r="I514">
        <v>26778616998</v>
      </c>
      <c r="J514">
        <v>28874369512</v>
      </c>
      <c r="K514">
        <v>30333228265</v>
      </c>
      <c r="L514">
        <v>30046783925</v>
      </c>
      <c r="M514">
        <v>28013363803</v>
      </c>
      <c r="N514">
        <v>20423517791</v>
      </c>
      <c r="O514">
        <v>18076011892</v>
      </c>
      <c r="P514">
        <v>359</v>
      </c>
      <c r="Q514" t="s">
        <v>1189</v>
      </c>
    </row>
    <row r="515" spans="1:17" x14ac:dyDescent="0.3">
      <c r="A515" t="s">
        <v>47</v>
      </c>
      <c r="B515" t="str">
        <f>"002422"</f>
        <v>002422</v>
      </c>
      <c r="C515" t="s">
        <v>1190</v>
      </c>
      <c r="D515" t="s">
        <v>550</v>
      </c>
      <c r="E515">
        <v>33964306935</v>
      </c>
      <c r="F515">
        <v>31746270115</v>
      </c>
      <c r="G515">
        <v>32576302774</v>
      </c>
      <c r="H515">
        <v>29811919606</v>
      </c>
      <c r="I515">
        <v>28635297967</v>
      </c>
      <c r="J515">
        <v>25585533798</v>
      </c>
      <c r="K515">
        <v>23638850918</v>
      </c>
      <c r="L515">
        <v>21541134693</v>
      </c>
      <c r="M515">
        <v>18284575529</v>
      </c>
      <c r="N515">
        <v>16646623460</v>
      </c>
      <c r="O515">
        <v>10783264550</v>
      </c>
      <c r="P515">
        <v>927</v>
      </c>
      <c r="Q515" t="s">
        <v>1191</v>
      </c>
    </row>
    <row r="516" spans="1:17" x14ac:dyDescent="0.3">
      <c r="A516" t="s">
        <v>47</v>
      </c>
      <c r="B516" t="str">
        <f>"002305"</f>
        <v>002305</v>
      </c>
      <c r="C516" t="s">
        <v>1192</v>
      </c>
      <c r="D516" t="s">
        <v>117</v>
      </c>
      <c r="E516">
        <v>33928176787</v>
      </c>
      <c r="F516">
        <v>32571247715</v>
      </c>
      <c r="G516">
        <v>28221382417</v>
      </c>
      <c r="H516">
        <v>24465293372</v>
      </c>
      <c r="I516">
        <v>23606181446</v>
      </c>
      <c r="J516">
        <v>22019922685</v>
      </c>
      <c r="K516">
        <v>18785155373</v>
      </c>
      <c r="L516">
        <v>12905065698</v>
      </c>
      <c r="M516">
        <v>8646919799</v>
      </c>
      <c r="N516">
        <v>7082830226</v>
      </c>
      <c r="O516">
        <v>4770712145</v>
      </c>
      <c r="P516">
        <v>107</v>
      </c>
      <c r="Q516" t="s">
        <v>1193</v>
      </c>
    </row>
    <row r="517" spans="1:17" x14ac:dyDescent="0.3">
      <c r="A517" t="s">
        <v>17</v>
      </c>
      <c r="B517" t="str">
        <f>"600064"</f>
        <v>600064</v>
      </c>
      <c r="C517" t="s">
        <v>1194</v>
      </c>
      <c r="D517" t="s">
        <v>76</v>
      </c>
      <c r="E517">
        <v>33918249089</v>
      </c>
      <c r="F517">
        <v>31569406171</v>
      </c>
      <c r="G517">
        <v>29297000155</v>
      </c>
      <c r="H517">
        <v>29654510806</v>
      </c>
      <c r="I517">
        <v>25714168937</v>
      </c>
      <c r="J517">
        <v>27320743094</v>
      </c>
      <c r="K517">
        <v>22002502258</v>
      </c>
      <c r="L517">
        <v>20502076435</v>
      </c>
      <c r="M517">
        <v>15618370079</v>
      </c>
      <c r="N517">
        <v>16424136553</v>
      </c>
      <c r="O517">
        <v>15585794539</v>
      </c>
      <c r="P517">
        <v>432</v>
      </c>
      <c r="Q517" t="s">
        <v>1195</v>
      </c>
    </row>
    <row r="518" spans="1:17" x14ac:dyDescent="0.3">
      <c r="A518" t="s">
        <v>17</v>
      </c>
      <c r="B518" t="str">
        <f>"603260"</f>
        <v>603260</v>
      </c>
      <c r="C518" t="s">
        <v>1196</v>
      </c>
      <c r="D518" t="s">
        <v>1197</v>
      </c>
      <c r="E518">
        <v>33902665917</v>
      </c>
      <c r="F518">
        <v>21510677236</v>
      </c>
      <c r="G518">
        <v>17900719534</v>
      </c>
      <c r="H518">
        <v>15960482790</v>
      </c>
      <c r="I518">
        <v>15147590452</v>
      </c>
      <c r="J518">
        <v>8591233913</v>
      </c>
      <c r="P518">
        <v>700</v>
      </c>
      <c r="Q518" t="s">
        <v>1198</v>
      </c>
    </row>
    <row r="519" spans="1:17" x14ac:dyDescent="0.3">
      <c r="A519" t="s">
        <v>17</v>
      </c>
      <c r="B519" t="str">
        <f>"600277"</f>
        <v>600277</v>
      </c>
      <c r="C519" t="s">
        <v>1199</v>
      </c>
      <c r="D519" t="s">
        <v>625</v>
      </c>
      <c r="E519">
        <v>33715291771</v>
      </c>
      <c r="F519">
        <v>36528840676</v>
      </c>
      <c r="G519">
        <v>35120082850</v>
      </c>
      <c r="H519">
        <v>36300685103</v>
      </c>
      <c r="I519">
        <v>29231340077</v>
      </c>
      <c r="J519">
        <v>28129981480</v>
      </c>
      <c r="K519">
        <v>21055397209</v>
      </c>
      <c r="L519">
        <v>20883042998</v>
      </c>
      <c r="M519">
        <v>22329889191</v>
      </c>
      <c r="N519">
        <v>19824188072</v>
      </c>
      <c r="O519">
        <v>16393762645</v>
      </c>
      <c r="P519">
        <v>187</v>
      </c>
      <c r="Q519" t="s">
        <v>1200</v>
      </c>
    </row>
    <row r="520" spans="1:17" x14ac:dyDescent="0.3">
      <c r="A520" t="s">
        <v>47</v>
      </c>
      <c r="B520" t="str">
        <f>"000560"</f>
        <v>000560</v>
      </c>
      <c r="C520" t="s">
        <v>1201</v>
      </c>
      <c r="D520" t="s">
        <v>1202</v>
      </c>
      <c r="E520">
        <v>33637334010</v>
      </c>
      <c r="F520">
        <v>22941919385</v>
      </c>
      <c r="G520">
        <v>19001660126</v>
      </c>
      <c r="H520">
        <v>18767368496</v>
      </c>
      <c r="I520">
        <v>17033399478</v>
      </c>
      <c r="J520">
        <v>6258362648</v>
      </c>
      <c r="K520">
        <v>6131013426</v>
      </c>
      <c r="L520">
        <v>4376495193</v>
      </c>
      <c r="M520">
        <v>4785791401</v>
      </c>
      <c r="N520">
        <v>4233953985</v>
      </c>
      <c r="O520">
        <v>4145632958</v>
      </c>
      <c r="P520">
        <v>206</v>
      </c>
      <c r="Q520" t="s">
        <v>1203</v>
      </c>
    </row>
    <row r="521" spans="1:17" x14ac:dyDescent="0.3">
      <c r="A521" t="s">
        <v>17</v>
      </c>
      <c r="B521" t="str">
        <f>"601127"</f>
        <v>601127</v>
      </c>
      <c r="C521" t="s">
        <v>1204</v>
      </c>
      <c r="D521" t="s">
        <v>114</v>
      </c>
      <c r="E521">
        <v>33570755691</v>
      </c>
      <c r="F521">
        <v>25147379391</v>
      </c>
      <c r="G521">
        <v>27674946034</v>
      </c>
      <c r="H521">
        <v>25725077776</v>
      </c>
      <c r="I521">
        <v>25280924307</v>
      </c>
      <c r="J521">
        <v>21333025429</v>
      </c>
      <c r="K521">
        <v>14019470200</v>
      </c>
      <c r="P521">
        <v>476</v>
      </c>
      <c r="Q521" t="s">
        <v>1205</v>
      </c>
    </row>
    <row r="522" spans="1:17" x14ac:dyDescent="0.3">
      <c r="A522" t="s">
        <v>47</v>
      </c>
      <c r="B522" t="str">
        <f>"002064"</f>
        <v>002064</v>
      </c>
      <c r="C522" t="s">
        <v>1206</v>
      </c>
      <c r="D522" t="s">
        <v>1207</v>
      </c>
      <c r="E522">
        <v>33348125050</v>
      </c>
      <c r="F522">
        <v>21582306924</v>
      </c>
      <c r="G522">
        <v>17709515090</v>
      </c>
      <c r="H522">
        <v>6025828947</v>
      </c>
      <c r="I522">
        <v>5519344322</v>
      </c>
      <c r="J522">
        <v>5346143177</v>
      </c>
      <c r="K522">
        <v>5592389943</v>
      </c>
      <c r="L522">
        <v>4607575480</v>
      </c>
      <c r="M522">
        <v>2821450430</v>
      </c>
      <c r="N522">
        <v>2443034285</v>
      </c>
      <c r="O522">
        <v>2213468825</v>
      </c>
      <c r="P522">
        <v>686</v>
      </c>
      <c r="Q522" t="s">
        <v>1208</v>
      </c>
    </row>
    <row r="523" spans="1:17" x14ac:dyDescent="0.3">
      <c r="A523" t="s">
        <v>17</v>
      </c>
      <c r="B523" t="str">
        <f>"600398"</f>
        <v>600398</v>
      </c>
      <c r="C523" t="s">
        <v>1209</v>
      </c>
      <c r="D523" t="s">
        <v>628</v>
      </c>
      <c r="E523">
        <v>32944953128</v>
      </c>
      <c r="F523">
        <v>30263468198</v>
      </c>
      <c r="G523">
        <v>29459302511</v>
      </c>
      <c r="H523">
        <v>30915642086</v>
      </c>
      <c r="I523">
        <v>27531672983</v>
      </c>
      <c r="J523">
        <v>25331652057</v>
      </c>
      <c r="K523">
        <v>24416859888</v>
      </c>
      <c r="L523">
        <v>20881523555</v>
      </c>
      <c r="M523">
        <v>15649170576</v>
      </c>
      <c r="N523">
        <v>2838360909</v>
      </c>
      <c r="O523">
        <v>2528988820</v>
      </c>
      <c r="P523">
        <v>2674</v>
      </c>
      <c r="Q523" t="s">
        <v>1210</v>
      </c>
    </row>
    <row r="524" spans="1:17" x14ac:dyDescent="0.3">
      <c r="A524" t="s">
        <v>17</v>
      </c>
      <c r="B524" t="str">
        <f>"600639"</f>
        <v>600639</v>
      </c>
      <c r="C524" t="s">
        <v>1211</v>
      </c>
      <c r="D524" t="s">
        <v>190</v>
      </c>
      <c r="E524">
        <v>32894745250</v>
      </c>
      <c r="F524">
        <v>29121031764</v>
      </c>
      <c r="G524">
        <v>24270523750</v>
      </c>
      <c r="H524">
        <v>20843493093</v>
      </c>
      <c r="I524">
        <v>20678037247</v>
      </c>
      <c r="J524">
        <v>17602639204</v>
      </c>
      <c r="K524">
        <v>17394599022</v>
      </c>
      <c r="L524">
        <v>14145151291</v>
      </c>
      <c r="M524">
        <v>10305657349</v>
      </c>
      <c r="N524">
        <v>9603569108</v>
      </c>
      <c r="O524">
        <v>9194116654</v>
      </c>
      <c r="P524">
        <v>189</v>
      </c>
      <c r="Q524" t="s">
        <v>1212</v>
      </c>
    </row>
    <row r="525" spans="1:17" x14ac:dyDescent="0.3">
      <c r="A525" t="s">
        <v>47</v>
      </c>
      <c r="B525" t="str">
        <f>"000830"</f>
        <v>000830</v>
      </c>
      <c r="C525" t="s">
        <v>1213</v>
      </c>
      <c r="D525" t="s">
        <v>783</v>
      </c>
      <c r="E525">
        <v>32777592867</v>
      </c>
      <c r="F525">
        <v>32512971318</v>
      </c>
      <c r="G525">
        <v>30392026828</v>
      </c>
      <c r="H525">
        <v>27983819811</v>
      </c>
      <c r="I525">
        <v>28700009791</v>
      </c>
      <c r="J525">
        <v>25244319795</v>
      </c>
      <c r="K525">
        <v>22567738706</v>
      </c>
      <c r="L525">
        <v>20146238321</v>
      </c>
      <c r="M525">
        <v>17978617980</v>
      </c>
      <c r="N525">
        <v>16041861561</v>
      </c>
      <c r="O525">
        <v>14411402602</v>
      </c>
      <c r="P525">
        <v>891</v>
      </c>
      <c r="Q525" t="s">
        <v>1214</v>
      </c>
    </row>
    <row r="526" spans="1:17" x14ac:dyDescent="0.3">
      <c r="A526" t="s">
        <v>17</v>
      </c>
      <c r="B526" t="str">
        <f>"600617"</f>
        <v>600617</v>
      </c>
      <c r="C526" t="s">
        <v>1215</v>
      </c>
      <c r="D526" t="s">
        <v>476</v>
      </c>
      <c r="E526">
        <v>32638803286</v>
      </c>
      <c r="F526">
        <v>27900537840</v>
      </c>
      <c r="G526">
        <v>31053258154</v>
      </c>
      <c r="H526">
        <v>29524937954</v>
      </c>
      <c r="I526">
        <v>27216198279</v>
      </c>
      <c r="J526">
        <v>23469873303</v>
      </c>
      <c r="K526">
        <v>18330095180</v>
      </c>
      <c r="L526">
        <v>14901107502</v>
      </c>
      <c r="M526">
        <v>12527291184</v>
      </c>
      <c r="N526">
        <v>20703728</v>
      </c>
      <c r="O526">
        <v>9622494</v>
      </c>
      <c r="P526">
        <v>104</v>
      </c>
      <c r="Q526" t="s">
        <v>1216</v>
      </c>
    </row>
    <row r="527" spans="1:17" x14ac:dyDescent="0.3">
      <c r="A527" t="s">
        <v>17</v>
      </c>
      <c r="B527" t="str">
        <f>"600335"</f>
        <v>600335</v>
      </c>
      <c r="C527" t="s">
        <v>1217</v>
      </c>
      <c r="D527" t="s">
        <v>462</v>
      </c>
      <c r="E527">
        <v>32633921082</v>
      </c>
      <c r="F527">
        <v>30736950701</v>
      </c>
      <c r="G527">
        <v>34299268110</v>
      </c>
      <c r="H527">
        <v>22808355761</v>
      </c>
      <c r="I527">
        <v>24971923975</v>
      </c>
      <c r="J527">
        <v>18335146250</v>
      </c>
      <c r="K527">
        <v>22537452358</v>
      </c>
      <c r="L527">
        <v>35497023538</v>
      </c>
      <c r="M527">
        <v>20621909965</v>
      </c>
      <c r="N527">
        <v>17496266648</v>
      </c>
      <c r="O527">
        <v>17217679694</v>
      </c>
      <c r="P527">
        <v>150</v>
      </c>
      <c r="Q527" t="s">
        <v>1218</v>
      </c>
    </row>
    <row r="528" spans="1:17" x14ac:dyDescent="0.3">
      <c r="A528" t="s">
        <v>17</v>
      </c>
      <c r="B528" t="str">
        <f>"688538"</f>
        <v>688538</v>
      </c>
      <c r="C528" t="s">
        <v>1219</v>
      </c>
      <c r="D528" t="s">
        <v>181</v>
      </c>
      <c r="E528">
        <v>32517748226</v>
      </c>
      <c r="F528">
        <v>24796603133</v>
      </c>
      <c r="P528">
        <v>37</v>
      </c>
      <c r="Q528" t="s">
        <v>1220</v>
      </c>
    </row>
    <row r="529" spans="1:17" x14ac:dyDescent="0.3">
      <c r="A529" t="s">
        <v>47</v>
      </c>
      <c r="B529" t="str">
        <f>"000927"</f>
        <v>000927</v>
      </c>
      <c r="C529" t="s">
        <v>1221</v>
      </c>
      <c r="D529" t="s">
        <v>114</v>
      </c>
      <c r="E529">
        <v>32394914056</v>
      </c>
      <c r="F529">
        <v>27332108943</v>
      </c>
      <c r="G529">
        <v>1823197757</v>
      </c>
      <c r="H529">
        <v>4090899769</v>
      </c>
      <c r="I529">
        <v>4768630340</v>
      </c>
      <c r="J529">
        <v>4799551284</v>
      </c>
      <c r="K529">
        <v>5219987203</v>
      </c>
      <c r="L529">
        <v>6742554626</v>
      </c>
      <c r="M529">
        <v>7919426034</v>
      </c>
      <c r="N529">
        <v>8955901317</v>
      </c>
      <c r="O529">
        <v>9827239482</v>
      </c>
      <c r="P529">
        <v>131</v>
      </c>
      <c r="Q529" t="s">
        <v>1222</v>
      </c>
    </row>
    <row r="530" spans="1:17" x14ac:dyDescent="0.3">
      <c r="A530" t="s">
        <v>47</v>
      </c>
      <c r="B530" t="str">
        <f>"300118"</f>
        <v>300118</v>
      </c>
      <c r="C530" t="s">
        <v>1223</v>
      </c>
      <c r="D530" t="s">
        <v>664</v>
      </c>
      <c r="E530">
        <v>32332976958</v>
      </c>
      <c r="F530">
        <v>29875390403</v>
      </c>
      <c r="G530">
        <v>26048739988</v>
      </c>
      <c r="H530">
        <v>20465562808</v>
      </c>
      <c r="I530">
        <v>17286650301</v>
      </c>
      <c r="J530">
        <v>14462884110</v>
      </c>
      <c r="K530">
        <v>9737263297</v>
      </c>
      <c r="L530">
        <v>5982333186</v>
      </c>
      <c r="M530">
        <v>4485568713</v>
      </c>
      <c r="N530">
        <v>4230312268</v>
      </c>
      <c r="O530">
        <v>4274135276</v>
      </c>
      <c r="P530">
        <v>443</v>
      </c>
      <c r="Q530" t="s">
        <v>1224</v>
      </c>
    </row>
    <row r="531" spans="1:17" x14ac:dyDescent="0.3">
      <c r="A531" t="s">
        <v>17</v>
      </c>
      <c r="B531" t="str">
        <f>"600056"</f>
        <v>600056</v>
      </c>
      <c r="C531" t="s">
        <v>1225</v>
      </c>
      <c r="D531" t="s">
        <v>362</v>
      </c>
      <c r="E531">
        <v>32312430712</v>
      </c>
      <c r="F531">
        <v>32906783339</v>
      </c>
      <c r="G531">
        <v>32840678626</v>
      </c>
      <c r="H531">
        <v>25380710709</v>
      </c>
      <c r="I531">
        <v>21571501879</v>
      </c>
      <c r="J531">
        <v>20048797479</v>
      </c>
      <c r="K531">
        <v>17545108396</v>
      </c>
      <c r="L531">
        <v>14683266071</v>
      </c>
      <c r="M531">
        <v>14423243606</v>
      </c>
      <c r="N531">
        <v>8067841099</v>
      </c>
      <c r="O531">
        <v>6175073358</v>
      </c>
      <c r="P531">
        <v>890</v>
      </c>
      <c r="Q531" t="s">
        <v>1226</v>
      </c>
    </row>
    <row r="532" spans="1:17" x14ac:dyDescent="0.3">
      <c r="A532" t="s">
        <v>17</v>
      </c>
      <c r="B532" t="str">
        <f>"603501"</f>
        <v>603501</v>
      </c>
      <c r="C532" t="s">
        <v>1227</v>
      </c>
      <c r="D532" t="s">
        <v>967</v>
      </c>
      <c r="E532">
        <v>32301146052</v>
      </c>
      <c r="F532">
        <v>27193330390</v>
      </c>
      <c r="G532">
        <v>19463513109</v>
      </c>
      <c r="H532">
        <v>5577228728</v>
      </c>
      <c r="I532">
        <v>3201833070</v>
      </c>
      <c r="J532">
        <v>1603601416</v>
      </c>
      <c r="P532">
        <v>2200</v>
      </c>
      <c r="Q532" t="s">
        <v>1228</v>
      </c>
    </row>
    <row r="533" spans="1:17" x14ac:dyDescent="0.3">
      <c r="A533" t="s">
        <v>17</v>
      </c>
      <c r="B533" t="str">
        <f>"600380"</f>
        <v>600380</v>
      </c>
      <c r="C533" t="s">
        <v>1229</v>
      </c>
      <c r="D533" t="s">
        <v>550</v>
      </c>
      <c r="E533">
        <v>32275092753</v>
      </c>
      <c r="F533">
        <v>28594081558</v>
      </c>
      <c r="G533">
        <v>23891962727</v>
      </c>
      <c r="H533">
        <v>23926037487</v>
      </c>
      <c r="I533">
        <v>22160411274</v>
      </c>
      <c r="J533">
        <v>17623443386</v>
      </c>
      <c r="K533">
        <v>14131855805</v>
      </c>
      <c r="L533">
        <v>12619769925</v>
      </c>
      <c r="M533">
        <v>11363325336</v>
      </c>
      <c r="N533">
        <v>10146131763</v>
      </c>
      <c r="O533">
        <v>8731434378</v>
      </c>
      <c r="P533">
        <v>966</v>
      </c>
      <c r="Q533" t="s">
        <v>1230</v>
      </c>
    </row>
    <row r="534" spans="1:17" x14ac:dyDescent="0.3">
      <c r="A534" t="s">
        <v>17</v>
      </c>
      <c r="B534" t="str">
        <f>"600169"</f>
        <v>600169</v>
      </c>
      <c r="C534" t="s">
        <v>1231</v>
      </c>
      <c r="D534" t="s">
        <v>607</v>
      </c>
      <c r="E534">
        <v>32196193777</v>
      </c>
      <c r="F534">
        <v>34499894924</v>
      </c>
      <c r="G534">
        <v>34448055909</v>
      </c>
      <c r="H534">
        <v>32812267549</v>
      </c>
      <c r="I534">
        <v>31116074676</v>
      </c>
      <c r="J534">
        <v>28167927594</v>
      </c>
      <c r="K534">
        <v>27756394110</v>
      </c>
      <c r="L534">
        <v>27448115443</v>
      </c>
      <c r="M534">
        <v>24149259720</v>
      </c>
      <c r="N534">
        <v>21898574853</v>
      </c>
      <c r="O534">
        <v>19927027823</v>
      </c>
      <c r="P534">
        <v>133</v>
      </c>
      <c r="Q534" t="s">
        <v>1232</v>
      </c>
    </row>
    <row r="535" spans="1:17" x14ac:dyDescent="0.3">
      <c r="A535" t="s">
        <v>17</v>
      </c>
      <c r="B535" t="str">
        <f>"603093"</f>
        <v>603093</v>
      </c>
      <c r="C535" t="s">
        <v>1233</v>
      </c>
      <c r="D535" t="s">
        <v>689</v>
      </c>
      <c r="E535">
        <v>32082716603</v>
      </c>
      <c r="F535">
        <v>24271026789</v>
      </c>
      <c r="G535">
        <v>16422585819</v>
      </c>
      <c r="L535">
        <v>10971484100</v>
      </c>
      <c r="P535">
        <v>84</v>
      </c>
      <c r="Q535" t="s">
        <v>1234</v>
      </c>
    </row>
    <row r="536" spans="1:17" x14ac:dyDescent="0.3">
      <c r="A536" t="s">
        <v>47</v>
      </c>
      <c r="B536" t="str">
        <f>"002670"</f>
        <v>002670</v>
      </c>
      <c r="C536" t="s">
        <v>1235</v>
      </c>
      <c r="D536" t="s">
        <v>99</v>
      </c>
      <c r="E536">
        <v>32071138171</v>
      </c>
      <c r="F536">
        <v>31014709949</v>
      </c>
      <c r="G536">
        <v>35252491758</v>
      </c>
      <c r="H536">
        <v>37197884993</v>
      </c>
      <c r="I536">
        <v>29246344068</v>
      </c>
      <c r="J536">
        <v>25568385687</v>
      </c>
      <c r="K536">
        <v>3025870575</v>
      </c>
      <c r="L536">
        <v>1249912970</v>
      </c>
      <c r="M536">
        <v>1353797410</v>
      </c>
      <c r="N536">
        <v>1159232253</v>
      </c>
      <c r="O536">
        <v>1035442070</v>
      </c>
      <c r="P536">
        <v>580</v>
      </c>
      <c r="Q536" t="s">
        <v>1236</v>
      </c>
    </row>
    <row r="537" spans="1:17" x14ac:dyDescent="0.3">
      <c r="A537" t="s">
        <v>17</v>
      </c>
      <c r="B537" t="str">
        <f>"688036"</f>
        <v>688036</v>
      </c>
      <c r="C537" t="s">
        <v>1237</v>
      </c>
      <c r="D537" t="s">
        <v>1238</v>
      </c>
      <c r="E537">
        <v>32040703393</v>
      </c>
      <c r="F537">
        <v>27731086371</v>
      </c>
      <c r="G537">
        <v>17813467585</v>
      </c>
      <c r="P537">
        <v>596</v>
      </c>
      <c r="Q537" t="s">
        <v>1239</v>
      </c>
    </row>
    <row r="538" spans="1:17" x14ac:dyDescent="0.3">
      <c r="A538" t="s">
        <v>17</v>
      </c>
      <c r="B538" t="str">
        <f>"603288"</f>
        <v>603288</v>
      </c>
      <c r="C538" t="s">
        <v>1240</v>
      </c>
      <c r="D538" t="s">
        <v>1241</v>
      </c>
      <c r="E538">
        <v>31997092344</v>
      </c>
      <c r="F538">
        <v>29152475203</v>
      </c>
      <c r="G538">
        <v>25250847577</v>
      </c>
      <c r="H538">
        <v>20221777072</v>
      </c>
      <c r="I538">
        <v>16381283428</v>
      </c>
      <c r="J538">
        <v>13234485944</v>
      </c>
      <c r="K538">
        <v>11317629688</v>
      </c>
      <c r="L538">
        <v>9937595505</v>
      </c>
      <c r="M538">
        <v>7831965565</v>
      </c>
      <c r="P538">
        <v>54149</v>
      </c>
      <c r="Q538" t="s">
        <v>1242</v>
      </c>
    </row>
    <row r="539" spans="1:17" x14ac:dyDescent="0.3">
      <c r="A539" t="s">
        <v>47</v>
      </c>
      <c r="B539" t="str">
        <f>"002060"</f>
        <v>002060</v>
      </c>
      <c r="C539" t="s">
        <v>1243</v>
      </c>
      <c r="D539" t="s">
        <v>84</v>
      </c>
      <c r="E539">
        <v>31944263779</v>
      </c>
      <c r="F539">
        <v>30411774729</v>
      </c>
      <c r="G539">
        <v>26648249539</v>
      </c>
      <c r="H539">
        <v>21098653325</v>
      </c>
      <c r="I539">
        <v>17767476094</v>
      </c>
      <c r="J539">
        <v>16052897862</v>
      </c>
      <c r="K539">
        <v>14478920437</v>
      </c>
      <c r="L539">
        <v>12733687523</v>
      </c>
      <c r="M539">
        <v>11426599167</v>
      </c>
      <c r="N539">
        <v>9854048103</v>
      </c>
      <c r="O539">
        <v>8330654869</v>
      </c>
      <c r="P539">
        <v>169</v>
      </c>
      <c r="Q539" t="s">
        <v>1244</v>
      </c>
    </row>
    <row r="540" spans="1:17" x14ac:dyDescent="0.3">
      <c r="A540" t="s">
        <v>47</v>
      </c>
      <c r="B540" t="str">
        <f>"000059"</f>
        <v>000059</v>
      </c>
      <c r="C540" t="s">
        <v>1245</v>
      </c>
      <c r="D540" t="s">
        <v>62</v>
      </c>
      <c r="E540">
        <v>31918489419</v>
      </c>
      <c r="F540">
        <v>30034373749</v>
      </c>
      <c r="G540">
        <v>29985283995</v>
      </c>
      <c r="H540">
        <v>29453519572</v>
      </c>
      <c r="I540">
        <v>30847548266</v>
      </c>
      <c r="J540">
        <v>32777073791</v>
      </c>
      <c r="K540">
        <v>30573757844</v>
      </c>
      <c r="L540">
        <v>29727475797</v>
      </c>
      <c r="M540">
        <v>30672748897</v>
      </c>
      <c r="N540">
        <v>30916202868</v>
      </c>
      <c r="O540">
        <v>29196160263</v>
      </c>
      <c r="P540">
        <v>387</v>
      </c>
      <c r="Q540" t="s">
        <v>1246</v>
      </c>
    </row>
    <row r="541" spans="1:17" x14ac:dyDescent="0.3">
      <c r="A541" t="s">
        <v>47</v>
      </c>
      <c r="B541" t="str">
        <f>"002251"</f>
        <v>002251</v>
      </c>
      <c r="C541" t="s">
        <v>1247</v>
      </c>
      <c r="D541" t="s">
        <v>692</v>
      </c>
      <c r="E541">
        <v>31839751851</v>
      </c>
      <c r="F541">
        <v>27574286629</v>
      </c>
      <c r="G541">
        <v>24445139208</v>
      </c>
      <c r="H541">
        <v>21970622728</v>
      </c>
      <c r="I541">
        <v>15953710193</v>
      </c>
      <c r="J541">
        <v>14325584959</v>
      </c>
      <c r="K541">
        <v>12637085634</v>
      </c>
      <c r="L541">
        <v>11860653215</v>
      </c>
      <c r="M541">
        <v>8443704018</v>
      </c>
      <c r="N541">
        <v>7309497600</v>
      </c>
      <c r="O541">
        <v>5314093418</v>
      </c>
      <c r="P541">
        <v>196</v>
      </c>
      <c r="Q541" t="s">
        <v>1248</v>
      </c>
    </row>
    <row r="542" spans="1:17" x14ac:dyDescent="0.3">
      <c r="A542" t="s">
        <v>17</v>
      </c>
      <c r="B542" t="str">
        <f>"600060"</f>
        <v>600060</v>
      </c>
      <c r="C542" t="s">
        <v>1249</v>
      </c>
      <c r="D542" t="s">
        <v>612</v>
      </c>
      <c r="E542">
        <v>31808726570</v>
      </c>
      <c r="F542">
        <v>31255915299</v>
      </c>
      <c r="G542">
        <v>27980388032</v>
      </c>
      <c r="H542">
        <v>28157910338</v>
      </c>
      <c r="I542">
        <v>24748302072</v>
      </c>
      <c r="J542">
        <v>21680779314</v>
      </c>
      <c r="K542">
        <v>20506651558</v>
      </c>
      <c r="L542">
        <v>20518295073</v>
      </c>
      <c r="M542">
        <v>20073217883</v>
      </c>
      <c r="N542">
        <v>18735888003</v>
      </c>
      <c r="O542">
        <v>14935976128</v>
      </c>
      <c r="P542">
        <v>532</v>
      </c>
      <c r="Q542" t="s">
        <v>1250</v>
      </c>
    </row>
    <row r="543" spans="1:17" x14ac:dyDescent="0.3">
      <c r="A543" t="s">
        <v>47</v>
      </c>
      <c r="B543" t="str">
        <f>"002371"</f>
        <v>002371</v>
      </c>
      <c r="C543" t="s">
        <v>1251</v>
      </c>
      <c r="D543" t="s">
        <v>1252</v>
      </c>
      <c r="E543">
        <v>31792256182</v>
      </c>
      <c r="F543">
        <v>20260452847</v>
      </c>
      <c r="G543">
        <v>14148797397</v>
      </c>
      <c r="H543">
        <v>10154249447</v>
      </c>
      <c r="I543">
        <v>8516918995</v>
      </c>
      <c r="J543">
        <v>6777489003</v>
      </c>
      <c r="K543">
        <v>4272434916</v>
      </c>
      <c r="L543">
        <v>3947177092</v>
      </c>
      <c r="M543">
        <v>3718993107</v>
      </c>
      <c r="N543">
        <v>3581936937</v>
      </c>
      <c r="O543">
        <v>2768523219</v>
      </c>
      <c r="P543">
        <v>1587</v>
      </c>
      <c r="Q543" t="s">
        <v>1253</v>
      </c>
    </row>
    <row r="544" spans="1:17" x14ac:dyDescent="0.3">
      <c r="A544" t="s">
        <v>17</v>
      </c>
      <c r="B544" t="str">
        <f>"601918"</f>
        <v>601918</v>
      </c>
      <c r="C544" t="s">
        <v>1254</v>
      </c>
      <c r="D544" t="s">
        <v>141</v>
      </c>
      <c r="E544">
        <v>31789979849</v>
      </c>
      <c r="F544">
        <v>29029912285</v>
      </c>
      <c r="G544">
        <v>28442658322</v>
      </c>
      <c r="H544">
        <v>29913311801</v>
      </c>
      <c r="I544">
        <v>31518450503</v>
      </c>
      <c r="J544">
        <v>31442101921</v>
      </c>
      <c r="K544">
        <v>30820596029</v>
      </c>
      <c r="L544">
        <v>29767795213</v>
      </c>
      <c r="M544">
        <v>27839058147</v>
      </c>
      <c r="N544">
        <v>25161969803</v>
      </c>
      <c r="O544">
        <v>23352927926</v>
      </c>
      <c r="P544">
        <v>237</v>
      </c>
      <c r="Q544" t="s">
        <v>1255</v>
      </c>
    </row>
    <row r="545" spans="1:17" x14ac:dyDescent="0.3">
      <c r="A545" t="s">
        <v>17</v>
      </c>
      <c r="B545" t="str">
        <f>"600581"</f>
        <v>600581</v>
      </c>
      <c r="C545" t="s">
        <v>1256</v>
      </c>
      <c r="D545" t="s">
        <v>210</v>
      </c>
      <c r="E545">
        <v>31737317516</v>
      </c>
      <c r="F545">
        <v>24778661624</v>
      </c>
      <c r="G545">
        <v>19807437468</v>
      </c>
      <c r="H545">
        <v>18690231200</v>
      </c>
      <c r="I545">
        <v>18909412759</v>
      </c>
      <c r="J545">
        <v>12240238361</v>
      </c>
      <c r="K545">
        <v>18010103848</v>
      </c>
      <c r="L545">
        <v>21607901277</v>
      </c>
      <c r="M545">
        <v>23079846627</v>
      </c>
      <c r="N545">
        <v>21018807153</v>
      </c>
      <c r="O545">
        <v>14991638823</v>
      </c>
      <c r="P545">
        <v>265</v>
      </c>
      <c r="Q545" t="s">
        <v>1257</v>
      </c>
    </row>
    <row r="546" spans="1:17" x14ac:dyDescent="0.3">
      <c r="A546" t="s">
        <v>17</v>
      </c>
      <c r="B546" t="str">
        <f>"600426"</f>
        <v>600426</v>
      </c>
      <c r="C546" t="s">
        <v>1258</v>
      </c>
      <c r="D546" t="s">
        <v>783</v>
      </c>
      <c r="E546">
        <v>31560745923</v>
      </c>
      <c r="F546">
        <v>22827905961</v>
      </c>
      <c r="G546">
        <v>18527829329</v>
      </c>
      <c r="H546">
        <v>18822517399</v>
      </c>
      <c r="I546">
        <v>16838580568</v>
      </c>
      <c r="J546">
        <v>14191548958</v>
      </c>
      <c r="K546">
        <v>11826237490</v>
      </c>
      <c r="L546">
        <v>12925822748</v>
      </c>
      <c r="M546">
        <v>12838291694</v>
      </c>
      <c r="N546">
        <v>12354572401</v>
      </c>
      <c r="O546">
        <v>11782887881</v>
      </c>
      <c r="P546">
        <v>1013</v>
      </c>
      <c r="Q546" t="s">
        <v>1259</v>
      </c>
    </row>
    <row r="547" spans="1:17" x14ac:dyDescent="0.3">
      <c r="A547" t="s">
        <v>17</v>
      </c>
      <c r="B547" t="str">
        <f>"600415"</f>
        <v>600415</v>
      </c>
      <c r="C547" t="s">
        <v>1260</v>
      </c>
      <c r="D547" t="s">
        <v>454</v>
      </c>
      <c r="E547">
        <v>31390973991</v>
      </c>
      <c r="F547">
        <v>29165481585</v>
      </c>
      <c r="G547">
        <v>31610124575</v>
      </c>
      <c r="H547">
        <v>30541995445</v>
      </c>
      <c r="I547">
        <v>25062777623</v>
      </c>
      <c r="J547">
        <v>24230715914</v>
      </c>
      <c r="K547">
        <v>28375280299</v>
      </c>
      <c r="L547">
        <v>27987646898</v>
      </c>
      <c r="M547">
        <v>24883920800</v>
      </c>
      <c r="N547">
        <v>18065224625</v>
      </c>
      <c r="O547">
        <v>18068554250</v>
      </c>
      <c r="P547">
        <v>327</v>
      </c>
      <c r="Q547" t="s">
        <v>1261</v>
      </c>
    </row>
    <row r="548" spans="1:17" x14ac:dyDescent="0.3">
      <c r="A548" t="s">
        <v>47</v>
      </c>
      <c r="B548" t="str">
        <f>"002419"</f>
        <v>002419</v>
      </c>
      <c r="C548" t="s">
        <v>1262</v>
      </c>
      <c r="D548" t="s">
        <v>1073</v>
      </c>
      <c r="E548">
        <v>31246081193</v>
      </c>
      <c r="F548">
        <v>33176331611</v>
      </c>
      <c r="G548">
        <v>15187416856</v>
      </c>
      <c r="H548">
        <v>15556638396</v>
      </c>
      <c r="I548">
        <v>15321872092</v>
      </c>
      <c r="J548">
        <v>14079915624</v>
      </c>
      <c r="K548">
        <v>13546099484</v>
      </c>
      <c r="L548">
        <v>11068506116</v>
      </c>
      <c r="M548">
        <v>9888574527</v>
      </c>
      <c r="N548">
        <v>9618137646</v>
      </c>
      <c r="O548">
        <v>8056117225</v>
      </c>
      <c r="P548">
        <v>421</v>
      </c>
      <c r="Q548" t="s">
        <v>1263</v>
      </c>
    </row>
    <row r="549" spans="1:17" x14ac:dyDescent="0.3">
      <c r="A549" t="s">
        <v>47</v>
      </c>
      <c r="B549" t="str">
        <f>"300122"</f>
        <v>300122</v>
      </c>
      <c r="C549" t="s">
        <v>1264</v>
      </c>
      <c r="D549" t="s">
        <v>894</v>
      </c>
      <c r="E549">
        <v>31232017191</v>
      </c>
      <c r="F549">
        <v>17128102310</v>
      </c>
      <c r="G549">
        <v>13644335130</v>
      </c>
      <c r="H549">
        <v>8405812234</v>
      </c>
      <c r="I549">
        <v>4848195324</v>
      </c>
      <c r="J549">
        <v>2703221263</v>
      </c>
      <c r="K549">
        <v>2697119937</v>
      </c>
      <c r="L549">
        <v>2712516252</v>
      </c>
      <c r="M549">
        <v>2597354673</v>
      </c>
      <c r="N549">
        <v>2559002050</v>
      </c>
      <c r="O549">
        <v>2510030273</v>
      </c>
      <c r="P549">
        <v>3426</v>
      </c>
      <c r="Q549" t="s">
        <v>1265</v>
      </c>
    </row>
    <row r="550" spans="1:17" x14ac:dyDescent="0.3">
      <c r="A550" t="s">
        <v>17</v>
      </c>
      <c r="B550" t="str">
        <f>"600126"</f>
        <v>600126</v>
      </c>
      <c r="C550" t="s">
        <v>1266</v>
      </c>
      <c r="D550" t="s">
        <v>210</v>
      </c>
      <c r="E550">
        <v>31103750912</v>
      </c>
      <c r="F550">
        <v>32586268361</v>
      </c>
      <c r="G550">
        <v>27626647564</v>
      </c>
      <c r="H550">
        <v>26804769127</v>
      </c>
      <c r="I550">
        <v>24708071410</v>
      </c>
      <c r="J550">
        <v>24793975428</v>
      </c>
      <c r="K550">
        <v>22401220612</v>
      </c>
      <c r="L550">
        <v>6720548059</v>
      </c>
      <c r="M550">
        <v>8914771325</v>
      </c>
      <c r="N550">
        <v>8956340219</v>
      </c>
      <c r="O550">
        <v>9473207307</v>
      </c>
      <c r="P550">
        <v>231</v>
      </c>
      <c r="Q550" t="s">
        <v>1267</v>
      </c>
    </row>
    <row r="551" spans="1:17" x14ac:dyDescent="0.3">
      <c r="A551" t="s">
        <v>47</v>
      </c>
      <c r="B551" t="str">
        <f>"000826"</f>
        <v>000826</v>
      </c>
      <c r="C551" t="s">
        <v>1268</v>
      </c>
      <c r="D551" t="s">
        <v>1269</v>
      </c>
      <c r="E551">
        <v>31057296733</v>
      </c>
      <c r="F551">
        <v>42229745253</v>
      </c>
      <c r="G551">
        <v>44692174443</v>
      </c>
      <c r="H551">
        <v>40107163925</v>
      </c>
      <c r="I551">
        <v>35185344917</v>
      </c>
      <c r="J551">
        <v>24045048519</v>
      </c>
      <c r="K551">
        <v>17367114677</v>
      </c>
      <c r="L551">
        <v>11095121738</v>
      </c>
      <c r="M551">
        <v>7978631926</v>
      </c>
      <c r="N551">
        <v>5713432217</v>
      </c>
      <c r="O551">
        <v>3905105277</v>
      </c>
      <c r="P551">
        <v>559</v>
      </c>
      <c r="Q551" t="s">
        <v>1270</v>
      </c>
    </row>
    <row r="552" spans="1:17" x14ac:dyDescent="0.3">
      <c r="A552" t="s">
        <v>17</v>
      </c>
      <c r="B552" t="str">
        <f>"600809"</f>
        <v>600809</v>
      </c>
      <c r="C552" t="s">
        <v>1271</v>
      </c>
      <c r="D552" t="s">
        <v>286</v>
      </c>
      <c r="E552">
        <v>30907569647</v>
      </c>
      <c r="F552">
        <v>21978347605</v>
      </c>
      <c r="G552">
        <v>14953428655</v>
      </c>
      <c r="H552">
        <v>12969295581</v>
      </c>
      <c r="I552">
        <v>10455642162</v>
      </c>
      <c r="J552">
        <v>8136704436</v>
      </c>
      <c r="K552">
        <v>7263144231</v>
      </c>
      <c r="L552">
        <v>5932630255</v>
      </c>
      <c r="M552">
        <v>5982943833</v>
      </c>
      <c r="N552">
        <v>6442478470</v>
      </c>
      <c r="O552">
        <v>5660584751</v>
      </c>
      <c r="P552">
        <v>3742</v>
      </c>
      <c r="Q552" t="s">
        <v>1272</v>
      </c>
    </row>
    <row r="553" spans="1:17" x14ac:dyDescent="0.3">
      <c r="A553" t="s">
        <v>47</v>
      </c>
      <c r="B553" t="str">
        <f>"000792"</f>
        <v>000792</v>
      </c>
      <c r="C553" t="s">
        <v>1273</v>
      </c>
      <c r="D553" t="s">
        <v>1274</v>
      </c>
      <c r="E553">
        <v>30860979781</v>
      </c>
      <c r="F553">
        <v>21333623635</v>
      </c>
      <c r="G553">
        <v>23349713398</v>
      </c>
      <c r="H553">
        <v>73658301195</v>
      </c>
      <c r="I553">
        <v>80089397679</v>
      </c>
      <c r="J553">
        <v>83463670256</v>
      </c>
      <c r="K553">
        <v>80828772106</v>
      </c>
      <c r="L553">
        <v>69712348663</v>
      </c>
      <c r="M553">
        <v>55113174162</v>
      </c>
      <c r="N553">
        <v>46749785183</v>
      </c>
      <c r="O553">
        <v>31120330211</v>
      </c>
      <c r="P553">
        <v>422</v>
      </c>
      <c r="Q553" t="s">
        <v>1275</v>
      </c>
    </row>
    <row r="554" spans="1:17" x14ac:dyDescent="0.3">
      <c r="A554" t="s">
        <v>17</v>
      </c>
      <c r="B554" t="str">
        <f>"601512"</f>
        <v>601512</v>
      </c>
      <c r="C554" t="s">
        <v>1276</v>
      </c>
      <c r="D554" t="s">
        <v>190</v>
      </c>
      <c r="E554">
        <v>30852362847</v>
      </c>
      <c r="F554">
        <v>26843319069</v>
      </c>
      <c r="G554">
        <v>23895513154</v>
      </c>
      <c r="P554">
        <v>103</v>
      </c>
      <c r="Q554" t="s">
        <v>1277</v>
      </c>
    </row>
    <row r="555" spans="1:17" x14ac:dyDescent="0.3">
      <c r="A555" t="s">
        <v>17</v>
      </c>
      <c r="B555" t="str">
        <f>"600997"</f>
        <v>600997</v>
      </c>
      <c r="C555" t="s">
        <v>1278</v>
      </c>
      <c r="D555" t="s">
        <v>1279</v>
      </c>
      <c r="E555">
        <v>30846800399</v>
      </c>
      <c r="F555">
        <v>28622809798</v>
      </c>
      <c r="G555">
        <v>25332557620</v>
      </c>
      <c r="H555">
        <v>25137119661</v>
      </c>
      <c r="I555">
        <v>23071107464</v>
      </c>
      <c r="J555">
        <v>22923385186</v>
      </c>
      <c r="K555">
        <v>20748186468</v>
      </c>
      <c r="L555">
        <v>21668471403</v>
      </c>
      <c r="M555">
        <v>21268827657</v>
      </c>
      <c r="N555">
        <v>21478159131</v>
      </c>
      <c r="O555">
        <v>19721541720</v>
      </c>
      <c r="P555">
        <v>729</v>
      </c>
      <c r="Q555" t="s">
        <v>1280</v>
      </c>
    </row>
    <row r="556" spans="1:17" x14ac:dyDescent="0.3">
      <c r="A556" t="s">
        <v>47</v>
      </c>
      <c r="B556" t="str">
        <f>"000596"</f>
        <v>000596</v>
      </c>
      <c r="C556" t="s">
        <v>1281</v>
      </c>
      <c r="D556" t="s">
        <v>286</v>
      </c>
      <c r="E556">
        <v>30822518376</v>
      </c>
      <c r="F556">
        <v>18168451825</v>
      </c>
      <c r="G556">
        <v>15392796907</v>
      </c>
      <c r="H556">
        <v>13659931600</v>
      </c>
      <c r="I556">
        <v>11503386291</v>
      </c>
      <c r="J556">
        <v>10307874725</v>
      </c>
      <c r="K556">
        <v>8360869740</v>
      </c>
      <c r="L556">
        <v>6996648808</v>
      </c>
      <c r="M556">
        <v>6130728602</v>
      </c>
      <c r="N556">
        <v>5676984074</v>
      </c>
      <c r="O556">
        <v>4314015510</v>
      </c>
      <c r="P556">
        <v>53678</v>
      </c>
      <c r="Q556" t="s">
        <v>1282</v>
      </c>
    </row>
    <row r="557" spans="1:17" x14ac:dyDescent="0.3">
      <c r="A557" t="s">
        <v>47</v>
      </c>
      <c r="B557" t="str">
        <f>"300197"</f>
        <v>300197</v>
      </c>
      <c r="C557" t="s">
        <v>1283</v>
      </c>
      <c r="D557" t="s">
        <v>952</v>
      </c>
      <c r="E557">
        <v>30782461628</v>
      </c>
      <c r="F557">
        <v>29771142435</v>
      </c>
      <c r="G557">
        <v>28313286098</v>
      </c>
      <c r="H557">
        <v>24967159883</v>
      </c>
      <c r="I557">
        <v>21004207631</v>
      </c>
      <c r="J557">
        <v>11633551182</v>
      </c>
      <c r="K557">
        <v>8849378669</v>
      </c>
      <c r="L557">
        <v>5150000093</v>
      </c>
      <c r="M557">
        <v>3822758600</v>
      </c>
      <c r="N557">
        <v>2692808127</v>
      </c>
      <c r="O557">
        <v>1568598308</v>
      </c>
      <c r="P557">
        <v>356</v>
      </c>
      <c r="Q557" t="s">
        <v>1284</v>
      </c>
    </row>
    <row r="558" spans="1:17" x14ac:dyDescent="0.3">
      <c r="A558" t="s">
        <v>17</v>
      </c>
      <c r="B558" t="str">
        <f>"601778"</f>
        <v>601778</v>
      </c>
      <c r="C558" t="s">
        <v>1285</v>
      </c>
      <c r="D558" t="s">
        <v>976</v>
      </c>
      <c r="E558">
        <v>30634583864</v>
      </c>
      <c r="F558">
        <v>29721979990</v>
      </c>
      <c r="G558">
        <v>30017291083</v>
      </c>
      <c r="P558">
        <v>221</v>
      </c>
      <c r="Q558" t="s">
        <v>1286</v>
      </c>
    </row>
    <row r="559" spans="1:17" x14ac:dyDescent="0.3">
      <c r="A559" t="s">
        <v>17</v>
      </c>
      <c r="B559" t="str">
        <f>"600373"</f>
        <v>600373</v>
      </c>
      <c r="C559" t="s">
        <v>1287</v>
      </c>
      <c r="D559" t="s">
        <v>1288</v>
      </c>
      <c r="E559">
        <v>30616045855</v>
      </c>
      <c r="F559">
        <v>27695876482</v>
      </c>
      <c r="G559">
        <v>25844335170</v>
      </c>
      <c r="H559">
        <v>25838625451</v>
      </c>
      <c r="I559">
        <v>22147317772</v>
      </c>
      <c r="J559">
        <v>19082279348</v>
      </c>
      <c r="K559">
        <v>18456027972</v>
      </c>
      <c r="L559">
        <v>15273193818</v>
      </c>
      <c r="M559">
        <v>12617411784</v>
      </c>
      <c r="N559">
        <v>9737425117</v>
      </c>
      <c r="O559">
        <v>7922613101</v>
      </c>
      <c r="P559">
        <v>776</v>
      </c>
      <c r="Q559" t="s">
        <v>1289</v>
      </c>
    </row>
    <row r="560" spans="1:17" x14ac:dyDescent="0.3">
      <c r="A560" t="s">
        <v>47</v>
      </c>
      <c r="B560" t="str">
        <f>"002945"</f>
        <v>002945</v>
      </c>
      <c r="C560" t="s">
        <v>1290</v>
      </c>
      <c r="D560" t="s">
        <v>99</v>
      </c>
      <c r="E560">
        <v>30607198808</v>
      </c>
      <c r="F560">
        <v>32358638692</v>
      </c>
      <c r="G560">
        <v>16893543111</v>
      </c>
      <c r="H560">
        <v>17635576085</v>
      </c>
      <c r="J560">
        <v>12938431422</v>
      </c>
      <c r="K560">
        <v>18050408399</v>
      </c>
      <c r="P560">
        <v>913</v>
      </c>
      <c r="Q560" t="s">
        <v>1291</v>
      </c>
    </row>
    <row r="561" spans="1:17" x14ac:dyDescent="0.3">
      <c r="A561" t="s">
        <v>47</v>
      </c>
      <c r="B561" t="str">
        <f>"002015"</f>
        <v>002015</v>
      </c>
      <c r="C561" t="s">
        <v>1292</v>
      </c>
      <c r="D561" t="s">
        <v>1293</v>
      </c>
      <c r="E561">
        <v>30402593055</v>
      </c>
      <c r="F561">
        <v>28378250789</v>
      </c>
      <c r="G561">
        <v>24557992579</v>
      </c>
      <c r="H561">
        <v>624620535</v>
      </c>
      <c r="I561">
        <v>325949488</v>
      </c>
      <c r="J561">
        <v>300707941</v>
      </c>
      <c r="K561">
        <v>355348746</v>
      </c>
      <c r="L561">
        <v>582152951</v>
      </c>
      <c r="M561">
        <v>2302218460</v>
      </c>
      <c r="N561">
        <v>3018071654</v>
      </c>
      <c r="O561">
        <v>2557523332</v>
      </c>
      <c r="P561">
        <v>239</v>
      </c>
      <c r="Q561" t="s">
        <v>1294</v>
      </c>
    </row>
    <row r="562" spans="1:17" x14ac:dyDescent="0.3">
      <c r="A562" t="s">
        <v>47</v>
      </c>
      <c r="B562" t="str">
        <f>"002008"</f>
        <v>002008</v>
      </c>
      <c r="C562" t="s">
        <v>1295</v>
      </c>
      <c r="D562" t="s">
        <v>1296</v>
      </c>
      <c r="E562">
        <v>30369033718</v>
      </c>
      <c r="F562">
        <v>22936051220</v>
      </c>
      <c r="G562">
        <v>18858157131</v>
      </c>
      <c r="H562">
        <v>18911739258</v>
      </c>
      <c r="I562">
        <v>16244479872</v>
      </c>
      <c r="J562">
        <v>11107513740</v>
      </c>
      <c r="K562">
        <v>8008545041</v>
      </c>
      <c r="L562">
        <v>7086880026</v>
      </c>
      <c r="M562">
        <v>6642526804</v>
      </c>
      <c r="N562">
        <v>6471534791</v>
      </c>
      <c r="O562">
        <v>6377596267</v>
      </c>
      <c r="P562">
        <v>4830</v>
      </c>
      <c r="Q562" t="s">
        <v>1297</v>
      </c>
    </row>
    <row r="563" spans="1:17" x14ac:dyDescent="0.3">
      <c r="A563" t="s">
        <v>47</v>
      </c>
      <c r="B563" t="str">
        <f>"000060"</f>
        <v>000060</v>
      </c>
      <c r="C563" t="s">
        <v>1298</v>
      </c>
      <c r="D563" t="s">
        <v>1299</v>
      </c>
      <c r="E563">
        <v>30310299217</v>
      </c>
      <c r="F563">
        <v>25707620031</v>
      </c>
      <c r="G563">
        <v>20598463136</v>
      </c>
      <c r="H563">
        <v>20064068579</v>
      </c>
      <c r="I563">
        <v>19261467582</v>
      </c>
      <c r="J563">
        <v>17072352169</v>
      </c>
      <c r="K563">
        <v>15864851413</v>
      </c>
      <c r="L563">
        <v>15785714386</v>
      </c>
      <c r="M563">
        <v>14427339146</v>
      </c>
      <c r="N563">
        <v>14435627078</v>
      </c>
      <c r="O563">
        <v>14578336091</v>
      </c>
      <c r="P563">
        <v>373</v>
      </c>
      <c r="Q563" t="s">
        <v>1300</v>
      </c>
    </row>
    <row r="564" spans="1:17" x14ac:dyDescent="0.3">
      <c r="A564" t="s">
        <v>47</v>
      </c>
      <c r="B564" t="str">
        <f>"000723"</f>
        <v>000723</v>
      </c>
      <c r="C564" t="s">
        <v>1301</v>
      </c>
      <c r="D564" t="s">
        <v>1279</v>
      </c>
      <c r="E564">
        <v>30290684797</v>
      </c>
      <c r="F564">
        <v>25401814390</v>
      </c>
      <c r="G564">
        <v>19839014764</v>
      </c>
      <c r="H564">
        <v>18592090896</v>
      </c>
      <c r="I564">
        <v>14357236262</v>
      </c>
      <c r="J564">
        <v>13488655051</v>
      </c>
      <c r="K564">
        <v>14236096114</v>
      </c>
      <c r="L564">
        <v>823752932</v>
      </c>
      <c r="M564">
        <v>731630561</v>
      </c>
      <c r="N564">
        <v>773226228</v>
      </c>
      <c r="O564">
        <v>896667736</v>
      </c>
      <c r="P564">
        <v>673</v>
      </c>
      <c r="Q564" t="s">
        <v>1302</v>
      </c>
    </row>
    <row r="565" spans="1:17" x14ac:dyDescent="0.3">
      <c r="A565" t="s">
        <v>17</v>
      </c>
      <c r="B565" t="str">
        <f>"600123"</f>
        <v>600123</v>
      </c>
      <c r="C565" t="s">
        <v>1303</v>
      </c>
      <c r="D565" t="s">
        <v>530</v>
      </c>
      <c r="E565">
        <v>30279835713</v>
      </c>
      <c r="F565">
        <v>27486058348</v>
      </c>
      <c r="G565">
        <v>26943051934</v>
      </c>
      <c r="H565">
        <v>23960421832</v>
      </c>
      <c r="I565">
        <v>23817626102</v>
      </c>
      <c r="J565">
        <v>24543968064</v>
      </c>
      <c r="K565">
        <v>22969575832</v>
      </c>
      <c r="L565">
        <v>22074996451</v>
      </c>
      <c r="M565">
        <v>20733981683</v>
      </c>
      <c r="N565">
        <v>20349304897</v>
      </c>
      <c r="O565">
        <v>16382833212</v>
      </c>
      <c r="P565">
        <v>623</v>
      </c>
      <c r="Q565" t="s">
        <v>1304</v>
      </c>
    </row>
    <row r="566" spans="1:17" x14ac:dyDescent="0.3">
      <c r="A566" t="s">
        <v>47</v>
      </c>
      <c r="B566" t="str">
        <f>"002004"</f>
        <v>002004</v>
      </c>
      <c r="C566" t="s">
        <v>1305</v>
      </c>
      <c r="D566" t="s">
        <v>550</v>
      </c>
      <c r="E566">
        <v>30249226748</v>
      </c>
      <c r="F566">
        <v>28738539024</v>
      </c>
      <c r="G566">
        <v>28560817307</v>
      </c>
      <c r="H566">
        <v>27175098117</v>
      </c>
      <c r="I566">
        <v>29324142547</v>
      </c>
      <c r="J566">
        <v>25155259719</v>
      </c>
      <c r="K566">
        <v>20384650448</v>
      </c>
      <c r="L566">
        <v>15461069406</v>
      </c>
      <c r="M566">
        <v>7789719882</v>
      </c>
      <c r="N566">
        <v>6835773392</v>
      </c>
      <c r="O566">
        <v>4338706336</v>
      </c>
      <c r="P566">
        <v>328</v>
      </c>
      <c r="Q566" t="s">
        <v>1306</v>
      </c>
    </row>
    <row r="567" spans="1:17" x14ac:dyDescent="0.3">
      <c r="A567" t="s">
        <v>17</v>
      </c>
      <c r="B567" t="str">
        <f>"600711"</f>
        <v>600711</v>
      </c>
      <c r="C567" t="s">
        <v>1307</v>
      </c>
      <c r="D567" t="s">
        <v>635</v>
      </c>
      <c r="E567">
        <v>30163002763</v>
      </c>
      <c r="F567">
        <v>24683222444</v>
      </c>
      <c r="G567">
        <v>24426686156</v>
      </c>
      <c r="H567">
        <v>14127975976</v>
      </c>
      <c r="I567">
        <v>12796069095</v>
      </c>
      <c r="J567">
        <v>10934483732</v>
      </c>
      <c r="K567">
        <v>8125593671</v>
      </c>
      <c r="L567">
        <v>5911270357</v>
      </c>
      <c r="M567">
        <v>3928193538</v>
      </c>
      <c r="N567">
        <v>3635022570</v>
      </c>
      <c r="O567">
        <v>1891240194</v>
      </c>
      <c r="P567">
        <v>377</v>
      </c>
      <c r="Q567" t="s">
        <v>1308</v>
      </c>
    </row>
    <row r="568" spans="1:17" x14ac:dyDescent="0.3">
      <c r="A568" t="s">
        <v>17</v>
      </c>
      <c r="B568" t="str">
        <f>"600323"</f>
        <v>600323</v>
      </c>
      <c r="C568" t="s">
        <v>1309</v>
      </c>
      <c r="D568" t="s">
        <v>1310</v>
      </c>
      <c r="E568">
        <v>30044785064</v>
      </c>
      <c r="F568">
        <v>26512227289</v>
      </c>
      <c r="G568">
        <v>22395535372</v>
      </c>
      <c r="H568">
        <v>17125284114</v>
      </c>
      <c r="I568">
        <v>14129507286</v>
      </c>
      <c r="J568">
        <v>13344547213</v>
      </c>
      <c r="K568">
        <v>12132058146</v>
      </c>
      <c r="L568">
        <v>11368735611</v>
      </c>
      <c r="M568">
        <v>5697405235</v>
      </c>
      <c r="N568">
        <v>4691681021</v>
      </c>
      <c r="O568">
        <v>3954759895</v>
      </c>
      <c r="P568">
        <v>1149</v>
      </c>
      <c r="Q568" t="s">
        <v>1311</v>
      </c>
    </row>
    <row r="569" spans="1:17" x14ac:dyDescent="0.3">
      <c r="A569" t="s">
        <v>17</v>
      </c>
      <c r="B569" t="str">
        <f>"600120"</f>
        <v>600120</v>
      </c>
      <c r="C569" t="s">
        <v>1312</v>
      </c>
      <c r="D569" t="s">
        <v>109</v>
      </c>
      <c r="E569">
        <v>29913721449</v>
      </c>
      <c r="F569">
        <v>28197409298</v>
      </c>
      <c r="G569">
        <v>23083153022</v>
      </c>
      <c r="H569">
        <v>19935548161</v>
      </c>
      <c r="I569">
        <v>19193502948</v>
      </c>
      <c r="J569">
        <v>11122185641</v>
      </c>
      <c r="K569">
        <v>11787070628</v>
      </c>
      <c r="L569">
        <v>11274060601</v>
      </c>
      <c r="M569">
        <v>10865297978</v>
      </c>
      <c r="N569">
        <v>10442674000</v>
      </c>
      <c r="O569">
        <v>7382782195</v>
      </c>
      <c r="P569">
        <v>193</v>
      </c>
      <c r="Q569" t="s">
        <v>1313</v>
      </c>
    </row>
    <row r="570" spans="1:17" x14ac:dyDescent="0.3">
      <c r="A570" t="s">
        <v>47</v>
      </c>
      <c r="B570" t="str">
        <f>"002739"</f>
        <v>002739</v>
      </c>
      <c r="C570" t="s">
        <v>1314</v>
      </c>
      <c r="D570" t="s">
        <v>1315</v>
      </c>
      <c r="E570">
        <v>29890571329</v>
      </c>
      <c r="F570">
        <v>31848917471</v>
      </c>
      <c r="G570">
        <v>25265473083</v>
      </c>
      <c r="H570">
        <v>23443081570</v>
      </c>
      <c r="I570">
        <v>23140783636</v>
      </c>
      <c r="J570">
        <v>19657738331</v>
      </c>
      <c r="K570">
        <v>15660506588</v>
      </c>
      <c r="L570">
        <v>6308606309</v>
      </c>
      <c r="P570">
        <v>911</v>
      </c>
      <c r="Q570" t="s">
        <v>1316</v>
      </c>
    </row>
    <row r="571" spans="1:17" x14ac:dyDescent="0.3">
      <c r="A571" t="s">
        <v>47</v>
      </c>
      <c r="B571" t="str">
        <f>"002302"</f>
        <v>002302</v>
      </c>
      <c r="C571" t="s">
        <v>1317</v>
      </c>
      <c r="D571" t="s">
        <v>1318</v>
      </c>
      <c r="E571">
        <v>29890549968</v>
      </c>
      <c r="F571">
        <v>24907302445</v>
      </c>
      <c r="G571">
        <v>20511766835</v>
      </c>
      <c r="H571">
        <v>20068230572</v>
      </c>
      <c r="I571">
        <v>17526435859</v>
      </c>
      <c r="J571">
        <v>13628465456</v>
      </c>
      <c r="K571">
        <v>12052379285</v>
      </c>
      <c r="L571">
        <v>10140046020</v>
      </c>
      <c r="M571">
        <v>8883095271</v>
      </c>
      <c r="N571">
        <v>6733035193</v>
      </c>
      <c r="O571">
        <v>2310799992</v>
      </c>
      <c r="P571">
        <v>201</v>
      </c>
      <c r="Q571" t="s">
        <v>1319</v>
      </c>
    </row>
    <row r="572" spans="1:17" x14ac:dyDescent="0.3">
      <c r="A572" t="s">
        <v>17</v>
      </c>
      <c r="B572" t="str">
        <f>"600017"</f>
        <v>600017</v>
      </c>
      <c r="C572" t="s">
        <v>1320</v>
      </c>
      <c r="D572" t="s">
        <v>357</v>
      </c>
      <c r="E572">
        <v>29782149820</v>
      </c>
      <c r="F572">
        <v>27899448494</v>
      </c>
      <c r="G572">
        <v>23304940378</v>
      </c>
      <c r="H572">
        <v>21512161208</v>
      </c>
      <c r="I572">
        <v>20474476131</v>
      </c>
      <c r="J572">
        <v>19994293370</v>
      </c>
      <c r="K572">
        <v>18975697910</v>
      </c>
      <c r="L572">
        <v>18093969357</v>
      </c>
      <c r="M572">
        <v>17328717890</v>
      </c>
      <c r="N572">
        <v>14103822181</v>
      </c>
      <c r="O572">
        <v>10985443162</v>
      </c>
      <c r="P572">
        <v>180</v>
      </c>
      <c r="Q572" t="s">
        <v>1321</v>
      </c>
    </row>
    <row r="573" spans="1:17" x14ac:dyDescent="0.3">
      <c r="A573" t="s">
        <v>47</v>
      </c>
      <c r="B573" t="str">
        <f>"000501"</f>
        <v>000501</v>
      </c>
      <c r="C573" t="s">
        <v>1322</v>
      </c>
      <c r="D573" t="s">
        <v>1073</v>
      </c>
      <c r="E573">
        <v>29778588931</v>
      </c>
      <c r="F573">
        <v>24029007780</v>
      </c>
      <c r="G573">
        <v>23738511183</v>
      </c>
      <c r="H573">
        <v>22543057301</v>
      </c>
      <c r="I573">
        <v>19495969943</v>
      </c>
      <c r="J573">
        <v>17537836414</v>
      </c>
      <c r="K573">
        <v>18157731959</v>
      </c>
      <c r="L573">
        <v>15381278215</v>
      </c>
      <c r="M573">
        <v>12092636660</v>
      </c>
      <c r="N573">
        <v>11415988038</v>
      </c>
      <c r="O573">
        <v>9505924717</v>
      </c>
      <c r="P573">
        <v>6225</v>
      </c>
      <c r="Q573" t="s">
        <v>1323</v>
      </c>
    </row>
    <row r="574" spans="1:17" x14ac:dyDescent="0.3">
      <c r="A574" t="s">
        <v>47</v>
      </c>
      <c r="B574" t="str">
        <f>"002230"</f>
        <v>002230</v>
      </c>
      <c r="C574" t="s">
        <v>1324</v>
      </c>
      <c r="D574" t="s">
        <v>1010</v>
      </c>
      <c r="E574">
        <v>29723372351</v>
      </c>
      <c r="F574">
        <v>23669932342</v>
      </c>
      <c r="G574">
        <v>19502448036</v>
      </c>
      <c r="H574">
        <v>15260258733</v>
      </c>
      <c r="I574">
        <v>13118069001</v>
      </c>
      <c r="J574">
        <v>10581549442</v>
      </c>
      <c r="K574">
        <v>8623318578</v>
      </c>
      <c r="L574">
        <v>5088694407</v>
      </c>
      <c r="M574">
        <v>4245808777</v>
      </c>
      <c r="N574">
        <v>1871377439</v>
      </c>
      <c r="O574">
        <v>1486868740</v>
      </c>
      <c r="P574">
        <v>3020</v>
      </c>
      <c r="Q574" t="s">
        <v>1325</v>
      </c>
    </row>
    <row r="575" spans="1:17" x14ac:dyDescent="0.3">
      <c r="A575" t="s">
        <v>17</v>
      </c>
      <c r="B575" t="str">
        <f>"601718"</f>
        <v>601718</v>
      </c>
      <c r="C575" t="s">
        <v>1326</v>
      </c>
      <c r="D575" t="s">
        <v>628</v>
      </c>
      <c r="E575">
        <v>29645405672</v>
      </c>
      <c r="F575">
        <v>29507653028</v>
      </c>
      <c r="G575">
        <v>31193544017</v>
      </c>
      <c r="H575">
        <v>31470505521</v>
      </c>
      <c r="I575">
        <v>31958638452</v>
      </c>
      <c r="J575">
        <v>26536424925</v>
      </c>
      <c r="K575">
        <v>25519799237</v>
      </c>
      <c r="L575">
        <v>20959993285</v>
      </c>
      <c r="M575">
        <v>18758304301</v>
      </c>
      <c r="N575">
        <v>16862682867</v>
      </c>
      <c r="O575">
        <v>15404466901</v>
      </c>
      <c r="P575">
        <v>180</v>
      </c>
      <c r="Q575" t="s">
        <v>1327</v>
      </c>
    </row>
    <row r="576" spans="1:17" x14ac:dyDescent="0.3">
      <c r="A576" t="s">
        <v>17</v>
      </c>
      <c r="B576" t="str">
        <f>"600066"</f>
        <v>600066</v>
      </c>
      <c r="C576" t="s">
        <v>1328</v>
      </c>
      <c r="D576" t="s">
        <v>1329</v>
      </c>
      <c r="E576">
        <v>29584577931</v>
      </c>
      <c r="F576">
        <v>32316805080</v>
      </c>
      <c r="G576">
        <v>33654228507</v>
      </c>
      <c r="H576">
        <v>35365040372</v>
      </c>
      <c r="I576">
        <v>35580408047</v>
      </c>
      <c r="J576">
        <v>29387665135</v>
      </c>
      <c r="K576">
        <v>27421880973</v>
      </c>
      <c r="L576">
        <v>22377253445</v>
      </c>
      <c r="M576">
        <v>16603416488</v>
      </c>
      <c r="N576">
        <v>14167255220</v>
      </c>
      <c r="O576">
        <v>11128576137</v>
      </c>
      <c r="P576">
        <v>2894</v>
      </c>
      <c r="Q576" t="s">
        <v>1330</v>
      </c>
    </row>
    <row r="577" spans="1:17" x14ac:dyDescent="0.3">
      <c r="A577" t="s">
        <v>47</v>
      </c>
      <c r="B577" t="str">
        <f>"002156"</f>
        <v>002156</v>
      </c>
      <c r="C577" t="s">
        <v>1331</v>
      </c>
      <c r="D577" t="s">
        <v>1109</v>
      </c>
      <c r="E577">
        <v>29516019611</v>
      </c>
      <c r="F577">
        <v>22616665911</v>
      </c>
      <c r="G577">
        <v>17317282945</v>
      </c>
      <c r="H577">
        <v>14171999584</v>
      </c>
      <c r="I577">
        <v>12419252889</v>
      </c>
      <c r="J577">
        <v>11127130498</v>
      </c>
      <c r="K577">
        <v>7027798172</v>
      </c>
      <c r="L577">
        <v>4044850178</v>
      </c>
      <c r="M577">
        <v>3668720688</v>
      </c>
      <c r="N577">
        <v>3335969516</v>
      </c>
      <c r="O577">
        <v>3352163008</v>
      </c>
      <c r="P577">
        <v>770</v>
      </c>
      <c r="Q577" t="s">
        <v>1332</v>
      </c>
    </row>
    <row r="578" spans="1:17" x14ac:dyDescent="0.3">
      <c r="A578" t="s">
        <v>47</v>
      </c>
      <c r="B578" t="str">
        <f>"002185"</f>
        <v>002185</v>
      </c>
      <c r="C578" t="s">
        <v>1333</v>
      </c>
      <c r="D578" t="s">
        <v>1109</v>
      </c>
      <c r="E578">
        <v>29419695833</v>
      </c>
      <c r="F578">
        <v>21239909427</v>
      </c>
      <c r="G578">
        <v>16502328426</v>
      </c>
      <c r="H578">
        <v>14398694170</v>
      </c>
      <c r="I578">
        <v>9690447298</v>
      </c>
      <c r="J578">
        <v>8080283328</v>
      </c>
      <c r="K578">
        <v>7199571326</v>
      </c>
      <c r="L578">
        <v>4262617213</v>
      </c>
      <c r="M578">
        <v>3613981627</v>
      </c>
      <c r="N578">
        <v>2632113346</v>
      </c>
      <c r="O578">
        <v>2344865174</v>
      </c>
      <c r="P578">
        <v>1176</v>
      </c>
      <c r="Q578" t="s">
        <v>1334</v>
      </c>
    </row>
    <row r="579" spans="1:17" x14ac:dyDescent="0.3">
      <c r="A579" t="s">
        <v>17</v>
      </c>
      <c r="B579" t="str">
        <f>"601158"</f>
        <v>601158</v>
      </c>
      <c r="C579" t="s">
        <v>1335</v>
      </c>
      <c r="D579" t="s">
        <v>520</v>
      </c>
      <c r="E579">
        <v>29353334652</v>
      </c>
      <c r="F579">
        <v>27191880734</v>
      </c>
      <c r="G579">
        <v>23239746553</v>
      </c>
      <c r="H579">
        <v>20581206728</v>
      </c>
      <c r="I579">
        <v>18716151526</v>
      </c>
      <c r="J579">
        <v>20008226379</v>
      </c>
      <c r="K579">
        <v>19821254026</v>
      </c>
      <c r="L579">
        <v>20825312769</v>
      </c>
      <c r="M579">
        <v>20840824669</v>
      </c>
      <c r="N579">
        <v>19712947782</v>
      </c>
      <c r="O579">
        <v>18202311313</v>
      </c>
      <c r="P579">
        <v>587</v>
      </c>
      <c r="Q579" t="s">
        <v>1336</v>
      </c>
    </row>
    <row r="580" spans="1:17" x14ac:dyDescent="0.3">
      <c r="A580" t="s">
        <v>17</v>
      </c>
      <c r="B580" t="str">
        <f>"601200"</f>
        <v>601200</v>
      </c>
      <c r="C580" t="s">
        <v>1337</v>
      </c>
      <c r="D580" t="s">
        <v>1310</v>
      </c>
      <c r="E580">
        <v>29321079189</v>
      </c>
      <c r="F580">
        <v>28049550623</v>
      </c>
      <c r="G580">
        <v>21372274851</v>
      </c>
      <c r="H580">
        <v>15610796194</v>
      </c>
      <c r="I580">
        <v>12167553240</v>
      </c>
      <c r="J580">
        <v>11929973874</v>
      </c>
      <c r="P580">
        <v>326</v>
      </c>
      <c r="Q580" t="s">
        <v>1338</v>
      </c>
    </row>
    <row r="581" spans="1:17" x14ac:dyDescent="0.3">
      <c r="A581" t="s">
        <v>47</v>
      </c>
      <c r="B581" t="str">
        <f>"000581"</f>
        <v>000581</v>
      </c>
      <c r="C581" t="s">
        <v>1339</v>
      </c>
      <c r="D581" t="s">
        <v>274</v>
      </c>
      <c r="E581">
        <v>29259515906</v>
      </c>
      <c r="F581">
        <v>28619573994</v>
      </c>
      <c r="G581">
        <v>23810886844</v>
      </c>
      <c r="H581">
        <v>22204649524</v>
      </c>
      <c r="I581">
        <v>21228886757</v>
      </c>
      <c r="J581">
        <v>18149666014</v>
      </c>
      <c r="K581">
        <v>16058436671</v>
      </c>
      <c r="L581">
        <v>15250981712</v>
      </c>
      <c r="M581">
        <v>13847905922</v>
      </c>
      <c r="N581">
        <v>11809188961</v>
      </c>
      <c r="O581">
        <v>10504347310</v>
      </c>
      <c r="P581">
        <v>1711</v>
      </c>
      <c r="Q581" t="s">
        <v>1340</v>
      </c>
    </row>
    <row r="582" spans="1:17" x14ac:dyDescent="0.3">
      <c r="A582" t="s">
        <v>47</v>
      </c>
      <c r="B582" t="str">
        <f>"000623"</f>
        <v>000623</v>
      </c>
      <c r="C582" t="s">
        <v>1341</v>
      </c>
      <c r="D582" t="s">
        <v>550</v>
      </c>
      <c r="E582">
        <v>29222066737</v>
      </c>
      <c r="F582">
        <v>27691751174</v>
      </c>
      <c r="G582">
        <v>26137746539</v>
      </c>
      <c r="H582">
        <v>25515200212</v>
      </c>
      <c r="I582">
        <v>24460919999</v>
      </c>
      <c r="J582">
        <v>20989757399</v>
      </c>
      <c r="K582">
        <v>19934404788</v>
      </c>
      <c r="L582">
        <v>14868348829</v>
      </c>
      <c r="M582">
        <v>12373777356</v>
      </c>
      <c r="N582">
        <v>11285681292</v>
      </c>
      <c r="O582">
        <v>10378490374</v>
      </c>
      <c r="P582">
        <v>671</v>
      </c>
      <c r="Q582" t="s">
        <v>1342</v>
      </c>
    </row>
    <row r="583" spans="1:17" x14ac:dyDescent="0.3">
      <c r="A583" t="s">
        <v>17</v>
      </c>
      <c r="B583" t="str">
        <f>"600967"</f>
        <v>600967</v>
      </c>
      <c r="C583" t="s">
        <v>1343</v>
      </c>
      <c r="D583" t="s">
        <v>1344</v>
      </c>
      <c r="E583">
        <v>29150086022</v>
      </c>
      <c r="F583">
        <v>30202875393</v>
      </c>
      <c r="G583">
        <v>24805488791</v>
      </c>
      <c r="H583">
        <v>21224341309</v>
      </c>
      <c r="I583">
        <v>19900657483</v>
      </c>
      <c r="J583">
        <v>15532965171</v>
      </c>
      <c r="K583">
        <v>3157955414</v>
      </c>
      <c r="L583">
        <v>3378681462</v>
      </c>
      <c r="M583">
        <v>3719356812</v>
      </c>
      <c r="N583">
        <v>3724959977</v>
      </c>
      <c r="O583">
        <v>2790254689</v>
      </c>
      <c r="P583">
        <v>286</v>
      </c>
      <c r="Q583" t="s">
        <v>1345</v>
      </c>
    </row>
    <row r="584" spans="1:17" x14ac:dyDescent="0.3">
      <c r="A584" t="s">
        <v>47</v>
      </c>
      <c r="B584" t="str">
        <f>"000967"</f>
        <v>000967</v>
      </c>
      <c r="C584" t="s">
        <v>1346</v>
      </c>
      <c r="D584" t="s">
        <v>1347</v>
      </c>
      <c r="E584">
        <v>29022160446</v>
      </c>
      <c r="F584">
        <v>29039894866</v>
      </c>
      <c r="G584">
        <v>25492720602</v>
      </c>
      <c r="H584">
        <v>24837240272</v>
      </c>
      <c r="I584">
        <v>8127949665</v>
      </c>
      <c r="J584">
        <v>6478192656</v>
      </c>
      <c r="K584">
        <v>5257845031</v>
      </c>
      <c r="L584">
        <v>2649647088</v>
      </c>
      <c r="M584">
        <v>2485430983</v>
      </c>
      <c r="N584">
        <v>1862442876</v>
      </c>
      <c r="O584">
        <v>1980751150</v>
      </c>
      <c r="P584">
        <v>329</v>
      </c>
      <c r="Q584" t="s">
        <v>1348</v>
      </c>
    </row>
    <row r="585" spans="1:17" x14ac:dyDescent="0.3">
      <c r="A585" t="s">
        <v>47</v>
      </c>
      <c r="B585" t="str">
        <f>"001896"</f>
        <v>001896</v>
      </c>
      <c r="C585" t="s">
        <v>1349</v>
      </c>
      <c r="D585" t="s">
        <v>171</v>
      </c>
      <c r="E585">
        <v>28821236632</v>
      </c>
      <c r="F585">
        <v>21468923015</v>
      </c>
      <c r="G585">
        <v>20648186162</v>
      </c>
      <c r="H585">
        <v>20865334690</v>
      </c>
      <c r="I585">
        <v>21527375350</v>
      </c>
      <c r="J585">
        <v>18644477242</v>
      </c>
      <c r="K585">
        <v>12952195774</v>
      </c>
      <c r="L585">
        <v>11484646190</v>
      </c>
      <c r="M585">
        <v>4620054721</v>
      </c>
      <c r="N585">
        <v>5014018610</v>
      </c>
      <c r="O585">
        <v>5728453730</v>
      </c>
      <c r="P585">
        <v>202</v>
      </c>
      <c r="Q585" t="s">
        <v>1350</v>
      </c>
    </row>
    <row r="586" spans="1:17" x14ac:dyDescent="0.3">
      <c r="A586" t="s">
        <v>17</v>
      </c>
      <c r="B586" t="str">
        <f>"601928"</f>
        <v>601928</v>
      </c>
      <c r="C586" t="s">
        <v>1351</v>
      </c>
      <c r="D586" t="s">
        <v>1352</v>
      </c>
      <c r="E586">
        <v>28818700963</v>
      </c>
      <c r="F586">
        <v>26382977147</v>
      </c>
      <c r="G586">
        <v>23712422857</v>
      </c>
      <c r="H586">
        <v>22457481675</v>
      </c>
      <c r="I586">
        <v>20623302488</v>
      </c>
      <c r="J586">
        <v>19546959841</v>
      </c>
      <c r="K586">
        <v>18006364991</v>
      </c>
      <c r="L586">
        <v>16855551418</v>
      </c>
      <c r="M586">
        <v>15987197738</v>
      </c>
      <c r="N586">
        <v>13410796103</v>
      </c>
      <c r="O586">
        <v>12607024200</v>
      </c>
      <c r="P586">
        <v>551</v>
      </c>
      <c r="Q586" t="s">
        <v>1353</v>
      </c>
    </row>
    <row r="587" spans="1:17" x14ac:dyDescent="0.3">
      <c r="A587" t="s">
        <v>17</v>
      </c>
      <c r="B587" t="str">
        <f>"688303"</f>
        <v>688303</v>
      </c>
      <c r="C587" t="s">
        <v>1354</v>
      </c>
      <c r="D587" t="s">
        <v>505</v>
      </c>
      <c r="E587">
        <v>28761792874</v>
      </c>
      <c r="F587">
        <v>10780669710</v>
      </c>
      <c r="G587">
        <v>8962378232</v>
      </c>
      <c r="P587">
        <v>109</v>
      </c>
      <c r="Q587" t="s">
        <v>1355</v>
      </c>
    </row>
    <row r="588" spans="1:17" x14ac:dyDescent="0.3">
      <c r="A588" t="s">
        <v>17</v>
      </c>
      <c r="B588" t="str">
        <f>"688819"</f>
        <v>688819</v>
      </c>
      <c r="C588" t="s">
        <v>1356</v>
      </c>
      <c r="D588" t="s">
        <v>1357</v>
      </c>
      <c r="E588">
        <v>28655712700</v>
      </c>
      <c r="F588">
        <v>26431219497</v>
      </c>
      <c r="G588">
        <v>19094458900</v>
      </c>
      <c r="P588">
        <v>159</v>
      </c>
      <c r="Q588" t="s">
        <v>1358</v>
      </c>
    </row>
    <row r="589" spans="1:17" x14ac:dyDescent="0.3">
      <c r="A589" t="s">
        <v>47</v>
      </c>
      <c r="B589" t="str">
        <f>"300124"</f>
        <v>300124</v>
      </c>
      <c r="C589" t="s">
        <v>1359</v>
      </c>
      <c r="D589" t="s">
        <v>1360</v>
      </c>
      <c r="E589">
        <v>28653337081</v>
      </c>
      <c r="F589">
        <v>20029801748</v>
      </c>
      <c r="G589">
        <v>14903773240</v>
      </c>
      <c r="H589">
        <v>10324129103</v>
      </c>
      <c r="I589">
        <v>9171874206</v>
      </c>
      <c r="J589">
        <v>8126752472</v>
      </c>
      <c r="K589">
        <v>5988466156</v>
      </c>
      <c r="L589">
        <v>4689755507</v>
      </c>
      <c r="M589">
        <v>3824366422</v>
      </c>
      <c r="N589">
        <v>3027043566</v>
      </c>
      <c r="O589">
        <v>2749242407</v>
      </c>
      <c r="P589">
        <v>2412</v>
      </c>
      <c r="Q589" t="s">
        <v>1361</v>
      </c>
    </row>
    <row r="590" spans="1:17" x14ac:dyDescent="0.3">
      <c r="A590" t="s">
        <v>17</v>
      </c>
      <c r="B590" t="str">
        <f>"600497"</f>
        <v>600497</v>
      </c>
      <c r="C590" t="s">
        <v>1362</v>
      </c>
      <c r="D590" t="s">
        <v>1299</v>
      </c>
      <c r="E590">
        <v>28506612249</v>
      </c>
      <c r="F590">
        <v>29562712221</v>
      </c>
      <c r="G590">
        <v>31799788694</v>
      </c>
      <c r="H590">
        <v>31470581914</v>
      </c>
      <c r="I590">
        <v>32095500873</v>
      </c>
      <c r="J590">
        <v>32310506253</v>
      </c>
      <c r="K590">
        <v>34050059901</v>
      </c>
      <c r="L590">
        <v>32804982804</v>
      </c>
      <c r="M590">
        <v>30055028844</v>
      </c>
      <c r="N590">
        <v>23307702403</v>
      </c>
      <c r="O590">
        <v>16227732242</v>
      </c>
      <c r="P590">
        <v>286</v>
      </c>
      <c r="Q590" t="s">
        <v>1363</v>
      </c>
    </row>
    <row r="591" spans="1:17" x14ac:dyDescent="0.3">
      <c r="A591" t="s">
        <v>17</v>
      </c>
      <c r="B591" t="str">
        <f>"600133"</f>
        <v>600133</v>
      </c>
      <c r="C591" t="s">
        <v>1364</v>
      </c>
      <c r="D591" t="s">
        <v>84</v>
      </c>
      <c r="E591">
        <v>28497129653</v>
      </c>
      <c r="F591">
        <v>26452180239</v>
      </c>
      <c r="G591">
        <v>25378011934</v>
      </c>
      <c r="H591">
        <v>24556227246</v>
      </c>
      <c r="I591">
        <v>22304510743</v>
      </c>
      <c r="J591">
        <v>20691524785</v>
      </c>
      <c r="K591">
        <v>18653573281</v>
      </c>
      <c r="L591">
        <v>14281071158</v>
      </c>
      <c r="M591">
        <v>10285488040</v>
      </c>
      <c r="N591">
        <v>8393389380</v>
      </c>
      <c r="O591">
        <v>2956529785</v>
      </c>
      <c r="P591">
        <v>192</v>
      </c>
      <c r="Q591" t="s">
        <v>1365</v>
      </c>
    </row>
    <row r="592" spans="1:17" x14ac:dyDescent="0.3">
      <c r="A592" t="s">
        <v>17</v>
      </c>
      <c r="B592" t="str">
        <f>"600162"</f>
        <v>600162</v>
      </c>
      <c r="C592" t="s">
        <v>1366</v>
      </c>
      <c r="D592" t="s">
        <v>76</v>
      </c>
      <c r="E592">
        <v>28441168531</v>
      </c>
      <c r="F592">
        <v>27642916868</v>
      </c>
      <c r="G592">
        <v>22798044636</v>
      </c>
      <c r="H592">
        <v>22721473870</v>
      </c>
      <c r="I592">
        <v>20533098772</v>
      </c>
      <c r="J592">
        <v>18009413024</v>
      </c>
      <c r="K592">
        <v>16847784101</v>
      </c>
      <c r="L592">
        <v>13996024196</v>
      </c>
      <c r="M592">
        <v>13656072039</v>
      </c>
      <c r="N592">
        <v>13000902339</v>
      </c>
      <c r="O592">
        <v>9086986811</v>
      </c>
      <c r="P592">
        <v>170</v>
      </c>
      <c r="Q592" t="s">
        <v>1367</v>
      </c>
    </row>
    <row r="593" spans="1:17" x14ac:dyDescent="0.3">
      <c r="A593" t="s">
        <v>47</v>
      </c>
      <c r="B593" t="str">
        <f>"000963"</f>
        <v>000963</v>
      </c>
      <c r="C593" t="s">
        <v>1368</v>
      </c>
      <c r="D593" t="s">
        <v>550</v>
      </c>
      <c r="E593">
        <v>28436893635</v>
      </c>
      <c r="F593">
        <v>26096806586</v>
      </c>
      <c r="G593">
        <v>23527736775</v>
      </c>
      <c r="H593">
        <v>21447067563</v>
      </c>
      <c r="I593">
        <v>17347933943</v>
      </c>
      <c r="J593">
        <v>15240506789</v>
      </c>
      <c r="K593">
        <v>13531454495</v>
      </c>
      <c r="L593">
        <v>10134156469</v>
      </c>
      <c r="M593">
        <v>8876960140</v>
      </c>
      <c r="N593">
        <v>7661384133</v>
      </c>
      <c r="O593">
        <v>6920744247</v>
      </c>
      <c r="P593">
        <v>59262</v>
      </c>
      <c r="Q593" t="s">
        <v>1369</v>
      </c>
    </row>
    <row r="594" spans="1:17" x14ac:dyDescent="0.3">
      <c r="A594" t="s">
        <v>17</v>
      </c>
      <c r="B594" t="str">
        <f>"600821"</f>
        <v>600821</v>
      </c>
      <c r="C594" t="s">
        <v>1370</v>
      </c>
      <c r="D594" t="s">
        <v>1073</v>
      </c>
      <c r="E594">
        <v>28414051116</v>
      </c>
      <c r="F594">
        <v>14568467070</v>
      </c>
      <c r="G594">
        <v>1071608179</v>
      </c>
      <c r="H594">
        <v>1243429457</v>
      </c>
      <c r="I594">
        <v>1434123744</v>
      </c>
      <c r="J594">
        <v>1733843793</v>
      </c>
      <c r="K594">
        <v>1853535275</v>
      </c>
      <c r="L594">
        <v>1929620536</v>
      </c>
      <c r="M594">
        <v>1787433673</v>
      </c>
      <c r="N594">
        <v>1762345355</v>
      </c>
      <c r="O594">
        <v>1563675323</v>
      </c>
      <c r="P594">
        <v>125</v>
      </c>
      <c r="Q594" t="s">
        <v>1371</v>
      </c>
    </row>
    <row r="595" spans="1:17" x14ac:dyDescent="0.3">
      <c r="A595" t="s">
        <v>17</v>
      </c>
      <c r="B595" t="str">
        <f>"601399"</f>
        <v>601399</v>
      </c>
      <c r="C595" t="s">
        <v>1372</v>
      </c>
      <c r="D595" t="s">
        <v>607</v>
      </c>
      <c r="E595">
        <v>28235394405</v>
      </c>
      <c r="F595">
        <v>27663306189</v>
      </c>
      <c r="M595">
        <v>19877561704</v>
      </c>
      <c r="N595">
        <v>22963315636</v>
      </c>
      <c r="O595">
        <v>23163559915</v>
      </c>
      <c r="P595">
        <v>53</v>
      </c>
      <c r="Q595" t="s">
        <v>1373</v>
      </c>
    </row>
    <row r="596" spans="1:17" x14ac:dyDescent="0.3">
      <c r="A596" t="s">
        <v>17</v>
      </c>
      <c r="B596" t="str">
        <f>"600713"</f>
        <v>600713</v>
      </c>
      <c r="C596" t="s">
        <v>1374</v>
      </c>
      <c r="D596" t="s">
        <v>362</v>
      </c>
      <c r="E596">
        <v>28097312949</v>
      </c>
      <c r="F596">
        <v>25691052832</v>
      </c>
      <c r="G596">
        <v>24266270767</v>
      </c>
      <c r="H596">
        <v>22083633564</v>
      </c>
      <c r="I596">
        <v>18066989750</v>
      </c>
      <c r="J596">
        <v>15031565536</v>
      </c>
      <c r="K596">
        <v>13709087891</v>
      </c>
      <c r="L596">
        <v>12008623105</v>
      </c>
      <c r="M596">
        <v>10476843085</v>
      </c>
      <c r="N596">
        <v>9536111518</v>
      </c>
      <c r="O596">
        <v>9837058216</v>
      </c>
      <c r="P596">
        <v>188</v>
      </c>
      <c r="Q596" t="s">
        <v>1375</v>
      </c>
    </row>
    <row r="597" spans="1:17" x14ac:dyDescent="0.3">
      <c r="A597" t="s">
        <v>17</v>
      </c>
      <c r="B597" t="str">
        <f>"601326"</f>
        <v>601326</v>
      </c>
      <c r="C597" t="s">
        <v>1376</v>
      </c>
      <c r="D597" t="s">
        <v>357</v>
      </c>
      <c r="E597">
        <v>27944989506</v>
      </c>
      <c r="F597">
        <v>26715416564</v>
      </c>
      <c r="G597">
        <v>25721203511</v>
      </c>
      <c r="H597">
        <v>26047424467</v>
      </c>
      <c r="I597">
        <v>25746083663</v>
      </c>
      <c r="J597">
        <v>27247699231</v>
      </c>
      <c r="P597">
        <v>127</v>
      </c>
      <c r="Q597" t="s">
        <v>1377</v>
      </c>
    </row>
    <row r="598" spans="1:17" x14ac:dyDescent="0.3">
      <c r="A598" t="s">
        <v>47</v>
      </c>
      <c r="B598" t="str">
        <f>"000021"</f>
        <v>000021</v>
      </c>
      <c r="C598" t="s">
        <v>1378</v>
      </c>
      <c r="D598" t="s">
        <v>283</v>
      </c>
      <c r="E598">
        <v>27938172792</v>
      </c>
      <c r="F598">
        <v>21097024183</v>
      </c>
      <c r="G598">
        <v>18766024249</v>
      </c>
      <c r="H598">
        <v>15647795351</v>
      </c>
      <c r="I598">
        <v>15311406432</v>
      </c>
      <c r="J598">
        <v>13473544532</v>
      </c>
      <c r="K598">
        <v>11865346979</v>
      </c>
      <c r="L598">
        <v>14161645109</v>
      </c>
      <c r="M598">
        <v>14006674098</v>
      </c>
      <c r="N598">
        <v>11027349084</v>
      </c>
      <c r="O598">
        <v>10694863234</v>
      </c>
      <c r="P598">
        <v>442</v>
      </c>
      <c r="Q598" t="s">
        <v>1379</v>
      </c>
    </row>
    <row r="599" spans="1:17" x14ac:dyDescent="0.3">
      <c r="A599" t="s">
        <v>47</v>
      </c>
      <c r="B599" t="str">
        <f>"002812"</f>
        <v>002812</v>
      </c>
      <c r="C599" t="s">
        <v>1380</v>
      </c>
      <c r="D599" t="s">
        <v>1017</v>
      </c>
      <c r="E599">
        <v>27919367497</v>
      </c>
      <c r="F599">
        <v>21039967018</v>
      </c>
      <c r="G599">
        <v>15637654924</v>
      </c>
      <c r="H599">
        <v>8596769006</v>
      </c>
      <c r="I599">
        <v>2037670245</v>
      </c>
      <c r="J599">
        <v>1860549839</v>
      </c>
      <c r="P599">
        <v>1583</v>
      </c>
      <c r="Q599" t="s">
        <v>1381</v>
      </c>
    </row>
    <row r="600" spans="1:17" x14ac:dyDescent="0.3">
      <c r="A600" t="s">
        <v>47</v>
      </c>
      <c r="B600" t="str">
        <f>"002217"</f>
        <v>002217</v>
      </c>
      <c r="C600" t="s">
        <v>1382</v>
      </c>
      <c r="D600" t="s">
        <v>181</v>
      </c>
      <c r="E600">
        <v>27848378799</v>
      </c>
      <c r="F600">
        <v>30293860212</v>
      </c>
      <c r="G600">
        <v>31716849136</v>
      </c>
      <c r="H600">
        <v>27428944318</v>
      </c>
      <c r="I600">
        <v>22649402674</v>
      </c>
      <c r="J600">
        <v>15652373130</v>
      </c>
      <c r="K600">
        <v>9790349588</v>
      </c>
      <c r="L600">
        <v>3391148948</v>
      </c>
      <c r="M600">
        <v>2621912362</v>
      </c>
      <c r="N600">
        <v>1465049584</v>
      </c>
      <c r="O600">
        <v>1393750869</v>
      </c>
      <c r="P600">
        <v>490</v>
      </c>
      <c r="Q600" t="s">
        <v>1383</v>
      </c>
    </row>
    <row r="601" spans="1:17" x14ac:dyDescent="0.3">
      <c r="A601" t="s">
        <v>47</v>
      </c>
      <c r="B601" t="str">
        <f>"002179"</f>
        <v>002179</v>
      </c>
      <c r="C601" t="s">
        <v>1384</v>
      </c>
      <c r="D601" t="s">
        <v>1385</v>
      </c>
      <c r="E601">
        <v>27838415083</v>
      </c>
      <c r="F601">
        <v>20225140225</v>
      </c>
      <c r="G601">
        <v>15544162704</v>
      </c>
      <c r="H601">
        <v>13649824582</v>
      </c>
      <c r="I601">
        <v>10371620099</v>
      </c>
      <c r="J601">
        <v>8725971863</v>
      </c>
      <c r="K601">
        <v>7840088066</v>
      </c>
      <c r="L601">
        <v>6456263784</v>
      </c>
      <c r="M601">
        <v>5362022142</v>
      </c>
      <c r="N601">
        <v>4577767730</v>
      </c>
      <c r="O601">
        <v>3028469457</v>
      </c>
      <c r="P601">
        <v>1738</v>
      </c>
      <c r="Q601" t="s">
        <v>1386</v>
      </c>
    </row>
    <row r="602" spans="1:17" x14ac:dyDescent="0.3">
      <c r="A602" t="s">
        <v>47</v>
      </c>
      <c r="B602" t="str">
        <f>"002564"</f>
        <v>002564</v>
      </c>
      <c r="C602" t="s">
        <v>1387</v>
      </c>
      <c r="D602" t="s">
        <v>607</v>
      </c>
      <c r="E602">
        <v>27837067875</v>
      </c>
      <c r="F602">
        <v>31016153112</v>
      </c>
      <c r="G602">
        <v>31204596867</v>
      </c>
      <c r="H602">
        <v>29109080872</v>
      </c>
      <c r="I602">
        <v>22817290550</v>
      </c>
      <c r="J602">
        <v>18444685922</v>
      </c>
      <c r="K602">
        <v>7055220237</v>
      </c>
      <c r="L602">
        <v>6845933629</v>
      </c>
      <c r="M602">
        <v>6003591711</v>
      </c>
      <c r="N602">
        <v>5276518234</v>
      </c>
      <c r="O602">
        <v>4151049248</v>
      </c>
      <c r="P602">
        <v>130</v>
      </c>
      <c r="Q602" t="s">
        <v>1388</v>
      </c>
    </row>
    <row r="603" spans="1:17" x14ac:dyDescent="0.3">
      <c r="A603" t="s">
        <v>47</v>
      </c>
      <c r="B603" t="str">
        <f>"002385"</f>
        <v>002385</v>
      </c>
      <c r="C603" t="s">
        <v>1389</v>
      </c>
      <c r="D603" t="s">
        <v>1390</v>
      </c>
      <c r="E603">
        <v>27783675828</v>
      </c>
      <c r="F603">
        <v>25578696515</v>
      </c>
      <c r="G603">
        <v>20331919849</v>
      </c>
      <c r="H603">
        <v>17474130869</v>
      </c>
      <c r="I603">
        <v>19197633633</v>
      </c>
      <c r="J603">
        <v>15532652843</v>
      </c>
      <c r="K603">
        <v>13487927025</v>
      </c>
      <c r="L603">
        <v>10183551205</v>
      </c>
      <c r="M603">
        <v>8103125042</v>
      </c>
      <c r="N603">
        <v>6067094629</v>
      </c>
      <c r="O603">
        <v>4764969664</v>
      </c>
      <c r="P603">
        <v>890</v>
      </c>
      <c r="Q603" t="s">
        <v>1391</v>
      </c>
    </row>
    <row r="604" spans="1:17" x14ac:dyDescent="0.3">
      <c r="A604" t="s">
        <v>47</v>
      </c>
      <c r="B604" t="str">
        <f>"002252"</f>
        <v>002252</v>
      </c>
      <c r="C604" t="s">
        <v>1392</v>
      </c>
      <c r="D604" t="s">
        <v>1393</v>
      </c>
      <c r="E604">
        <v>27698268156</v>
      </c>
      <c r="F604">
        <v>25921616316</v>
      </c>
      <c r="G604">
        <v>25397011638</v>
      </c>
      <c r="H604">
        <v>11430323141</v>
      </c>
      <c r="I604">
        <v>13612842452</v>
      </c>
      <c r="J604">
        <v>13957085741</v>
      </c>
      <c r="K604">
        <v>11816801028</v>
      </c>
      <c r="L604">
        <v>9712200406</v>
      </c>
      <c r="M604">
        <v>3539473806</v>
      </c>
      <c r="N604">
        <v>1486312634</v>
      </c>
      <c r="O604">
        <v>990496402</v>
      </c>
      <c r="P604">
        <v>602</v>
      </c>
      <c r="Q604" t="s">
        <v>1394</v>
      </c>
    </row>
    <row r="605" spans="1:17" x14ac:dyDescent="0.3">
      <c r="A605" t="s">
        <v>17</v>
      </c>
      <c r="B605" t="str">
        <f>"688660"</f>
        <v>688660</v>
      </c>
      <c r="C605" t="s">
        <v>1395</v>
      </c>
      <c r="D605" t="s">
        <v>490</v>
      </c>
      <c r="E605">
        <v>27612030095</v>
      </c>
      <c r="F605">
        <v>32041769266</v>
      </c>
      <c r="P605">
        <v>54</v>
      </c>
      <c r="Q605" t="s">
        <v>1396</v>
      </c>
    </row>
    <row r="606" spans="1:17" x14ac:dyDescent="0.3">
      <c r="A606" t="s">
        <v>17</v>
      </c>
      <c r="B606" t="str">
        <f>"600058"</f>
        <v>600058</v>
      </c>
      <c r="C606" t="s">
        <v>1397</v>
      </c>
      <c r="D606" t="s">
        <v>768</v>
      </c>
      <c r="E606">
        <v>27606129424</v>
      </c>
      <c r="F606">
        <v>31800021051</v>
      </c>
      <c r="G606">
        <v>24357038585</v>
      </c>
      <c r="H606">
        <v>20775945226</v>
      </c>
      <c r="I606">
        <v>24481457196</v>
      </c>
      <c r="J606">
        <v>26454645973</v>
      </c>
      <c r="K606">
        <v>32410371842</v>
      </c>
      <c r="L606">
        <v>52429746302</v>
      </c>
      <c r="M606">
        <v>54378904952</v>
      </c>
      <c r="N606">
        <v>51985541466</v>
      </c>
      <c r="O606">
        <v>52363159346</v>
      </c>
      <c r="P606">
        <v>139</v>
      </c>
      <c r="Q606" t="s">
        <v>1398</v>
      </c>
    </row>
    <row r="607" spans="1:17" x14ac:dyDescent="0.3">
      <c r="A607" t="s">
        <v>47</v>
      </c>
      <c r="B607" t="str">
        <f>"000582"</f>
        <v>000582</v>
      </c>
      <c r="C607" t="s">
        <v>1399</v>
      </c>
      <c r="D607" t="s">
        <v>357</v>
      </c>
      <c r="E607">
        <v>27588136291</v>
      </c>
      <c r="F607">
        <v>19856069009</v>
      </c>
      <c r="G607">
        <v>18101703113</v>
      </c>
      <c r="H607">
        <v>17150682266</v>
      </c>
      <c r="I607">
        <v>15519495674</v>
      </c>
      <c r="J607">
        <v>12284963180</v>
      </c>
      <c r="K607">
        <v>12284925023</v>
      </c>
      <c r="L607">
        <v>8897671370</v>
      </c>
      <c r="M607">
        <v>8797737407</v>
      </c>
      <c r="N607">
        <v>1691525722</v>
      </c>
      <c r="O607">
        <v>1146490258</v>
      </c>
      <c r="P607">
        <v>227</v>
      </c>
      <c r="Q607" t="s">
        <v>1400</v>
      </c>
    </row>
    <row r="608" spans="1:17" x14ac:dyDescent="0.3">
      <c r="A608" t="s">
        <v>17</v>
      </c>
      <c r="B608" t="str">
        <f>"600180"</f>
        <v>600180</v>
      </c>
      <c r="C608" t="s">
        <v>1401</v>
      </c>
      <c r="D608" t="s">
        <v>134</v>
      </c>
      <c r="E608">
        <v>27576594799</v>
      </c>
      <c r="F608">
        <v>29621903902</v>
      </c>
      <c r="G608">
        <v>23961237657</v>
      </c>
      <c r="H608">
        <v>21659914880</v>
      </c>
      <c r="I608">
        <v>22133877905</v>
      </c>
      <c r="J608">
        <v>17122828092</v>
      </c>
      <c r="K608">
        <v>14518633699</v>
      </c>
      <c r="L608">
        <v>8957858336</v>
      </c>
      <c r="M608">
        <v>6608378979</v>
      </c>
      <c r="N608">
        <v>2196157877</v>
      </c>
      <c r="O608">
        <v>167683324</v>
      </c>
      <c r="P608">
        <v>151</v>
      </c>
      <c r="Q608" t="s">
        <v>1402</v>
      </c>
    </row>
    <row r="609" spans="1:17" x14ac:dyDescent="0.3">
      <c r="A609" t="s">
        <v>17</v>
      </c>
      <c r="B609" t="str">
        <f>"600038"</f>
        <v>600038</v>
      </c>
      <c r="C609" t="s">
        <v>1403</v>
      </c>
      <c r="D609" t="s">
        <v>570</v>
      </c>
      <c r="E609">
        <v>27546414218</v>
      </c>
      <c r="F609">
        <v>25258500918</v>
      </c>
      <c r="G609">
        <v>26314820164</v>
      </c>
      <c r="H609">
        <v>23253617060</v>
      </c>
      <c r="I609">
        <v>21823363762</v>
      </c>
      <c r="J609">
        <v>20570520024</v>
      </c>
      <c r="K609">
        <v>21713116049</v>
      </c>
      <c r="L609">
        <v>18597502735</v>
      </c>
      <c r="M609">
        <v>19887284808</v>
      </c>
      <c r="N609">
        <v>5360531927</v>
      </c>
      <c r="O609">
        <v>3367661060</v>
      </c>
      <c r="P609">
        <v>447</v>
      </c>
      <c r="Q609" t="s">
        <v>1404</v>
      </c>
    </row>
    <row r="610" spans="1:17" x14ac:dyDescent="0.3">
      <c r="A610" t="s">
        <v>47</v>
      </c>
      <c r="B610" t="str">
        <f>"002589"</f>
        <v>002589</v>
      </c>
      <c r="C610" t="s">
        <v>1405</v>
      </c>
      <c r="D610" t="s">
        <v>362</v>
      </c>
      <c r="E610">
        <v>27523651653</v>
      </c>
      <c r="F610">
        <v>32364585948</v>
      </c>
      <c r="G610">
        <v>34177692706</v>
      </c>
      <c r="H610">
        <v>36951072628</v>
      </c>
      <c r="I610">
        <v>29116724235</v>
      </c>
      <c r="J610">
        <v>18245832706</v>
      </c>
      <c r="K610">
        <v>10285888670</v>
      </c>
      <c r="L610">
        <v>6718385790</v>
      </c>
      <c r="M610">
        <v>4748939243</v>
      </c>
      <c r="N610">
        <v>3543587281</v>
      </c>
      <c r="O610">
        <v>2617744411</v>
      </c>
      <c r="P610">
        <v>460</v>
      </c>
      <c r="Q610" t="s">
        <v>1406</v>
      </c>
    </row>
    <row r="611" spans="1:17" x14ac:dyDescent="0.3">
      <c r="A611" t="s">
        <v>17</v>
      </c>
      <c r="B611" t="str">
        <f>"601058"</f>
        <v>601058</v>
      </c>
      <c r="C611" t="s">
        <v>1407</v>
      </c>
      <c r="D611" t="s">
        <v>1102</v>
      </c>
      <c r="E611">
        <v>27521338584</v>
      </c>
      <c r="F611">
        <v>23134439643</v>
      </c>
      <c r="G611">
        <v>18966765696</v>
      </c>
      <c r="H611">
        <v>16322577749</v>
      </c>
      <c r="I611">
        <v>14621916392</v>
      </c>
      <c r="J611">
        <v>13709372127</v>
      </c>
      <c r="K611">
        <v>13077951186</v>
      </c>
      <c r="L611">
        <v>14010530582</v>
      </c>
      <c r="M611">
        <v>10617617003</v>
      </c>
      <c r="N611">
        <v>7811306408</v>
      </c>
      <c r="O611">
        <v>5001236536</v>
      </c>
      <c r="P611">
        <v>589</v>
      </c>
      <c r="Q611" t="s">
        <v>1408</v>
      </c>
    </row>
    <row r="612" spans="1:17" x14ac:dyDescent="0.3">
      <c r="A612" t="s">
        <v>17</v>
      </c>
      <c r="B612" t="str">
        <f>"600853"</f>
        <v>600853</v>
      </c>
      <c r="C612" t="s">
        <v>1409</v>
      </c>
      <c r="D612" t="s">
        <v>84</v>
      </c>
      <c r="E612">
        <v>27463338925</v>
      </c>
      <c r="F612">
        <v>22878426179</v>
      </c>
      <c r="G612">
        <v>18690031647</v>
      </c>
      <c r="H612">
        <v>15250528232</v>
      </c>
      <c r="I612">
        <v>13228495690</v>
      </c>
      <c r="J612">
        <v>9865413547</v>
      </c>
      <c r="K612">
        <v>8045209775</v>
      </c>
      <c r="L612">
        <v>6689071800</v>
      </c>
      <c r="M612">
        <v>6846794780</v>
      </c>
      <c r="N612">
        <v>5940935658</v>
      </c>
      <c r="O612">
        <v>5857417946</v>
      </c>
      <c r="P612">
        <v>94</v>
      </c>
      <c r="Q612" t="s">
        <v>1410</v>
      </c>
    </row>
    <row r="613" spans="1:17" x14ac:dyDescent="0.3">
      <c r="A613" t="s">
        <v>47</v>
      </c>
      <c r="B613" t="str">
        <f>"002745"</f>
        <v>002745</v>
      </c>
      <c r="C613" t="s">
        <v>1411</v>
      </c>
      <c r="D613" t="s">
        <v>862</v>
      </c>
      <c r="E613">
        <v>27456470702</v>
      </c>
      <c r="F613">
        <v>31328095022</v>
      </c>
      <c r="G613">
        <v>33471788491</v>
      </c>
      <c r="H613">
        <v>31667110662</v>
      </c>
      <c r="I613">
        <v>19944137204</v>
      </c>
      <c r="J613">
        <v>17230295691</v>
      </c>
      <c r="K613">
        <v>8357480983</v>
      </c>
      <c r="L613">
        <v>5931647721</v>
      </c>
      <c r="P613">
        <v>324</v>
      </c>
      <c r="Q613" t="s">
        <v>1412</v>
      </c>
    </row>
    <row r="614" spans="1:17" x14ac:dyDescent="0.3">
      <c r="A614" t="s">
        <v>17</v>
      </c>
      <c r="B614" t="str">
        <f>"600511"</f>
        <v>600511</v>
      </c>
      <c r="C614" t="s">
        <v>1413</v>
      </c>
      <c r="D614" t="s">
        <v>362</v>
      </c>
      <c r="E614">
        <v>27401127907</v>
      </c>
      <c r="F614">
        <v>24667366767</v>
      </c>
      <c r="G614">
        <v>23706860206</v>
      </c>
      <c r="H614">
        <v>20968591849</v>
      </c>
      <c r="I614">
        <v>20522240631</v>
      </c>
      <c r="J614">
        <v>7458561490</v>
      </c>
      <c r="K614">
        <v>6418801698</v>
      </c>
      <c r="L614">
        <v>5551468149</v>
      </c>
      <c r="M614">
        <v>5055358049</v>
      </c>
      <c r="N614">
        <v>4338791728</v>
      </c>
      <c r="O614">
        <v>3766176001</v>
      </c>
      <c r="P614">
        <v>24746</v>
      </c>
      <c r="Q614" t="s">
        <v>1414</v>
      </c>
    </row>
    <row r="615" spans="1:17" x14ac:dyDescent="0.3">
      <c r="A615" t="s">
        <v>47</v>
      </c>
      <c r="B615" t="str">
        <f>"002408"</f>
        <v>002408</v>
      </c>
      <c r="C615" t="s">
        <v>1415</v>
      </c>
      <c r="D615" t="s">
        <v>615</v>
      </c>
      <c r="E615">
        <v>27375567576</v>
      </c>
      <c r="F615">
        <v>21696207328</v>
      </c>
      <c r="G615">
        <v>15270534767</v>
      </c>
      <c r="H615">
        <v>13779101670</v>
      </c>
      <c r="I615">
        <v>9951929042</v>
      </c>
      <c r="J615">
        <v>8862707278</v>
      </c>
      <c r="K615">
        <v>7991758495</v>
      </c>
      <c r="L615">
        <v>6624493757</v>
      </c>
      <c r="M615">
        <v>5329234572</v>
      </c>
      <c r="N615">
        <v>4603029411</v>
      </c>
      <c r="O615">
        <v>3135142736</v>
      </c>
      <c r="P615">
        <v>317</v>
      </c>
      <c r="Q615" t="s">
        <v>1416</v>
      </c>
    </row>
    <row r="616" spans="1:17" x14ac:dyDescent="0.3">
      <c r="A616" t="s">
        <v>47</v>
      </c>
      <c r="B616" t="str">
        <f>"000786"</f>
        <v>000786</v>
      </c>
      <c r="C616" t="s">
        <v>1417</v>
      </c>
      <c r="D616" t="s">
        <v>1418</v>
      </c>
      <c r="E616">
        <v>27291044359</v>
      </c>
      <c r="F616">
        <v>23857116144</v>
      </c>
      <c r="G616">
        <v>21487259431</v>
      </c>
      <c r="H616">
        <v>18114932483</v>
      </c>
      <c r="I616">
        <v>16359581830</v>
      </c>
      <c r="J616">
        <v>14622250567</v>
      </c>
      <c r="K616">
        <v>13983456405</v>
      </c>
      <c r="L616">
        <v>14039198962</v>
      </c>
      <c r="M616">
        <v>11298218613</v>
      </c>
      <c r="N616">
        <v>10131304525</v>
      </c>
      <c r="O616">
        <v>8867079969</v>
      </c>
      <c r="P616">
        <v>2486</v>
      </c>
      <c r="Q616" t="s">
        <v>1419</v>
      </c>
    </row>
    <row r="617" spans="1:17" x14ac:dyDescent="0.3">
      <c r="A617" t="s">
        <v>17</v>
      </c>
      <c r="B617" t="str">
        <f>"600004"</f>
        <v>600004</v>
      </c>
      <c r="C617" t="s">
        <v>1420</v>
      </c>
      <c r="D617" t="s">
        <v>873</v>
      </c>
      <c r="E617">
        <v>27251830067</v>
      </c>
      <c r="F617">
        <v>28571329352</v>
      </c>
      <c r="G617">
        <v>26100311443</v>
      </c>
      <c r="H617">
        <v>25523239604</v>
      </c>
      <c r="I617">
        <v>23475149446</v>
      </c>
      <c r="J617">
        <v>18608042134</v>
      </c>
      <c r="K617">
        <v>16135769553</v>
      </c>
      <c r="L617">
        <v>11561246284</v>
      </c>
      <c r="M617">
        <v>10242058040</v>
      </c>
      <c r="N617">
        <v>10344306591</v>
      </c>
      <c r="O617">
        <v>10478439973</v>
      </c>
      <c r="P617">
        <v>1892</v>
      </c>
      <c r="Q617" t="s">
        <v>1421</v>
      </c>
    </row>
    <row r="618" spans="1:17" x14ac:dyDescent="0.3">
      <c r="A618" t="s">
        <v>17</v>
      </c>
      <c r="B618" t="str">
        <f>"600810"</f>
        <v>600810</v>
      </c>
      <c r="C618" t="s">
        <v>1422</v>
      </c>
      <c r="D618" t="s">
        <v>1423</v>
      </c>
      <c r="E618">
        <v>27231582191</v>
      </c>
      <c r="F618">
        <v>22351191594</v>
      </c>
      <c r="G618">
        <v>14623924026</v>
      </c>
      <c r="H618">
        <v>12669788992</v>
      </c>
      <c r="I618">
        <v>10386500454</v>
      </c>
      <c r="J618">
        <v>10362279915</v>
      </c>
      <c r="K618">
        <v>8535045741</v>
      </c>
      <c r="L618">
        <v>8376772774</v>
      </c>
      <c r="M618">
        <v>7211380941</v>
      </c>
      <c r="N618">
        <v>9921271066</v>
      </c>
      <c r="O618">
        <v>9904860773</v>
      </c>
      <c r="P618">
        <v>354</v>
      </c>
      <c r="Q618" t="s">
        <v>1424</v>
      </c>
    </row>
    <row r="619" spans="1:17" x14ac:dyDescent="0.3">
      <c r="A619" t="s">
        <v>17</v>
      </c>
      <c r="B619" t="str">
        <f>"600388"</f>
        <v>600388</v>
      </c>
      <c r="C619" t="s">
        <v>1425</v>
      </c>
      <c r="D619" t="s">
        <v>1426</v>
      </c>
      <c r="E619">
        <v>27192841265</v>
      </c>
      <c r="F619">
        <v>24810873939</v>
      </c>
      <c r="G619">
        <v>24691976836</v>
      </c>
      <c r="H619">
        <v>19383484800</v>
      </c>
      <c r="I619">
        <v>15184860560</v>
      </c>
      <c r="J619">
        <v>14811848313</v>
      </c>
      <c r="K619">
        <v>13671704183</v>
      </c>
      <c r="L619">
        <v>11826035527</v>
      </c>
      <c r="M619">
        <v>9048169037</v>
      </c>
      <c r="N619">
        <v>7740774955</v>
      </c>
      <c r="O619">
        <v>6268523376</v>
      </c>
      <c r="P619">
        <v>815</v>
      </c>
      <c r="Q619" t="s">
        <v>1427</v>
      </c>
    </row>
    <row r="620" spans="1:17" x14ac:dyDescent="0.3">
      <c r="A620" t="s">
        <v>17</v>
      </c>
      <c r="B620" t="str">
        <f>"600981"</f>
        <v>600981</v>
      </c>
      <c r="C620" t="s">
        <v>1428</v>
      </c>
      <c r="D620" t="s">
        <v>768</v>
      </c>
      <c r="E620">
        <v>27171664435</v>
      </c>
      <c r="F620">
        <v>26589868456</v>
      </c>
      <c r="G620">
        <v>26631756631</v>
      </c>
      <c r="H620">
        <v>26273774164</v>
      </c>
      <c r="I620">
        <v>30649437109</v>
      </c>
      <c r="J620">
        <v>32036520126</v>
      </c>
      <c r="K620">
        <v>30610153832</v>
      </c>
      <c r="L620">
        <v>5189927220</v>
      </c>
      <c r="M620">
        <v>4612607504</v>
      </c>
      <c r="N620">
        <v>3847583242</v>
      </c>
      <c r="O620">
        <v>3239970573</v>
      </c>
      <c r="P620">
        <v>99</v>
      </c>
      <c r="Q620" t="s">
        <v>1429</v>
      </c>
    </row>
    <row r="621" spans="1:17" x14ac:dyDescent="0.3">
      <c r="A621" t="s">
        <v>17</v>
      </c>
      <c r="B621" t="str">
        <f>"600643"</f>
        <v>600643</v>
      </c>
      <c r="C621" t="s">
        <v>1430</v>
      </c>
      <c r="D621" t="s">
        <v>109</v>
      </c>
      <c r="E621">
        <v>27047391407</v>
      </c>
      <c r="F621">
        <v>26896801850</v>
      </c>
      <c r="G621">
        <v>27443839550</v>
      </c>
      <c r="H621">
        <v>26862619069</v>
      </c>
      <c r="I621">
        <v>18016263243</v>
      </c>
      <c r="J621">
        <v>15446326073</v>
      </c>
      <c r="K621">
        <v>10018000961</v>
      </c>
      <c r="L621">
        <v>8853350496</v>
      </c>
      <c r="M621">
        <v>6299179687</v>
      </c>
      <c r="N621">
        <v>4540761204</v>
      </c>
      <c r="O621">
        <v>1949062565</v>
      </c>
      <c r="P621">
        <v>344</v>
      </c>
      <c r="Q621" t="s">
        <v>1431</v>
      </c>
    </row>
    <row r="622" spans="1:17" x14ac:dyDescent="0.3">
      <c r="A622" t="s">
        <v>17</v>
      </c>
      <c r="B622" t="str">
        <f>"601369"</f>
        <v>601369</v>
      </c>
      <c r="C622" t="s">
        <v>1432</v>
      </c>
      <c r="D622" t="s">
        <v>1433</v>
      </c>
      <c r="E622">
        <v>26878001280</v>
      </c>
      <c r="F622">
        <v>24777866893</v>
      </c>
      <c r="G622">
        <v>21197812697</v>
      </c>
      <c r="H622">
        <v>18776713386</v>
      </c>
      <c r="I622">
        <v>16269658421</v>
      </c>
      <c r="J622">
        <v>14643332732</v>
      </c>
      <c r="K622">
        <v>14541181114</v>
      </c>
      <c r="L622">
        <v>14111842544</v>
      </c>
      <c r="M622">
        <v>14295782911</v>
      </c>
      <c r="N622">
        <v>14374474450</v>
      </c>
      <c r="O622">
        <v>14849352027</v>
      </c>
      <c r="P622">
        <v>217</v>
      </c>
      <c r="Q622" t="s">
        <v>1434</v>
      </c>
    </row>
    <row r="623" spans="1:17" x14ac:dyDescent="0.3">
      <c r="A623" t="s">
        <v>47</v>
      </c>
      <c r="B623" t="str">
        <f>"000564"</f>
        <v>000564</v>
      </c>
      <c r="C623" t="s">
        <v>1435</v>
      </c>
      <c r="D623" t="s">
        <v>1073</v>
      </c>
      <c r="E623">
        <v>26874786123</v>
      </c>
      <c r="F623">
        <v>46705222931</v>
      </c>
      <c r="G623">
        <v>52298001872</v>
      </c>
      <c r="H623">
        <v>55338816021</v>
      </c>
      <c r="I623">
        <v>56181485531</v>
      </c>
      <c r="J623">
        <v>47602514228</v>
      </c>
      <c r="K623">
        <v>9324992994</v>
      </c>
      <c r="L623">
        <v>7493195529</v>
      </c>
      <c r="M623">
        <v>6896696235</v>
      </c>
      <c r="N623">
        <v>6448742981</v>
      </c>
      <c r="O623">
        <v>3653935691</v>
      </c>
      <c r="P623">
        <v>187</v>
      </c>
      <c r="Q623" t="s">
        <v>1436</v>
      </c>
    </row>
    <row r="624" spans="1:17" x14ac:dyDescent="0.3">
      <c r="A624" t="s">
        <v>17</v>
      </c>
      <c r="B624" t="str">
        <f>"600409"</f>
        <v>600409</v>
      </c>
      <c r="C624" t="s">
        <v>1437</v>
      </c>
      <c r="D624" t="s">
        <v>1438</v>
      </c>
      <c r="E624">
        <v>26752872115</v>
      </c>
      <c r="F624">
        <v>25619739196</v>
      </c>
      <c r="G624">
        <v>25671001634</v>
      </c>
      <c r="H624">
        <v>27060731097</v>
      </c>
      <c r="I624">
        <v>24143512596</v>
      </c>
      <c r="J624">
        <v>21617111062</v>
      </c>
      <c r="K624">
        <v>20072252206</v>
      </c>
      <c r="L624">
        <v>20236507479</v>
      </c>
      <c r="M624">
        <v>19512826136</v>
      </c>
      <c r="N624">
        <v>17773953220</v>
      </c>
      <c r="O624">
        <v>14832939230</v>
      </c>
      <c r="P624">
        <v>733</v>
      </c>
      <c r="Q624" t="s">
        <v>1439</v>
      </c>
    </row>
    <row r="625" spans="1:17" x14ac:dyDescent="0.3">
      <c r="A625" t="s">
        <v>47</v>
      </c>
      <c r="B625" t="str">
        <f>"000683"</f>
        <v>000683</v>
      </c>
      <c r="C625" t="s">
        <v>1440</v>
      </c>
      <c r="D625" t="s">
        <v>1441</v>
      </c>
      <c r="E625">
        <v>26728018168</v>
      </c>
      <c r="F625">
        <v>23064581175</v>
      </c>
      <c r="G625">
        <v>22829822208</v>
      </c>
      <c r="H625">
        <v>23897627797</v>
      </c>
      <c r="I625">
        <v>22363367740</v>
      </c>
      <c r="J625">
        <v>21566322527</v>
      </c>
      <c r="K625">
        <v>19844948255</v>
      </c>
      <c r="L625">
        <v>19249891479</v>
      </c>
      <c r="M625">
        <v>12360498522</v>
      </c>
      <c r="N625">
        <v>10131817786</v>
      </c>
      <c r="O625">
        <v>7883319095</v>
      </c>
      <c r="P625">
        <v>314</v>
      </c>
      <c r="Q625" t="s">
        <v>1442</v>
      </c>
    </row>
    <row r="626" spans="1:17" x14ac:dyDescent="0.3">
      <c r="A626" t="s">
        <v>17</v>
      </c>
      <c r="B626" t="str">
        <f>"600777"</f>
        <v>600777</v>
      </c>
      <c r="C626" t="s">
        <v>1443</v>
      </c>
      <c r="D626" t="s">
        <v>1444</v>
      </c>
      <c r="E626">
        <v>26572714755</v>
      </c>
      <c r="F626">
        <v>26137415586</v>
      </c>
      <c r="G626">
        <v>30072650281</v>
      </c>
      <c r="H626">
        <v>25441955167</v>
      </c>
      <c r="I626">
        <v>20795068091</v>
      </c>
      <c r="J626">
        <v>6119165871</v>
      </c>
      <c r="K626">
        <v>5082138999</v>
      </c>
      <c r="L626">
        <v>4182764432</v>
      </c>
      <c r="M626">
        <v>6057245436</v>
      </c>
      <c r="N626">
        <v>5674180113</v>
      </c>
      <c r="O626">
        <v>5254219023</v>
      </c>
      <c r="P626">
        <v>212</v>
      </c>
      <c r="Q626" t="s">
        <v>1445</v>
      </c>
    </row>
    <row r="627" spans="1:17" x14ac:dyDescent="0.3">
      <c r="A627" t="s">
        <v>17</v>
      </c>
      <c r="B627" t="str">
        <f>"601101"</f>
        <v>601101</v>
      </c>
      <c r="C627" t="s">
        <v>1446</v>
      </c>
      <c r="D627" t="s">
        <v>141</v>
      </c>
      <c r="E627">
        <v>26395729285</v>
      </c>
      <c r="F627">
        <v>25194880883</v>
      </c>
      <c r="G627">
        <v>23713516129</v>
      </c>
      <c r="H627">
        <v>20533501918</v>
      </c>
      <c r="I627">
        <v>20821868134</v>
      </c>
      <c r="J627">
        <v>20450911396</v>
      </c>
      <c r="K627">
        <v>20790978785</v>
      </c>
      <c r="L627">
        <v>17358266105</v>
      </c>
      <c r="M627">
        <v>12995327114</v>
      </c>
      <c r="N627">
        <v>12119611824</v>
      </c>
      <c r="O627">
        <v>10821965953</v>
      </c>
      <c r="P627">
        <v>281</v>
      </c>
      <c r="Q627" t="s">
        <v>1447</v>
      </c>
    </row>
    <row r="628" spans="1:17" x14ac:dyDescent="0.3">
      <c r="A628" t="s">
        <v>47</v>
      </c>
      <c r="B628" t="str">
        <f>"000089"</f>
        <v>000089</v>
      </c>
      <c r="C628" t="s">
        <v>1448</v>
      </c>
      <c r="D628" t="s">
        <v>873</v>
      </c>
      <c r="E628">
        <v>26334424657</v>
      </c>
      <c r="F628">
        <v>19071236010</v>
      </c>
      <c r="G628">
        <v>13979090118</v>
      </c>
      <c r="H628">
        <v>13689735583</v>
      </c>
      <c r="I628">
        <v>13385320494</v>
      </c>
      <c r="J628">
        <v>12755498845</v>
      </c>
      <c r="K628">
        <v>12204188751</v>
      </c>
      <c r="L628">
        <v>12367427347</v>
      </c>
      <c r="M628">
        <v>12445453026</v>
      </c>
      <c r="N628">
        <v>10582610966</v>
      </c>
      <c r="O628">
        <v>9328647742</v>
      </c>
      <c r="P628">
        <v>665</v>
      </c>
      <c r="Q628" t="s">
        <v>1449</v>
      </c>
    </row>
    <row r="629" spans="1:17" x14ac:dyDescent="0.3">
      <c r="A629" t="s">
        <v>17</v>
      </c>
      <c r="B629" t="str">
        <f>"603019"</f>
        <v>603019</v>
      </c>
      <c r="C629" t="s">
        <v>1450</v>
      </c>
      <c r="D629" t="s">
        <v>765</v>
      </c>
      <c r="E629">
        <v>26325682534</v>
      </c>
      <c r="F629">
        <v>22856702021</v>
      </c>
      <c r="G629">
        <v>17041225230</v>
      </c>
      <c r="H629">
        <v>15332706296</v>
      </c>
      <c r="I629">
        <v>9350979718</v>
      </c>
      <c r="J629">
        <v>6207211071</v>
      </c>
      <c r="K629">
        <v>4540545564</v>
      </c>
      <c r="L629">
        <v>2682281117</v>
      </c>
      <c r="P629">
        <v>1206</v>
      </c>
      <c r="Q629" t="s">
        <v>1451</v>
      </c>
    </row>
    <row r="630" spans="1:17" x14ac:dyDescent="0.3">
      <c r="A630" t="s">
        <v>17</v>
      </c>
      <c r="B630" t="str">
        <f>"600258"</f>
        <v>600258</v>
      </c>
      <c r="C630" t="s">
        <v>1452</v>
      </c>
      <c r="D630" t="s">
        <v>899</v>
      </c>
      <c r="E630">
        <v>26321768201</v>
      </c>
      <c r="F630">
        <v>25034215752</v>
      </c>
      <c r="G630">
        <v>16349727874</v>
      </c>
      <c r="H630">
        <v>16713245078</v>
      </c>
      <c r="I630">
        <v>16532701664</v>
      </c>
      <c r="J630">
        <v>17099269761</v>
      </c>
      <c r="K630">
        <v>3853046147</v>
      </c>
      <c r="L630">
        <v>4142336486</v>
      </c>
      <c r="M630">
        <v>2132744586</v>
      </c>
      <c r="N630">
        <v>2228320110</v>
      </c>
      <c r="O630">
        <v>2259426606</v>
      </c>
      <c r="P630">
        <v>514</v>
      </c>
      <c r="Q630" t="s">
        <v>1453</v>
      </c>
    </row>
    <row r="631" spans="1:17" x14ac:dyDescent="0.3">
      <c r="A631" t="s">
        <v>17</v>
      </c>
      <c r="B631" t="str">
        <f>"600183"</f>
        <v>600183</v>
      </c>
      <c r="C631" t="s">
        <v>1454</v>
      </c>
      <c r="D631" t="s">
        <v>1115</v>
      </c>
      <c r="E631">
        <v>26126982009</v>
      </c>
      <c r="F631">
        <v>21929279105</v>
      </c>
      <c r="G631">
        <v>16147589162</v>
      </c>
      <c r="H631">
        <v>13459633933</v>
      </c>
      <c r="I631">
        <v>12785006869</v>
      </c>
      <c r="J631">
        <v>10007347884</v>
      </c>
      <c r="K631">
        <v>9031427403</v>
      </c>
      <c r="L631">
        <v>8458827153</v>
      </c>
      <c r="M631">
        <v>8202598853</v>
      </c>
      <c r="N631">
        <v>7003494268</v>
      </c>
      <c r="O631">
        <v>6851263067</v>
      </c>
      <c r="P631">
        <v>2338</v>
      </c>
      <c r="Q631" t="s">
        <v>1455</v>
      </c>
    </row>
    <row r="632" spans="1:17" x14ac:dyDescent="0.3">
      <c r="A632" t="s">
        <v>17</v>
      </c>
      <c r="B632" t="str">
        <f>"601886"</f>
        <v>601886</v>
      </c>
      <c r="C632" t="s">
        <v>1456</v>
      </c>
      <c r="D632" t="s">
        <v>1163</v>
      </c>
      <c r="E632">
        <v>26113806978</v>
      </c>
      <c r="F632">
        <v>28299874244</v>
      </c>
      <c r="G632">
        <v>25376208805</v>
      </c>
      <c r="H632">
        <v>25592003733</v>
      </c>
      <c r="I632">
        <v>22405567641</v>
      </c>
      <c r="J632">
        <v>23722785296</v>
      </c>
      <c r="K632">
        <v>22231154692</v>
      </c>
      <c r="L632">
        <v>19108641915</v>
      </c>
      <c r="M632">
        <v>17846947808</v>
      </c>
      <c r="N632">
        <v>11903199456</v>
      </c>
      <c r="O632">
        <v>7456246491</v>
      </c>
      <c r="P632">
        <v>177</v>
      </c>
      <c r="Q632" t="s">
        <v>1457</v>
      </c>
    </row>
    <row r="633" spans="1:17" x14ac:dyDescent="0.3">
      <c r="A633" t="s">
        <v>17</v>
      </c>
      <c r="B633" t="str">
        <f>"600686"</f>
        <v>600686</v>
      </c>
      <c r="C633" t="s">
        <v>1458</v>
      </c>
      <c r="D633" t="s">
        <v>1329</v>
      </c>
      <c r="E633">
        <v>26101695618</v>
      </c>
      <c r="F633">
        <v>23034879980</v>
      </c>
      <c r="G633">
        <v>24903476647</v>
      </c>
      <c r="H633">
        <v>24344583012</v>
      </c>
      <c r="I633">
        <v>26028516389</v>
      </c>
      <c r="J633">
        <v>22852948404</v>
      </c>
      <c r="K633">
        <v>25646020693</v>
      </c>
      <c r="L633">
        <v>18122382241</v>
      </c>
      <c r="M633">
        <v>15120585629</v>
      </c>
      <c r="N633">
        <v>14497376403</v>
      </c>
      <c r="O633">
        <v>12444699755</v>
      </c>
      <c r="P633">
        <v>177</v>
      </c>
      <c r="Q633" t="s">
        <v>1459</v>
      </c>
    </row>
    <row r="634" spans="1:17" x14ac:dyDescent="0.3">
      <c r="A634" t="s">
        <v>47</v>
      </c>
      <c r="B634" t="str">
        <f>"000040"</f>
        <v>000040</v>
      </c>
      <c r="C634" t="s">
        <v>1460</v>
      </c>
      <c r="D634" t="s">
        <v>976</v>
      </c>
      <c r="E634">
        <v>25998155576</v>
      </c>
      <c r="F634">
        <v>26180814042</v>
      </c>
      <c r="G634">
        <v>30844713439</v>
      </c>
      <c r="H634">
        <v>33940850799</v>
      </c>
      <c r="I634">
        <v>26974652491</v>
      </c>
      <c r="J634">
        <v>17497842735</v>
      </c>
      <c r="K634">
        <v>6868694770</v>
      </c>
      <c r="L634">
        <v>4342778405</v>
      </c>
      <c r="M634">
        <v>3969851499</v>
      </c>
      <c r="N634">
        <v>3014536200</v>
      </c>
      <c r="O634">
        <v>1943185393</v>
      </c>
      <c r="P634">
        <v>220</v>
      </c>
      <c r="Q634" t="s">
        <v>1461</v>
      </c>
    </row>
    <row r="635" spans="1:17" x14ac:dyDescent="0.3">
      <c r="A635" t="s">
        <v>47</v>
      </c>
      <c r="B635" t="str">
        <f>"300413"</f>
        <v>300413</v>
      </c>
      <c r="C635" t="s">
        <v>1462</v>
      </c>
      <c r="D635" t="s">
        <v>1463</v>
      </c>
      <c r="E635">
        <v>25963938422</v>
      </c>
      <c r="F635">
        <v>20799767561</v>
      </c>
      <c r="G635">
        <v>17350805863</v>
      </c>
      <c r="H635">
        <v>13131618972</v>
      </c>
      <c r="I635">
        <v>2197459153</v>
      </c>
      <c r="J635">
        <v>2422036939</v>
      </c>
      <c r="K635">
        <v>2330475269</v>
      </c>
      <c r="L635">
        <v>2093436992</v>
      </c>
      <c r="P635">
        <v>1145</v>
      </c>
      <c r="Q635" t="s">
        <v>1464</v>
      </c>
    </row>
    <row r="636" spans="1:17" x14ac:dyDescent="0.3">
      <c r="A636" t="s">
        <v>17</v>
      </c>
      <c r="B636" t="str">
        <f>"600372"</f>
        <v>600372</v>
      </c>
      <c r="C636" t="s">
        <v>1465</v>
      </c>
      <c r="D636" t="s">
        <v>570</v>
      </c>
      <c r="E636">
        <v>25835581861</v>
      </c>
      <c r="F636">
        <v>24321933074</v>
      </c>
      <c r="G636">
        <v>23358918360</v>
      </c>
      <c r="H636">
        <v>21662570637</v>
      </c>
      <c r="I636">
        <v>20856266498</v>
      </c>
      <c r="J636">
        <v>17658785784</v>
      </c>
      <c r="K636">
        <v>16012099753</v>
      </c>
      <c r="L636">
        <v>14416243845</v>
      </c>
      <c r="M636">
        <v>12963152522</v>
      </c>
      <c r="N636">
        <v>8771311244</v>
      </c>
      <c r="O636">
        <v>7218797689</v>
      </c>
      <c r="P636">
        <v>433</v>
      </c>
      <c r="Q636" t="s">
        <v>1466</v>
      </c>
    </row>
    <row r="637" spans="1:17" x14ac:dyDescent="0.3">
      <c r="A637" t="s">
        <v>47</v>
      </c>
      <c r="B637" t="str">
        <f>"002027"</f>
        <v>002027</v>
      </c>
      <c r="C637" t="s">
        <v>1467</v>
      </c>
      <c r="D637" t="s">
        <v>1468</v>
      </c>
      <c r="E637">
        <v>25825651332</v>
      </c>
      <c r="F637">
        <v>24783543072</v>
      </c>
      <c r="G637">
        <v>18553028569</v>
      </c>
      <c r="H637">
        <v>18116463703</v>
      </c>
      <c r="I637">
        <v>15708760409</v>
      </c>
      <c r="J637">
        <v>12844069381</v>
      </c>
      <c r="K637">
        <v>12805917214</v>
      </c>
      <c r="L637">
        <v>589647035</v>
      </c>
      <c r="M637">
        <v>598086991</v>
      </c>
      <c r="N637">
        <v>935074157</v>
      </c>
      <c r="O637">
        <v>830175065</v>
      </c>
      <c r="P637">
        <v>5236</v>
      </c>
      <c r="Q637" t="s">
        <v>1469</v>
      </c>
    </row>
    <row r="638" spans="1:17" x14ac:dyDescent="0.3">
      <c r="A638" t="s">
        <v>47</v>
      </c>
      <c r="B638" t="str">
        <f>"000550"</f>
        <v>000550</v>
      </c>
      <c r="C638" t="s">
        <v>1470</v>
      </c>
      <c r="D638" t="s">
        <v>684</v>
      </c>
      <c r="E638">
        <v>25741687654</v>
      </c>
      <c r="F638">
        <v>27034411547</v>
      </c>
      <c r="G638">
        <v>22331500602</v>
      </c>
      <c r="H638">
        <v>22161203112</v>
      </c>
      <c r="I638">
        <v>22731953662</v>
      </c>
      <c r="J638">
        <v>24421299724</v>
      </c>
      <c r="K638">
        <v>20354510213</v>
      </c>
      <c r="L638">
        <v>19469139634</v>
      </c>
      <c r="M638">
        <v>17103010022</v>
      </c>
      <c r="N638">
        <v>13658323057</v>
      </c>
      <c r="O638">
        <v>12732286096</v>
      </c>
      <c r="P638">
        <v>595</v>
      </c>
      <c r="Q638" t="s">
        <v>1471</v>
      </c>
    </row>
    <row r="639" spans="1:17" x14ac:dyDescent="0.3">
      <c r="A639" t="s">
        <v>17</v>
      </c>
      <c r="B639" t="str">
        <f>"600085"</f>
        <v>600085</v>
      </c>
      <c r="C639" t="s">
        <v>1472</v>
      </c>
      <c r="D639" t="s">
        <v>695</v>
      </c>
      <c r="E639">
        <v>25552601822</v>
      </c>
      <c r="F639">
        <v>23691012841</v>
      </c>
      <c r="G639">
        <v>21319234925</v>
      </c>
      <c r="H639">
        <v>20988624047</v>
      </c>
      <c r="I639">
        <v>19342816765</v>
      </c>
      <c r="J639">
        <v>17594139724</v>
      </c>
      <c r="K639">
        <v>15013839884</v>
      </c>
      <c r="L639">
        <v>13600822627</v>
      </c>
      <c r="M639">
        <v>12368921819</v>
      </c>
      <c r="N639">
        <v>10109563031</v>
      </c>
      <c r="O639">
        <v>7838745910</v>
      </c>
      <c r="P639">
        <v>2030</v>
      </c>
      <c r="Q639" t="s">
        <v>1473</v>
      </c>
    </row>
    <row r="640" spans="1:17" x14ac:dyDescent="0.3">
      <c r="A640" t="s">
        <v>47</v>
      </c>
      <c r="B640" t="str">
        <f>"200012"</f>
        <v>200012</v>
      </c>
      <c r="C640" t="s">
        <v>1474</v>
      </c>
      <c r="E640">
        <v>25543284745.768002</v>
      </c>
      <c r="F640">
        <v>21666777068.811501</v>
      </c>
      <c r="G640">
        <v>22129024989.021301</v>
      </c>
      <c r="H640">
        <v>22258421554.173302</v>
      </c>
      <c r="I640">
        <v>24550203339.874001</v>
      </c>
      <c r="J640">
        <v>19664013436.175999</v>
      </c>
      <c r="K640">
        <v>18266016703.160099</v>
      </c>
      <c r="L640">
        <v>19201296472.5</v>
      </c>
      <c r="M640">
        <v>19082594702.537201</v>
      </c>
      <c r="N640">
        <v>18451402846.862999</v>
      </c>
      <c r="O640">
        <v>18007628858.306999</v>
      </c>
      <c r="P640">
        <v>85</v>
      </c>
      <c r="Q640" t="s">
        <v>1475</v>
      </c>
    </row>
    <row r="641" spans="1:17" x14ac:dyDescent="0.3">
      <c r="A641" t="s">
        <v>17</v>
      </c>
      <c r="B641" t="str">
        <f>"600787"</f>
        <v>600787</v>
      </c>
      <c r="C641" t="s">
        <v>1476</v>
      </c>
      <c r="D641" t="s">
        <v>1477</v>
      </c>
      <c r="E641">
        <v>25500740947</v>
      </c>
      <c r="F641">
        <v>23550017803</v>
      </c>
      <c r="G641">
        <v>23565681687</v>
      </c>
      <c r="H641">
        <v>20439008481</v>
      </c>
      <c r="I641">
        <v>20120429189</v>
      </c>
      <c r="J641">
        <v>20999024990</v>
      </c>
      <c r="K641">
        <v>16861040027</v>
      </c>
      <c r="L641">
        <v>12010366397</v>
      </c>
      <c r="M641">
        <v>13573754433</v>
      </c>
      <c r="N641">
        <v>13422541065</v>
      </c>
      <c r="O641">
        <v>11497884133</v>
      </c>
      <c r="P641">
        <v>165</v>
      </c>
      <c r="Q641" t="s">
        <v>1478</v>
      </c>
    </row>
    <row r="642" spans="1:17" x14ac:dyDescent="0.3">
      <c r="A642" t="s">
        <v>17</v>
      </c>
      <c r="B642" t="str">
        <f>"600682"</f>
        <v>600682</v>
      </c>
      <c r="C642" t="s">
        <v>1479</v>
      </c>
      <c r="D642" t="s">
        <v>1480</v>
      </c>
      <c r="E642">
        <v>25420105001</v>
      </c>
      <c r="F642">
        <v>24776213197</v>
      </c>
      <c r="G642">
        <v>23451272026</v>
      </c>
      <c r="H642">
        <v>22089441326</v>
      </c>
      <c r="I642">
        <v>24846230892</v>
      </c>
      <c r="J642">
        <v>23004339914</v>
      </c>
      <c r="K642">
        <v>15983502893</v>
      </c>
      <c r="L642">
        <v>12876954372</v>
      </c>
      <c r="M642">
        <v>4215121576</v>
      </c>
      <c r="N642">
        <v>3804039742</v>
      </c>
      <c r="O642">
        <v>3548210505</v>
      </c>
      <c r="P642">
        <v>237</v>
      </c>
      <c r="Q642" t="s">
        <v>1481</v>
      </c>
    </row>
    <row r="643" spans="1:17" x14ac:dyDescent="0.3">
      <c r="A643" t="s">
        <v>47</v>
      </c>
      <c r="B643" t="str">
        <f>"000990"</f>
        <v>000990</v>
      </c>
      <c r="C643" t="s">
        <v>1482</v>
      </c>
      <c r="D643" t="s">
        <v>783</v>
      </c>
      <c r="E643">
        <v>25196268477</v>
      </c>
      <c r="F643">
        <v>24805003789</v>
      </c>
      <c r="G643">
        <v>24145253608</v>
      </c>
      <c r="H643">
        <v>23311057642</v>
      </c>
      <c r="I643">
        <v>20712527545</v>
      </c>
      <c r="J643">
        <v>19942543230</v>
      </c>
      <c r="K643">
        <v>4877952406</v>
      </c>
      <c r="L643">
        <v>4732830594</v>
      </c>
      <c r="M643">
        <v>3368632764</v>
      </c>
      <c r="N643">
        <v>3218429728</v>
      </c>
      <c r="O643">
        <v>3484947384</v>
      </c>
      <c r="P643">
        <v>194</v>
      </c>
      <c r="Q643" t="s">
        <v>1483</v>
      </c>
    </row>
    <row r="644" spans="1:17" x14ac:dyDescent="0.3">
      <c r="A644" t="s">
        <v>17</v>
      </c>
      <c r="B644" t="str">
        <f>"600812"</f>
        <v>600812</v>
      </c>
      <c r="C644" t="s">
        <v>1484</v>
      </c>
      <c r="D644" t="s">
        <v>550</v>
      </c>
      <c r="E644">
        <v>25158030067</v>
      </c>
      <c r="F644">
        <v>24744558686</v>
      </c>
      <c r="G644">
        <v>20971440233</v>
      </c>
      <c r="H644">
        <v>18298790265</v>
      </c>
      <c r="I644">
        <v>17165902091</v>
      </c>
      <c r="J644">
        <v>17089034509</v>
      </c>
      <c r="K644">
        <v>16329243477</v>
      </c>
      <c r="L644">
        <v>15652896413</v>
      </c>
      <c r="M644">
        <v>14882685062</v>
      </c>
      <c r="N644">
        <v>14122914171</v>
      </c>
      <c r="O644">
        <v>11664916651</v>
      </c>
      <c r="P644">
        <v>226</v>
      </c>
      <c r="Q644" t="s">
        <v>1485</v>
      </c>
    </row>
    <row r="645" spans="1:17" x14ac:dyDescent="0.3">
      <c r="A645" t="s">
        <v>47</v>
      </c>
      <c r="B645" t="str">
        <f>"002456"</f>
        <v>002456</v>
      </c>
      <c r="C645" t="s">
        <v>1486</v>
      </c>
      <c r="D645" t="s">
        <v>1487</v>
      </c>
      <c r="E645">
        <v>25154945651</v>
      </c>
      <c r="F645">
        <v>31705590442</v>
      </c>
      <c r="G645">
        <v>39728677905</v>
      </c>
      <c r="H645">
        <v>39188874258</v>
      </c>
      <c r="I645">
        <v>32650242048</v>
      </c>
      <c r="J645">
        <v>25156185952</v>
      </c>
      <c r="K645">
        <v>15971570567</v>
      </c>
      <c r="L645">
        <v>13761782028</v>
      </c>
      <c r="M645">
        <v>11923690355</v>
      </c>
      <c r="N645">
        <v>6567751040</v>
      </c>
      <c r="O645">
        <v>2453956115</v>
      </c>
      <c r="P645">
        <v>1607</v>
      </c>
      <c r="Q645" t="s">
        <v>1488</v>
      </c>
    </row>
    <row r="646" spans="1:17" x14ac:dyDescent="0.3">
      <c r="A646" t="s">
        <v>47</v>
      </c>
      <c r="B646" t="str">
        <f>"300450"</f>
        <v>300450</v>
      </c>
      <c r="C646" t="s">
        <v>1489</v>
      </c>
      <c r="D646" t="s">
        <v>1490</v>
      </c>
      <c r="E646">
        <v>25120199435</v>
      </c>
      <c r="F646">
        <v>14046992607</v>
      </c>
      <c r="G646">
        <v>9287109294</v>
      </c>
      <c r="H646">
        <v>8550462586</v>
      </c>
      <c r="I646">
        <v>6874396885</v>
      </c>
      <c r="J646">
        <v>2577581785</v>
      </c>
      <c r="K646">
        <v>1785549339</v>
      </c>
      <c r="L646">
        <v>880035132</v>
      </c>
      <c r="P646">
        <v>9753</v>
      </c>
      <c r="Q646" t="s">
        <v>1491</v>
      </c>
    </row>
    <row r="647" spans="1:17" x14ac:dyDescent="0.3">
      <c r="A647" t="s">
        <v>17</v>
      </c>
      <c r="B647" t="str">
        <f>"600507"</f>
        <v>600507</v>
      </c>
      <c r="C647" t="s">
        <v>1492</v>
      </c>
      <c r="D647" t="s">
        <v>555</v>
      </c>
      <c r="E647">
        <v>25113904629</v>
      </c>
      <c r="F647">
        <v>15407485545</v>
      </c>
      <c r="G647">
        <v>14669298904</v>
      </c>
      <c r="H647">
        <v>13179247586</v>
      </c>
      <c r="I647">
        <v>11746478888</v>
      </c>
      <c r="J647">
        <v>9329522542</v>
      </c>
      <c r="K647">
        <v>8946525508</v>
      </c>
      <c r="L647">
        <v>9111141914</v>
      </c>
      <c r="M647">
        <v>10586130764</v>
      </c>
      <c r="N647">
        <v>9642597702</v>
      </c>
      <c r="O647">
        <v>10087380614</v>
      </c>
      <c r="P647">
        <v>1893</v>
      </c>
      <c r="Q647" t="s">
        <v>1493</v>
      </c>
    </row>
    <row r="648" spans="1:17" x14ac:dyDescent="0.3">
      <c r="A648" t="s">
        <v>17</v>
      </c>
      <c r="B648" t="str">
        <f>"600395"</f>
        <v>600395</v>
      </c>
      <c r="C648" t="s">
        <v>1494</v>
      </c>
      <c r="D648" t="s">
        <v>530</v>
      </c>
      <c r="E648">
        <v>25085157440</v>
      </c>
      <c r="F648">
        <v>17796448215</v>
      </c>
      <c r="G648">
        <v>14404675237</v>
      </c>
      <c r="H648">
        <v>13448090479</v>
      </c>
      <c r="I648">
        <v>12766852200</v>
      </c>
      <c r="J648">
        <v>11936763400</v>
      </c>
      <c r="K648">
        <v>10178807700</v>
      </c>
      <c r="L648">
        <v>10785162469</v>
      </c>
      <c r="M648">
        <v>13866721561</v>
      </c>
      <c r="N648">
        <v>14053627206</v>
      </c>
      <c r="O648">
        <v>12889526037</v>
      </c>
      <c r="P648">
        <v>517</v>
      </c>
      <c r="Q648" t="s">
        <v>1495</v>
      </c>
    </row>
    <row r="649" spans="1:17" x14ac:dyDescent="0.3">
      <c r="A649" t="s">
        <v>47</v>
      </c>
      <c r="B649" t="str">
        <f>"000156"</f>
        <v>000156</v>
      </c>
      <c r="C649" t="s">
        <v>1496</v>
      </c>
      <c r="D649" t="s">
        <v>973</v>
      </c>
      <c r="E649">
        <v>24864144942</v>
      </c>
      <c r="F649">
        <v>23333185079</v>
      </c>
      <c r="G649">
        <v>15548271595</v>
      </c>
      <c r="H649">
        <v>14964552075</v>
      </c>
      <c r="I649">
        <v>14399024270</v>
      </c>
      <c r="J649">
        <v>13985033712</v>
      </c>
      <c r="K649">
        <v>12708136557</v>
      </c>
      <c r="L649">
        <v>5562552225</v>
      </c>
      <c r="M649">
        <v>4938421617</v>
      </c>
      <c r="N649">
        <v>3472393681</v>
      </c>
      <c r="O649">
        <v>303422475</v>
      </c>
      <c r="P649">
        <v>309</v>
      </c>
      <c r="Q649" t="s">
        <v>1497</v>
      </c>
    </row>
    <row r="650" spans="1:17" x14ac:dyDescent="0.3">
      <c r="A650" t="s">
        <v>47</v>
      </c>
      <c r="B650" t="str">
        <f>"300347"</f>
        <v>300347</v>
      </c>
      <c r="C650" t="s">
        <v>1498</v>
      </c>
      <c r="D650" t="s">
        <v>777</v>
      </c>
      <c r="E650">
        <v>24803252428</v>
      </c>
      <c r="F650">
        <v>20281478168</v>
      </c>
      <c r="G650">
        <v>8242151380</v>
      </c>
      <c r="H650">
        <v>4403345034</v>
      </c>
      <c r="I650">
        <v>3934263847</v>
      </c>
      <c r="J650">
        <v>2459165231</v>
      </c>
      <c r="K650">
        <v>2065481708</v>
      </c>
      <c r="L650">
        <v>1152200101</v>
      </c>
      <c r="M650">
        <v>884097223</v>
      </c>
      <c r="N650">
        <v>752424345</v>
      </c>
      <c r="P650">
        <v>3109</v>
      </c>
      <c r="Q650" t="s">
        <v>1499</v>
      </c>
    </row>
    <row r="651" spans="1:17" x14ac:dyDescent="0.3">
      <c r="A651" t="s">
        <v>47</v>
      </c>
      <c r="B651" t="str">
        <f>"300772"</f>
        <v>300772</v>
      </c>
      <c r="C651" t="s">
        <v>1500</v>
      </c>
      <c r="D651" t="s">
        <v>490</v>
      </c>
      <c r="E651">
        <v>24681337101</v>
      </c>
      <c r="F651">
        <v>15231663230</v>
      </c>
      <c r="G651">
        <v>12363873786</v>
      </c>
      <c r="H651">
        <v>6571061738</v>
      </c>
      <c r="P651">
        <v>177</v>
      </c>
      <c r="Q651" t="s">
        <v>1501</v>
      </c>
    </row>
    <row r="652" spans="1:17" x14ac:dyDescent="0.3">
      <c r="A652" t="s">
        <v>17</v>
      </c>
      <c r="B652" t="str">
        <f>"600841"</f>
        <v>600841</v>
      </c>
      <c r="C652" t="s">
        <v>1502</v>
      </c>
      <c r="D652" t="s">
        <v>274</v>
      </c>
      <c r="E652">
        <v>24651941139</v>
      </c>
      <c r="F652">
        <v>9695354852</v>
      </c>
      <c r="G652">
        <v>7463894524</v>
      </c>
      <c r="H652">
        <v>7048896850</v>
      </c>
      <c r="I652">
        <v>6874985303</v>
      </c>
      <c r="J652">
        <v>5898447079</v>
      </c>
      <c r="K652">
        <v>5477540924</v>
      </c>
      <c r="L652">
        <v>5384728166</v>
      </c>
      <c r="M652">
        <v>5625553865</v>
      </c>
      <c r="N652">
        <v>5139230748</v>
      </c>
      <c r="O652">
        <v>5096937821</v>
      </c>
      <c r="P652">
        <v>88</v>
      </c>
      <c r="Q652" t="s">
        <v>1503</v>
      </c>
    </row>
    <row r="653" spans="1:17" x14ac:dyDescent="0.3">
      <c r="A653" t="s">
        <v>17</v>
      </c>
      <c r="B653" t="str">
        <f>"603833"</f>
        <v>603833</v>
      </c>
      <c r="C653" t="s">
        <v>1504</v>
      </c>
      <c r="D653" t="s">
        <v>1505</v>
      </c>
      <c r="E653">
        <v>24617642185</v>
      </c>
      <c r="F653">
        <v>20182214111</v>
      </c>
      <c r="G653">
        <v>15425582863</v>
      </c>
      <c r="H653">
        <v>11418888787</v>
      </c>
      <c r="I653">
        <v>9076358338</v>
      </c>
      <c r="J653">
        <v>7340635309</v>
      </c>
      <c r="P653">
        <v>2566</v>
      </c>
      <c r="Q653" t="s">
        <v>1506</v>
      </c>
    </row>
    <row r="654" spans="1:17" x14ac:dyDescent="0.3">
      <c r="A654" t="s">
        <v>17</v>
      </c>
      <c r="B654" t="str">
        <f>"600612"</f>
        <v>600612</v>
      </c>
      <c r="C654" t="s">
        <v>1507</v>
      </c>
      <c r="D654" t="s">
        <v>1508</v>
      </c>
      <c r="E654">
        <v>24410526168</v>
      </c>
      <c r="F654">
        <v>21837309719</v>
      </c>
      <c r="G654">
        <v>19334881186</v>
      </c>
      <c r="H654">
        <v>17981308149</v>
      </c>
      <c r="I654">
        <v>14668030194</v>
      </c>
      <c r="J654">
        <v>13988508828</v>
      </c>
      <c r="K654">
        <v>12238023812</v>
      </c>
      <c r="L654">
        <v>12554718645</v>
      </c>
      <c r="M654">
        <v>10839913596</v>
      </c>
      <c r="N654">
        <v>8290682957</v>
      </c>
      <c r="O654">
        <v>7903879688</v>
      </c>
      <c r="P654">
        <v>45897</v>
      </c>
      <c r="Q654" t="s">
        <v>1509</v>
      </c>
    </row>
    <row r="655" spans="1:17" x14ac:dyDescent="0.3">
      <c r="A655" t="s">
        <v>47</v>
      </c>
      <c r="B655" t="str">
        <f>"002050"</f>
        <v>002050</v>
      </c>
      <c r="C655" t="s">
        <v>1510</v>
      </c>
      <c r="D655" t="s">
        <v>1511</v>
      </c>
      <c r="E655">
        <v>24290576720</v>
      </c>
      <c r="F655">
        <v>17701840826</v>
      </c>
      <c r="G655">
        <v>14969285982</v>
      </c>
      <c r="H655">
        <v>13953269252</v>
      </c>
      <c r="I655">
        <v>12733600622</v>
      </c>
      <c r="J655">
        <v>8665886377</v>
      </c>
      <c r="K655">
        <v>8004635339</v>
      </c>
      <c r="L655">
        <v>7327752113</v>
      </c>
      <c r="M655">
        <v>6833968178</v>
      </c>
      <c r="N655">
        <v>5886365339</v>
      </c>
      <c r="O655">
        <v>4738947975</v>
      </c>
      <c r="P655">
        <v>2043</v>
      </c>
      <c r="Q655" t="s">
        <v>1512</v>
      </c>
    </row>
    <row r="656" spans="1:17" x14ac:dyDescent="0.3">
      <c r="A656" t="s">
        <v>47</v>
      </c>
      <c r="B656" t="str">
        <f>"000928"</f>
        <v>000928</v>
      </c>
      <c r="C656" t="s">
        <v>1513</v>
      </c>
      <c r="D656" t="s">
        <v>997</v>
      </c>
      <c r="E656">
        <v>24289496696</v>
      </c>
      <c r="F656">
        <v>19125727879</v>
      </c>
      <c r="G656">
        <v>18427900496</v>
      </c>
      <c r="H656">
        <v>15731219528</v>
      </c>
      <c r="I656">
        <v>12905741531</v>
      </c>
      <c r="J656">
        <v>13602146780</v>
      </c>
      <c r="K656">
        <v>12795044962</v>
      </c>
      <c r="L656">
        <v>10972497522</v>
      </c>
      <c r="M656">
        <v>2035382441</v>
      </c>
      <c r="N656">
        <v>2493198164</v>
      </c>
      <c r="O656">
        <v>2505361113</v>
      </c>
      <c r="P656">
        <v>271</v>
      </c>
      <c r="Q656" t="s">
        <v>1514</v>
      </c>
    </row>
    <row r="657" spans="1:17" x14ac:dyDescent="0.3">
      <c r="A657" t="s">
        <v>17</v>
      </c>
      <c r="B657" t="str">
        <f>"600428"</f>
        <v>600428</v>
      </c>
      <c r="C657" t="s">
        <v>1515</v>
      </c>
      <c r="D657" t="s">
        <v>176</v>
      </c>
      <c r="E657">
        <v>24252489084</v>
      </c>
      <c r="F657">
        <v>21876242607</v>
      </c>
      <c r="G657">
        <v>22017647553</v>
      </c>
      <c r="H657">
        <v>21227864884</v>
      </c>
      <c r="I657">
        <v>20417007972</v>
      </c>
      <c r="J657">
        <v>20991203079</v>
      </c>
      <c r="K657">
        <v>20447916357</v>
      </c>
      <c r="L657">
        <v>18065605968</v>
      </c>
      <c r="M657">
        <v>16777172434</v>
      </c>
      <c r="N657">
        <v>17825985457</v>
      </c>
      <c r="O657">
        <v>13209651722</v>
      </c>
      <c r="P657">
        <v>199</v>
      </c>
      <c r="Q657" t="s">
        <v>1516</v>
      </c>
    </row>
    <row r="658" spans="1:17" x14ac:dyDescent="0.3">
      <c r="A658" t="s">
        <v>47</v>
      </c>
      <c r="B658" t="str">
        <f>"000035"</f>
        <v>000035</v>
      </c>
      <c r="C658" t="s">
        <v>1517</v>
      </c>
      <c r="D658" t="s">
        <v>1310</v>
      </c>
      <c r="E658">
        <v>24242533943</v>
      </c>
      <c r="F658">
        <v>51696677069</v>
      </c>
      <c r="G658">
        <v>47557442172</v>
      </c>
      <c r="H658">
        <v>41323890405</v>
      </c>
      <c r="I658">
        <v>7874408291</v>
      </c>
      <c r="J658">
        <v>6128275093</v>
      </c>
      <c r="K658">
        <v>4466565228</v>
      </c>
      <c r="L658">
        <v>4053924059</v>
      </c>
      <c r="M658">
        <v>8884868</v>
      </c>
      <c r="N658">
        <v>305833707</v>
      </c>
      <c r="O658">
        <v>635575980</v>
      </c>
      <c r="P658">
        <v>198</v>
      </c>
      <c r="Q658" t="s">
        <v>1518</v>
      </c>
    </row>
    <row r="659" spans="1:17" x14ac:dyDescent="0.3">
      <c r="A659" t="s">
        <v>47</v>
      </c>
      <c r="B659" t="str">
        <f>"002429"</f>
        <v>002429</v>
      </c>
      <c r="C659" t="s">
        <v>1519</v>
      </c>
      <c r="D659" t="s">
        <v>612</v>
      </c>
      <c r="E659">
        <v>24206474318</v>
      </c>
      <c r="F659">
        <v>27114063881</v>
      </c>
      <c r="G659">
        <v>22310839197</v>
      </c>
      <c r="H659">
        <v>18900480974</v>
      </c>
      <c r="I659">
        <v>17593310925</v>
      </c>
      <c r="J659">
        <v>13030422796</v>
      </c>
      <c r="K659">
        <v>9113522951</v>
      </c>
      <c r="L659">
        <v>7507644054</v>
      </c>
      <c r="M659">
        <v>7107140161</v>
      </c>
      <c r="N659">
        <v>5503506881</v>
      </c>
      <c r="O659">
        <v>4300202711</v>
      </c>
      <c r="P659">
        <v>454</v>
      </c>
      <c r="Q659" t="s">
        <v>1520</v>
      </c>
    </row>
    <row r="660" spans="1:17" x14ac:dyDescent="0.3">
      <c r="A660" t="s">
        <v>47</v>
      </c>
      <c r="B660" t="str">
        <f>"000999"</f>
        <v>000999</v>
      </c>
      <c r="C660" t="s">
        <v>1521</v>
      </c>
      <c r="D660" t="s">
        <v>695</v>
      </c>
      <c r="E660">
        <v>24148153392</v>
      </c>
      <c r="F660">
        <v>22252318770</v>
      </c>
      <c r="G660">
        <v>20150647359</v>
      </c>
      <c r="H660">
        <v>17896128794</v>
      </c>
      <c r="I660">
        <v>16572895127</v>
      </c>
      <c r="J660">
        <v>13942026477</v>
      </c>
      <c r="K660">
        <v>12043988908</v>
      </c>
      <c r="L660">
        <v>10924506340</v>
      </c>
      <c r="M660">
        <v>10287702645</v>
      </c>
      <c r="N660">
        <v>8928899950</v>
      </c>
      <c r="O660">
        <v>7638346879</v>
      </c>
      <c r="P660">
        <v>5773</v>
      </c>
      <c r="Q660" t="s">
        <v>1522</v>
      </c>
    </row>
    <row r="661" spans="1:17" x14ac:dyDescent="0.3">
      <c r="A661" t="s">
        <v>17</v>
      </c>
      <c r="B661" t="str">
        <f>"600533"</f>
        <v>600533</v>
      </c>
      <c r="C661" t="s">
        <v>1523</v>
      </c>
      <c r="D661" t="s">
        <v>76</v>
      </c>
      <c r="E661">
        <v>24114823242</v>
      </c>
      <c r="F661">
        <v>22314094025</v>
      </c>
      <c r="G661">
        <v>20233422907</v>
      </c>
      <c r="H661">
        <v>17850613616</v>
      </c>
      <c r="I661">
        <v>15778119162</v>
      </c>
      <c r="J661">
        <v>13877469938</v>
      </c>
      <c r="K661">
        <v>13280768010</v>
      </c>
      <c r="L661">
        <v>14211517533</v>
      </c>
      <c r="M661">
        <v>14765720756</v>
      </c>
      <c r="N661">
        <v>12997476746</v>
      </c>
      <c r="O661">
        <v>11878349589</v>
      </c>
      <c r="P661">
        <v>199</v>
      </c>
      <c r="Q661" t="s">
        <v>1524</v>
      </c>
    </row>
    <row r="662" spans="1:17" x14ac:dyDescent="0.3">
      <c r="A662" t="s">
        <v>17</v>
      </c>
      <c r="B662" t="str">
        <f>"603659"</f>
        <v>603659</v>
      </c>
      <c r="C662" t="s">
        <v>1525</v>
      </c>
      <c r="D662" t="s">
        <v>1017</v>
      </c>
      <c r="E662">
        <v>24107543428</v>
      </c>
      <c r="F662">
        <v>15464310910</v>
      </c>
      <c r="G662">
        <v>9076395028</v>
      </c>
      <c r="H662">
        <v>6871901035</v>
      </c>
      <c r="I662">
        <v>4824809609</v>
      </c>
      <c r="J662">
        <v>2076256588</v>
      </c>
      <c r="P662">
        <v>1047</v>
      </c>
      <c r="Q662" t="s">
        <v>1526</v>
      </c>
    </row>
    <row r="663" spans="1:17" x14ac:dyDescent="0.3">
      <c r="A663" t="s">
        <v>17</v>
      </c>
      <c r="B663" t="str">
        <f>"600597"</f>
        <v>600597</v>
      </c>
      <c r="C663" t="s">
        <v>1527</v>
      </c>
      <c r="D663" t="s">
        <v>487</v>
      </c>
      <c r="E663">
        <v>24029979520</v>
      </c>
      <c r="F663">
        <v>19972169854</v>
      </c>
      <c r="G663">
        <v>17644279298</v>
      </c>
      <c r="H663">
        <v>17569794290</v>
      </c>
      <c r="I663">
        <v>16546062601</v>
      </c>
      <c r="J663">
        <v>16255380615</v>
      </c>
      <c r="K663">
        <v>15648867185</v>
      </c>
      <c r="L663">
        <v>15091047243</v>
      </c>
      <c r="M663">
        <v>12249328632</v>
      </c>
      <c r="N663">
        <v>9528683422</v>
      </c>
      <c r="O663">
        <v>7513101676</v>
      </c>
      <c r="P663">
        <v>1247</v>
      </c>
      <c r="Q663" t="s">
        <v>1528</v>
      </c>
    </row>
    <row r="664" spans="1:17" x14ac:dyDescent="0.3">
      <c r="A664" t="s">
        <v>17</v>
      </c>
      <c r="B664" t="str">
        <f>"600635"</f>
        <v>600635</v>
      </c>
      <c r="C664" t="s">
        <v>1529</v>
      </c>
      <c r="D664" t="s">
        <v>476</v>
      </c>
      <c r="E664">
        <v>23956063246</v>
      </c>
      <c r="F664">
        <v>24057113512</v>
      </c>
      <c r="G664">
        <v>22345818240</v>
      </c>
      <c r="H664">
        <v>22144434457</v>
      </c>
      <c r="I664">
        <v>20395209751</v>
      </c>
      <c r="J664">
        <v>18624434761</v>
      </c>
      <c r="K664">
        <v>14881124076</v>
      </c>
      <c r="L664">
        <v>12874741834</v>
      </c>
      <c r="M664">
        <v>11286510750</v>
      </c>
      <c r="N664">
        <v>10513048764</v>
      </c>
      <c r="O664">
        <v>10297383198</v>
      </c>
      <c r="P664">
        <v>180</v>
      </c>
      <c r="Q664" t="s">
        <v>1530</v>
      </c>
    </row>
    <row r="665" spans="1:17" x14ac:dyDescent="0.3">
      <c r="A665" t="s">
        <v>17</v>
      </c>
      <c r="B665" t="str">
        <f>"603858"</f>
        <v>603858</v>
      </c>
      <c r="C665" t="s">
        <v>1531</v>
      </c>
      <c r="D665" t="s">
        <v>695</v>
      </c>
      <c r="E665">
        <v>23949971376</v>
      </c>
      <c r="F665">
        <v>22962179223</v>
      </c>
      <c r="G665">
        <v>20911646026</v>
      </c>
      <c r="H665">
        <v>19809605042</v>
      </c>
      <c r="I665">
        <v>18627487663</v>
      </c>
      <c r="J665">
        <v>17126229434</v>
      </c>
      <c r="P665">
        <v>828</v>
      </c>
      <c r="Q665" t="s">
        <v>1532</v>
      </c>
    </row>
    <row r="666" spans="1:17" x14ac:dyDescent="0.3">
      <c r="A666" t="s">
        <v>17</v>
      </c>
      <c r="B666" t="str">
        <f>"600667"</f>
        <v>600667</v>
      </c>
      <c r="C666" t="s">
        <v>1533</v>
      </c>
      <c r="D666" t="s">
        <v>1109</v>
      </c>
      <c r="E666">
        <v>23912180751</v>
      </c>
      <c r="F666">
        <v>21546828106</v>
      </c>
      <c r="G666">
        <v>21307391119</v>
      </c>
      <c r="H666">
        <v>18161071860</v>
      </c>
      <c r="I666">
        <v>18300391084</v>
      </c>
      <c r="J666">
        <v>17721995410</v>
      </c>
      <c r="K666">
        <v>5427384751</v>
      </c>
      <c r="L666">
        <v>5270056146</v>
      </c>
      <c r="M666">
        <v>5778873595</v>
      </c>
      <c r="N666">
        <v>5529987026</v>
      </c>
      <c r="O666">
        <v>5639384647</v>
      </c>
      <c r="P666">
        <v>445</v>
      </c>
      <c r="Q666" t="s">
        <v>1534</v>
      </c>
    </row>
    <row r="667" spans="1:17" x14ac:dyDescent="0.3">
      <c r="A667" t="s">
        <v>17</v>
      </c>
      <c r="B667" t="str">
        <f>"601000"</f>
        <v>601000</v>
      </c>
      <c r="C667" t="s">
        <v>1535</v>
      </c>
      <c r="D667" t="s">
        <v>357</v>
      </c>
      <c r="E667">
        <v>23893458186</v>
      </c>
      <c r="F667">
        <v>23724556503</v>
      </c>
      <c r="G667">
        <v>24301968064</v>
      </c>
      <c r="H667">
        <v>24669895679</v>
      </c>
      <c r="I667">
        <v>22082651770</v>
      </c>
      <c r="J667">
        <v>19289481176</v>
      </c>
      <c r="K667">
        <v>16617353889</v>
      </c>
      <c r="L667">
        <v>15313306392</v>
      </c>
      <c r="M667">
        <v>12878863516</v>
      </c>
      <c r="N667">
        <v>11215187309</v>
      </c>
      <c r="O667">
        <v>10479426080</v>
      </c>
      <c r="P667">
        <v>892</v>
      </c>
      <c r="Q667" t="s">
        <v>1536</v>
      </c>
    </row>
    <row r="668" spans="1:17" x14ac:dyDescent="0.3">
      <c r="A668" t="s">
        <v>17</v>
      </c>
      <c r="B668" t="str">
        <f>"600691"</f>
        <v>600691</v>
      </c>
      <c r="C668" t="s">
        <v>1537</v>
      </c>
      <c r="D668" t="s">
        <v>1538</v>
      </c>
      <c r="E668">
        <v>23801314152</v>
      </c>
      <c r="F668">
        <v>25120758352</v>
      </c>
      <c r="G668">
        <v>42028252732</v>
      </c>
      <c r="H668">
        <v>43739537640</v>
      </c>
      <c r="I668">
        <v>42348515819</v>
      </c>
      <c r="J668">
        <v>42926310028</v>
      </c>
      <c r="K668">
        <v>40627752637</v>
      </c>
      <c r="L668">
        <v>37316664526</v>
      </c>
      <c r="M668">
        <v>26339953910</v>
      </c>
      <c r="N668">
        <v>25315765414</v>
      </c>
      <c r="O668">
        <v>86473220</v>
      </c>
      <c r="P668">
        <v>130</v>
      </c>
      <c r="Q668" t="s">
        <v>1539</v>
      </c>
    </row>
    <row r="669" spans="1:17" x14ac:dyDescent="0.3">
      <c r="A669" t="s">
        <v>17</v>
      </c>
      <c r="B669" t="str">
        <f>"600067"</f>
        <v>600067</v>
      </c>
      <c r="C669" t="s">
        <v>1540</v>
      </c>
      <c r="D669" t="s">
        <v>76</v>
      </c>
      <c r="E669">
        <v>23787106795</v>
      </c>
      <c r="F669">
        <v>24515322898</v>
      </c>
      <c r="G669">
        <v>25628291547</v>
      </c>
      <c r="H669">
        <v>24384322393</v>
      </c>
      <c r="I669">
        <v>21871053967</v>
      </c>
      <c r="J669">
        <v>19425395967</v>
      </c>
      <c r="K669">
        <v>19982494151</v>
      </c>
      <c r="L669">
        <v>19361531772</v>
      </c>
      <c r="M669">
        <v>18145509707</v>
      </c>
      <c r="N669">
        <v>15179127248</v>
      </c>
      <c r="O669">
        <v>9384935244</v>
      </c>
      <c r="P669">
        <v>222</v>
      </c>
      <c r="Q669" t="s">
        <v>1541</v>
      </c>
    </row>
    <row r="670" spans="1:17" x14ac:dyDescent="0.3">
      <c r="A670" t="s">
        <v>17</v>
      </c>
      <c r="B670" t="str">
        <f>"688425"</f>
        <v>688425</v>
      </c>
      <c r="C670" t="s">
        <v>1542</v>
      </c>
      <c r="D670" t="s">
        <v>429</v>
      </c>
      <c r="E670">
        <v>23779668707</v>
      </c>
      <c r="F670">
        <v>18324667606</v>
      </c>
      <c r="P670">
        <v>40</v>
      </c>
      <c r="Q670" t="s">
        <v>1543</v>
      </c>
    </row>
    <row r="671" spans="1:17" x14ac:dyDescent="0.3">
      <c r="A671" t="s">
        <v>47</v>
      </c>
      <c r="B671" t="str">
        <f>"000513"</f>
        <v>000513</v>
      </c>
      <c r="C671" t="s">
        <v>1544</v>
      </c>
      <c r="D671" t="s">
        <v>550</v>
      </c>
      <c r="E671">
        <v>23729888204</v>
      </c>
      <c r="F671">
        <v>21358886911</v>
      </c>
      <c r="G671">
        <v>17578043040</v>
      </c>
      <c r="H671">
        <v>16442341050</v>
      </c>
      <c r="I671">
        <v>16156947210</v>
      </c>
      <c r="J671">
        <v>11334271241</v>
      </c>
      <c r="K671">
        <v>8235175499</v>
      </c>
      <c r="L671">
        <v>7681048173</v>
      </c>
      <c r="M671">
        <v>7131952970</v>
      </c>
      <c r="N671">
        <v>5959089294</v>
      </c>
      <c r="O671">
        <v>4554878275</v>
      </c>
      <c r="P671">
        <v>1622</v>
      </c>
      <c r="Q671" t="s">
        <v>1545</v>
      </c>
    </row>
    <row r="672" spans="1:17" x14ac:dyDescent="0.3">
      <c r="A672" t="s">
        <v>17</v>
      </c>
      <c r="B672" t="str">
        <f>"601098"</f>
        <v>601098</v>
      </c>
      <c r="C672" t="s">
        <v>1546</v>
      </c>
      <c r="D672" t="s">
        <v>1352</v>
      </c>
      <c r="E672">
        <v>23628509861</v>
      </c>
      <c r="F672">
        <v>23329562838</v>
      </c>
      <c r="G672">
        <v>21670379791</v>
      </c>
      <c r="H672">
        <v>20026531676</v>
      </c>
      <c r="I672">
        <v>19607490494</v>
      </c>
      <c r="J672">
        <v>18965366671</v>
      </c>
      <c r="K672">
        <v>16574763311</v>
      </c>
      <c r="L672">
        <v>15137487790</v>
      </c>
      <c r="M672">
        <v>13510284343</v>
      </c>
      <c r="N672">
        <v>12213848778</v>
      </c>
      <c r="O672">
        <v>11278849240</v>
      </c>
      <c r="P672">
        <v>882</v>
      </c>
      <c r="Q672" t="s">
        <v>1547</v>
      </c>
    </row>
    <row r="673" spans="1:17" x14ac:dyDescent="0.3">
      <c r="A673" t="s">
        <v>47</v>
      </c>
      <c r="B673" t="str">
        <f>"000006"</f>
        <v>000006</v>
      </c>
      <c r="C673" t="s">
        <v>1548</v>
      </c>
      <c r="D673" t="s">
        <v>76</v>
      </c>
      <c r="E673">
        <v>23509203623</v>
      </c>
      <c r="F673">
        <v>16052084462</v>
      </c>
      <c r="G673">
        <v>15330094970</v>
      </c>
      <c r="H673">
        <v>14019712732</v>
      </c>
      <c r="I673">
        <v>11132749198</v>
      </c>
      <c r="J673">
        <v>13265496850</v>
      </c>
      <c r="K673">
        <v>12781117104</v>
      </c>
      <c r="L673">
        <v>12169108201</v>
      </c>
      <c r="M673">
        <v>10128976089</v>
      </c>
      <c r="N673">
        <v>9918719390</v>
      </c>
      <c r="O673">
        <v>8324651886</v>
      </c>
      <c r="P673">
        <v>424</v>
      </c>
      <c r="Q673" t="s">
        <v>1549</v>
      </c>
    </row>
    <row r="674" spans="1:17" x14ac:dyDescent="0.3">
      <c r="A674" t="s">
        <v>17</v>
      </c>
      <c r="B674" t="str">
        <f>"601258"</f>
        <v>601258</v>
      </c>
      <c r="C674" t="s">
        <v>1550</v>
      </c>
      <c r="D674" t="s">
        <v>462</v>
      </c>
      <c r="E674">
        <v>23429543243</v>
      </c>
      <c r="F674">
        <v>23510321190</v>
      </c>
      <c r="G674">
        <v>23475311113</v>
      </c>
      <c r="H674">
        <v>31066069277</v>
      </c>
      <c r="I674">
        <v>60005139562</v>
      </c>
      <c r="J674">
        <v>69618609449</v>
      </c>
      <c r="K674">
        <v>61706386258</v>
      </c>
      <c r="L674">
        <v>62921684538</v>
      </c>
      <c r="M674">
        <v>66346167323</v>
      </c>
      <c r="N674">
        <v>64165075963</v>
      </c>
      <c r="O674">
        <v>54993510883</v>
      </c>
      <c r="P674">
        <v>133</v>
      </c>
      <c r="Q674" t="s">
        <v>1551</v>
      </c>
    </row>
    <row r="675" spans="1:17" x14ac:dyDescent="0.3">
      <c r="A675" t="s">
        <v>47</v>
      </c>
      <c r="B675" t="str">
        <f>"002208"</f>
        <v>002208</v>
      </c>
      <c r="C675" t="s">
        <v>1552</v>
      </c>
      <c r="D675" t="s">
        <v>76</v>
      </c>
      <c r="E675">
        <v>23425804925</v>
      </c>
      <c r="F675">
        <v>18824325300</v>
      </c>
      <c r="G675">
        <v>19062677176</v>
      </c>
      <c r="H675">
        <v>12809577302</v>
      </c>
      <c r="I675">
        <v>11970833735</v>
      </c>
      <c r="J675">
        <v>10808829248</v>
      </c>
      <c r="K675">
        <v>6488510618</v>
      </c>
      <c r="L675">
        <v>6298183983</v>
      </c>
      <c r="M675">
        <v>5282115581</v>
      </c>
      <c r="N675">
        <v>4468800033</v>
      </c>
      <c r="O675">
        <v>3488528058</v>
      </c>
      <c r="P675">
        <v>198</v>
      </c>
      <c r="Q675" t="s">
        <v>1553</v>
      </c>
    </row>
    <row r="676" spans="1:17" x14ac:dyDescent="0.3">
      <c r="A676" t="s">
        <v>17</v>
      </c>
      <c r="B676" t="str">
        <f>"601865"</f>
        <v>601865</v>
      </c>
      <c r="C676" t="s">
        <v>1554</v>
      </c>
      <c r="D676" t="s">
        <v>1555</v>
      </c>
      <c r="E676">
        <v>23398430901</v>
      </c>
      <c r="F676">
        <v>15636558173</v>
      </c>
      <c r="G676">
        <v>9570563152</v>
      </c>
      <c r="H676">
        <v>7528635623</v>
      </c>
      <c r="P676">
        <v>925</v>
      </c>
      <c r="Q676" t="s">
        <v>1556</v>
      </c>
    </row>
    <row r="677" spans="1:17" x14ac:dyDescent="0.3">
      <c r="A677" t="s">
        <v>47</v>
      </c>
      <c r="B677" t="str">
        <f>"000661"</f>
        <v>000661</v>
      </c>
      <c r="C677" t="s">
        <v>1557</v>
      </c>
      <c r="D677" t="s">
        <v>1480</v>
      </c>
      <c r="E677">
        <v>23368897486</v>
      </c>
      <c r="F677">
        <v>17772427618</v>
      </c>
      <c r="G677">
        <v>13920602834</v>
      </c>
      <c r="H677">
        <v>9827577740</v>
      </c>
      <c r="I677">
        <v>7802211042</v>
      </c>
      <c r="J677">
        <v>6649119580</v>
      </c>
      <c r="K677">
        <v>3950458997</v>
      </c>
      <c r="L677">
        <v>3118189450</v>
      </c>
      <c r="M677">
        <v>2890268354</v>
      </c>
      <c r="N677">
        <v>2399094710</v>
      </c>
      <c r="O677">
        <v>2143587569</v>
      </c>
      <c r="P677">
        <v>59935</v>
      </c>
      <c r="Q677" t="s">
        <v>1558</v>
      </c>
    </row>
    <row r="678" spans="1:17" x14ac:dyDescent="0.3">
      <c r="A678" t="s">
        <v>17</v>
      </c>
      <c r="B678" t="str">
        <f>"688396"</f>
        <v>688396</v>
      </c>
      <c r="C678" t="s">
        <v>1559</v>
      </c>
      <c r="D678" t="s">
        <v>1560</v>
      </c>
      <c r="E678">
        <v>23293852791</v>
      </c>
      <c r="F678">
        <v>15682249667</v>
      </c>
      <c r="G678">
        <v>14557026164</v>
      </c>
      <c r="P678">
        <v>495</v>
      </c>
      <c r="Q678" t="s">
        <v>1561</v>
      </c>
    </row>
    <row r="679" spans="1:17" x14ac:dyDescent="0.3">
      <c r="A679" t="s">
        <v>17</v>
      </c>
      <c r="B679" t="str">
        <f>"600673"</f>
        <v>600673</v>
      </c>
      <c r="C679" t="s">
        <v>1562</v>
      </c>
      <c r="D679" t="s">
        <v>550</v>
      </c>
      <c r="E679">
        <v>23201910651</v>
      </c>
      <c r="F679">
        <v>27373540985</v>
      </c>
      <c r="G679">
        <v>29061646754</v>
      </c>
      <c r="H679">
        <v>25593238096</v>
      </c>
      <c r="I679">
        <v>13296393918</v>
      </c>
      <c r="J679">
        <v>11542321036</v>
      </c>
      <c r="K679">
        <v>10737072098</v>
      </c>
      <c r="L679">
        <v>11244090894</v>
      </c>
      <c r="M679">
        <v>10823121855</v>
      </c>
      <c r="N679">
        <v>8331488100</v>
      </c>
      <c r="O679">
        <v>6832342527</v>
      </c>
      <c r="P679">
        <v>274</v>
      </c>
      <c r="Q679" t="s">
        <v>1563</v>
      </c>
    </row>
    <row r="680" spans="1:17" x14ac:dyDescent="0.3">
      <c r="A680" t="s">
        <v>47</v>
      </c>
      <c r="B680" t="str">
        <f>"000885"</f>
        <v>000885</v>
      </c>
      <c r="C680" t="s">
        <v>1564</v>
      </c>
      <c r="D680" t="s">
        <v>471</v>
      </c>
      <c r="E680">
        <v>23187973661</v>
      </c>
      <c r="F680">
        <v>14321824704</v>
      </c>
      <c r="G680">
        <v>9179017847</v>
      </c>
      <c r="H680">
        <v>8131552549</v>
      </c>
      <c r="I680">
        <v>7946420802</v>
      </c>
      <c r="J680">
        <v>6775519134</v>
      </c>
      <c r="K680">
        <v>5806857919</v>
      </c>
      <c r="L680">
        <v>4739810326</v>
      </c>
      <c r="M680">
        <v>5103359865</v>
      </c>
      <c r="N680">
        <v>5261353660</v>
      </c>
      <c r="O680">
        <v>5109014182</v>
      </c>
      <c r="P680">
        <v>236</v>
      </c>
      <c r="Q680" t="s">
        <v>1565</v>
      </c>
    </row>
    <row r="681" spans="1:17" x14ac:dyDescent="0.3">
      <c r="A681" t="s">
        <v>17</v>
      </c>
      <c r="B681" t="str">
        <f>"600271"</f>
        <v>600271</v>
      </c>
      <c r="C681" t="s">
        <v>1566</v>
      </c>
      <c r="D681" t="s">
        <v>700</v>
      </c>
      <c r="E681">
        <v>23129436959</v>
      </c>
      <c r="F681">
        <v>24317135131</v>
      </c>
      <c r="G681">
        <v>23017355672</v>
      </c>
      <c r="H681">
        <v>21994602346</v>
      </c>
      <c r="I681">
        <v>19773918270</v>
      </c>
      <c r="J681">
        <v>18693196510</v>
      </c>
      <c r="K681">
        <v>15350351590</v>
      </c>
      <c r="L681">
        <v>11528063563</v>
      </c>
      <c r="M681">
        <v>10206258342</v>
      </c>
      <c r="N681">
        <v>8491928791</v>
      </c>
      <c r="O681">
        <v>7772804876</v>
      </c>
      <c r="P681">
        <v>16700</v>
      </c>
      <c r="Q681" t="s">
        <v>1567</v>
      </c>
    </row>
    <row r="682" spans="1:17" x14ac:dyDescent="0.3">
      <c r="A682" t="s">
        <v>17</v>
      </c>
      <c r="B682" t="str">
        <f>"600595"</f>
        <v>600595</v>
      </c>
      <c r="C682" t="s">
        <v>1568</v>
      </c>
      <c r="D682" t="s">
        <v>346</v>
      </c>
      <c r="E682">
        <v>23095503370</v>
      </c>
      <c r="F682">
        <v>20771797100</v>
      </c>
      <c r="G682">
        <v>21779184651</v>
      </c>
      <c r="H682">
        <v>22045515497</v>
      </c>
      <c r="I682">
        <v>25258866351</v>
      </c>
      <c r="J682">
        <v>26105345482</v>
      </c>
      <c r="K682">
        <v>25587749963</v>
      </c>
      <c r="L682">
        <v>25461174759</v>
      </c>
      <c r="M682">
        <v>26794199646</v>
      </c>
      <c r="N682">
        <v>26259525219</v>
      </c>
      <c r="O682">
        <v>24154718740</v>
      </c>
      <c r="P682">
        <v>68</v>
      </c>
      <c r="Q682" t="s">
        <v>1569</v>
      </c>
    </row>
    <row r="683" spans="1:17" x14ac:dyDescent="0.3">
      <c r="A683" t="s">
        <v>17</v>
      </c>
      <c r="B683" t="str">
        <f>"601609"</f>
        <v>601609</v>
      </c>
      <c r="C683" t="s">
        <v>1570</v>
      </c>
      <c r="D683" t="s">
        <v>301</v>
      </c>
      <c r="E683">
        <v>22943916811</v>
      </c>
      <c r="F683">
        <v>18747294824</v>
      </c>
      <c r="G683">
        <v>12225548629</v>
      </c>
      <c r="P683">
        <v>106</v>
      </c>
      <c r="Q683" t="s">
        <v>1571</v>
      </c>
    </row>
    <row r="684" spans="1:17" x14ac:dyDescent="0.3">
      <c r="A684" t="s">
        <v>17</v>
      </c>
      <c r="B684" t="str">
        <f>"601330"</f>
        <v>601330</v>
      </c>
      <c r="C684" t="s">
        <v>1572</v>
      </c>
      <c r="D684" t="s">
        <v>1310</v>
      </c>
      <c r="E684">
        <v>22725983922</v>
      </c>
      <c r="F684">
        <v>17526980143</v>
      </c>
      <c r="G684">
        <v>14279502778</v>
      </c>
      <c r="H684">
        <v>11541457349</v>
      </c>
      <c r="I684">
        <v>7242632872</v>
      </c>
      <c r="P684">
        <v>234</v>
      </c>
      <c r="Q684" t="s">
        <v>1573</v>
      </c>
    </row>
    <row r="685" spans="1:17" x14ac:dyDescent="0.3">
      <c r="A685" t="s">
        <v>17</v>
      </c>
      <c r="B685" t="str">
        <f>"600791"</f>
        <v>600791</v>
      </c>
      <c r="C685" t="s">
        <v>1574</v>
      </c>
      <c r="D685" t="s">
        <v>76</v>
      </c>
      <c r="E685">
        <v>22706208777</v>
      </c>
      <c r="F685">
        <v>18485219193</v>
      </c>
      <c r="G685">
        <v>13443676508</v>
      </c>
      <c r="H685">
        <v>8100573292</v>
      </c>
      <c r="I685">
        <v>5945941297</v>
      </c>
      <c r="J685">
        <v>4976221498</v>
      </c>
      <c r="K685">
        <v>5227095919</v>
      </c>
      <c r="L685">
        <v>5866460364</v>
      </c>
      <c r="M685">
        <v>6999248847</v>
      </c>
      <c r="N685">
        <v>4859071352</v>
      </c>
      <c r="O685">
        <v>4671416626</v>
      </c>
      <c r="P685">
        <v>105</v>
      </c>
      <c r="Q685" t="s">
        <v>1575</v>
      </c>
    </row>
    <row r="686" spans="1:17" x14ac:dyDescent="0.3">
      <c r="A686" t="s">
        <v>17</v>
      </c>
      <c r="B686" t="str">
        <f>"601827"</f>
        <v>601827</v>
      </c>
      <c r="C686" t="s">
        <v>1576</v>
      </c>
      <c r="D686" t="s">
        <v>1310</v>
      </c>
      <c r="E686">
        <v>22560323350</v>
      </c>
      <c r="F686">
        <v>19926416031</v>
      </c>
      <c r="G686">
        <v>14998444033</v>
      </c>
      <c r="P686">
        <v>143</v>
      </c>
      <c r="Q686" t="s">
        <v>1577</v>
      </c>
    </row>
    <row r="687" spans="1:17" x14ac:dyDescent="0.3">
      <c r="A687" t="s">
        <v>17</v>
      </c>
      <c r="B687" t="str">
        <f>"688567"</f>
        <v>688567</v>
      </c>
      <c r="C687" t="s">
        <v>1578</v>
      </c>
      <c r="D687" t="s">
        <v>215</v>
      </c>
      <c r="E687">
        <v>22541290578</v>
      </c>
      <c r="F687">
        <v>15673167295</v>
      </c>
      <c r="G687">
        <v>11268069989</v>
      </c>
      <c r="P687">
        <v>107</v>
      </c>
      <c r="Q687" t="s">
        <v>1579</v>
      </c>
    </row>
    <row r="688" spans="1:17" x14ac:dyDescent="0.3">
      <c r="A688" t="s">
        <v>17</v>
      </c>
      <c r="B688" t="str">
        <f>"600697"</f>
        <v>600697</v>
      </c>
      <c r="C688" t="s">
        <v>1580</v>
      </c>
      <c r="D688" t="s">
        <v>780</v>
      </c>
      <c r="E688">
        <v>22414079828</v>
      </c>
      <c r="F688">
        <v>22682825199</v>
      </c>
      <c r="G688">
        <v>22956958936</v>
      </c>
      <c r="H688">
        <v>22130323887</v>
      </c>
      <c r="I688">
        <v>22281413752</v>
      </c>
      <c r="J688">
        <v>18396215482</v>
      </c>
      <c r="K688">
        <v>16032813546</v>
      </c>
      <c r="L688">
        <v>13672825240</v>
      </c>
      <c r="M688">
        <v>9801030921</v>
      </c>
      <c r="N688">
        <v>7579372646</v>
      </c>
      <c r="O688">
        <v>6449983078</v>
      </c>
      <c r="P688">
        <v>275</v>
      </c>
      <c r="Q688" t="s">
        <v>1581</v>
      </c>
    </row>
    <row r="689" spans="1:17" x14ac:dyDescent="0.3">
      <c r="A689" t="s">
        <v>17</v>
      </c>
      <c r="B689" t="str">
        <f>"600873"</f>
        <v>600873</v>
      </c>
      <c r="C689" t="s">
        <v>1582</v>
      </c>
      <c r="D689" t="s">
        <v>1241</v>
      </c>
      <c r="E689">
        <v>22373434884</v>
      </c>
      <c r="F689">
        <v>19278566252</v>
      </c>
      <c r="G689">
        <v>18764401141</v>
      </c>
      <c r="H689">
        <v>18996599635</v>
      </c>
      <c r="I689">
        <v>17740409744</v>
      </c>
      <c r="J689">
        <v>16809158078</v>
      </c>
      <c r="K689">
        <v>17416580209</v>
      </c>
      <c r="L689">
        <v>21901837528</v>
      </c>
      <c r="M689">
        <v>19698447189</v>
      </c>
      <c r="N689">
        <v>21000302803</v>
      </c>
      <c r="O689">
        <v>13567673442</v>
      </c>
      <c r="P689">
        <v>990</v>
      </c>
      <c r="Q689" t="s">
        <v>1583</v>
      </c>
    </row>
    <row r="690" spans="1:17" x14ac:dyDescent="0.3">
      <c r="A690" t="s">
        <v>47</v>
      </c>
      <c r="B690" t="str">
        <f>"300015"</f>
        <v>300015</v>
      </c>
      <c r="C690" t="s">
        <v>1584</v>
      </c>
      <c r="D690" t="s">
        <v>1585</v>
      </c>
      <c r="E690">
        <v>22327827650</v>
      </c>
      <c r="F690">
        <v>19203617482</v>
      </c>
      <c r="G690">
        <v>12484251241</v>
      </c>
      <c r="H690">
        <v>10498757537</v>
      </c>
      <c r="I690">
        <v>9341749671</v>
      </c>
      <c r="J690">
        <v>4620948593</v>
      </c>
      <c r="K690">
        <v>3387587567</v>
      </c>
      <c r="L690">
        <v>2667829673</v>
      </c>
      <c r="M690">
        <v>2188464960</v>
      </c>
      <c r="N690">
        <v>2002949269</v>
      </c>
      <c r="O690">
        <v>1785625632</v>
      </c>
      <c r="P690">
        <v>11096</v>
      </c>
      <c r="Q690" t="s">
        <v>1586</v>
      </c>
    </row>
    <row r="691" spans="1:17" x14ac:dyDescent="0.3">
      <c r="A691" t="s">
        <v>17</v>
      </c>
      <c r="B691" t="str">
        <f>"600726"</f>
        <v>600726</v>
      </c>
      <c r="C691" t="s">
        <v>1587</v>
      </c>
      <c r="D691" t="s">
        <v>171</v>
      </c>
      <c r="E691">
        <v>22326615365</v>
      </c>
      <c r="F691">
        <v>21833175870</v>
      </c>
      <c r="G691">
        <v>23296842072</v>
      </c>
      <c r="H691">
        <v>24247874010</v>
      </c>
      <c r="I691">
        <v>25271246253</v>
      </c>
      <c r="J691">
        <v>25116786046</v>
      </c>
      <c r="K691">
        <v>24365818687</v>
      </c>
      <c r="L691">
        <v>23793215599</v>
      </c>
      <c r="M691">
        <v>24108157817</v>
      </c>
      <c r="N691">
        <v>22834204237</v>
      </c>
      <c r="O691">
        <v>22385683974</v>
      </c>
      <c r="P691">
        <v>110</v>
      </c>
      <c r="Q691" t="s">
        <v>1588</v>
      </c>
    </row>
    <row r="692" spans="1:17" x14ac:dyDescent="0.3">
      <c r="A692" t="s">
        <v>47</v>
      </c>
      <c r="B692" t="str">
        <f>"000685"</f>
        <v>000685</v>
      </c>
      <c r="C692" t="s">
        <v>1589</v>
      </c>
      <c r="D692" t="s">
        <v>520</v>
      </c>
      <c r="E692">
        <v>22316989480</v>
      </c>
      <c r="F692">
        <v>21232967259</v>
      </c>
      <c r="G692">
        <v>19719240694</v>
      </c>
      <c r="H692">
        <v>18351451184</v>
      </c>
      <c r="I692">
        <v>16011541853</v>
      </c>
      <c r="J692">
        <v>15258855289</v>
      </c>
      <c r="K692">
        <v>14541399202</v>
      </c>
      <c r="L692">
        <v>10437595652</v>
      </c>
      <c r="M692">
        <v>8486008367</v>
      </c>
      <c r="N692">
        <v>7791293621</v>
      </c>
      <c r="O692">
        <v>7459319635</v>
      </c>
      <c r="P692">
        <v>511</v>
      </c>
      <c r="Q692" t="s">
        <v>1590</v>
      </c>
    </row>
    <row r="693" spans="1:17" x14ac:dyDescent="0.3">
      <c r="A693" t="s">
        <v>47</v>
      </c>
      <c r="B693" t="str">
        <f>"000667"</f>
        <v>000667</v>
      </c>
      <c r="C693" t="s">
        <v>1591</v>
      </c>
      <c r="D693" t="s">
        <v>76</v>
      </c>
      <c r="E693">
        <v>22306289931</v>
      </c>
      <c r="F693">
        <v>27609779504</v>
      </c>
      <c r="G693">
        <v>28411930581</v>
      </c>
      <c r="H693">
        <v>24561794591</v>
      </c>
      <c r="I693">
        <v>19947672573</v>
      </c>
      <c r="J693">
        <v>17809055115</v>
      </c>
      <c r="K693">
        <v>16732596191</v>
      </c>
      <c r="L693">
        <v>16800645920</v>
      </c>
      <c r="M693">
        <v>16357817857</v>
      </c>
      <c r="N693">
        <v>13975669971</v>
      </c>
      <c r="O693">
        <v>11474242724</v>
      </c>
      <c r="P693">
        <v>169</v>
      </c>
      <c r="Q693" t="s">
        <v>1592</v>
      </c>
    </row>
    <row r="694" spans="1:17" x14ac:dyDescent="0.3">
      <c r="A694" t="s">
        <v>17</v>
      </c>
      <c r="B694" t="str">
        <f>"600580"</f>
        <v>600580</v>
      </c>
      <c r="C694" t="s">
        <v>1593</v>
      </c>
      <c r="D694" t="s">
        <v>1594</v>
      </c>
      <c r="E694">
        <v>22271058151</v>
      </c>
      <c r="F694">
        <v>20899429797</v>
      </c>
      <c r="G694">
        <v>19869479578</v>
      </c>
      <c r="H694">
        <v>18718647181</v>
      </c>
      <c r="I694">
        <v>16607143872</v>
      </c>
      <c r="J694">
        <v>16470643237</v>
      </c>
      <c r="K694">
        <v>15043440645</v>
      </c>
      <c r="L694">
        <v>13529019580</v>
      </c>
      <c r="M694">
        <v>8485992167</v>
      </c>
      <c r="N694">
        <v>4885452989</v>
      </c>
      <c r="O694">
        <v>5120221385</v>
      </c>
      <c r="P694">
        <v>400</v>
      </c>
      <c r="Q694" t="s">
        <v>1595</v>
      </c>
    </row>
    <row r="695" spans="1:17" x14ac:dyDescent="0.3">
      <c r="A695" t="s">
        <v>47</v>
      </c>
      <c r="B695" t="str">
        <f>"002237"</f>
        <v>002237</v>
      </c>
      <c r="C695" t="s">
        <v>1596</v>
      </c>
      <c r="D695" t="s">
        <v>600</v>
      </c>
      <c r="E695">
        <v>22254555321</v>
      </c>
      <c r="F695">
        <v>20995267457</v>
      </c>
      <c r="G695">
        <v>18001909776</v>
      </c>
      <c r="H695">
        <v>15299800711</v>
      </c>
      <c r="I695">
        <v>13061698634</v>
      </c>
      <c r="J695">
        <v>13246996885</v>
      </c>
      <c r="K695">
        <v>11485530461</v>
      </c>
      <c r="L695">
        <v>11004661582</v>
      </c>
      <c r="M695">
        <v>12046085348</v>
      </c>
      <c r="N695">
        <v>10820859535</v>
      </c>
      <c r="O695">
        <v>8408346719</v>
      </c>
      <c r="P695">
        <v>193</v>
      </c>
      <c r="Q695" t="s">
        <v>1597</v>
      </c>
    </row>
    <row r="696" spans="1:17" x14ac:dyDescent="0.3">
      <c r="A696" t="s">
        <v>47</v>
      </c>
      <c r="B696" t="str">
        <f>"301039"</f>
        <v>301039</v>
      </c>
      <c r="C696" t="s">
        <v>1598</v>
      </c>
      <c r="D696" t="s">
        <v>684</v>
      </c>
      <c r="E696">
        <v>22247704778</v>
      </c>
      <c r="F696">
        <v>21312623371</v>
      </c>
      <c r="P696">
        <v>35</v>
      </c>
      <c r="Q696" t="s">
        <v>1599</v>
      </c>
    </row>
    <row r="697" spans="1:17" x14ac:dyDescent="0.3">
      <c r="A697" t="s">
        <v>17</v>
      </c>
      <c r="B697" t="str">
        <f>"601908"</f>
        <v>601908</v>
      </c>
      <c r="C697" t="s">
        <v>1600</v>
      </c>
      <c r="D697" t="s">
        <v>976</v>
      </c>
      <c r="E697">
        <v>22182725287</v>
      </c>
      <c r="F697">
        <v>20853398494</v>
      </c>
      <c r="G697">
        <v>16964391380</v>
      </c>
      <c r="H697">
        <v>15608771596</v>
      </c>
      <c r="I697">
        <v>13639528055</v>
      </c>
      <c r="J697">
        <v>12056476500</v>
      </c>
      <c r="K697">
        <v>10328398735</v>
      </c>
      <c r="L697">
        <v>6039096772</v>
      </c>
      <c r="M697">
        <v>4600556840</v>
      </c>
      <c r="N697">
        <v>4678643821</v>
      </c>
      <c r="O697">
        <v>4456995444</v>
      </c>
      <c r="P697">
        <v>318</v>
      </c>
      <c r="Q697" t="s">
        <v>1601</v>
      </c>
    </row>
    <row r="698" spans="1:17" x14ac:dyDescent="0.3">
      <c r="A698" t="s">
        <v>17</v>
      </c>
      <c r="B698" t="str">
        <f>"600310"</f>
        <v>600310</v>
      </c>
      <c r="C698" t="s">
        <v>1602</v>
      </c>
      <c r="D698" t="s">
        <v>652</v>
      </c>
      <c r="E698">
        <v>22163998122</v>
      </c>
      <c r="F698">
        <v>23116657575</v>
      </c>
      <c r="G698">
        <v>17264760232</v>
      </c>
      <c r="H698">
        <v>15125676629</v>
      </c>
      <c r="I698">
        <v>13752464892</v>
      </c>
      <c r="J698">
        <v>11214765904</v>
      </c>
      <c r="K698">
        <v>11777012236</v>
      </c>
      <c r="L698">
        <v>9314694832</v>
      </c>
      <c r="M698">
        <v>8235878594</v>
      </c>
      <c r="N698">
        <v>7460053123</v>
      </c>
      <c r="O698">
        <v>5932656969</v>
      </c>
      <c r="P698">
        <v>115</v>
      </c>
      <c r="Q698" t="s">
        <v>1603</v>
      </c>
    </row>
    <row r="699" spans="1:17" x14ac:dyDescent="0.3">
      <c r="A699" t="s">
        <v>47</v>
      </c>
      <c r="B699" t="str">
        <f>"002051"</f>
        <v>002051</v>
      </c>
      <c r="C699" t="s">
        <v>1604</v>
      </c>
      <c r="D699" t="s">
        <v>997</v>
      </c>
      <c r="E699">
        <v>22096458064</v>
      </c>
      <c r="F699">
        <v>21740275865</v>
      </c>
      <c r="G699">
        <v>21979608284</v>
      </c>
      <c r="H699">
        <v>18876840567</v>
      </c>
      <c r="I699">
        <v>17910909063</v>
      </c>
      <c r="J699">
        <v>18475834234</v>
      </c>
      <c r="K699">
        <v>19653435049</v>
      </c>
      <c r="L699">
        <v>17934729047</v>
      </c>
      <c r="M699">
        <v>16565352726</v>
      </c>
      <c r="N699">
        <v>17195332391</v>
      </c>
      <c r="O699">
        <v>11763992392</v>
      </c>
      <c r="P699">
        <v>556</v>
      </c>
      <c r="Q699" t="s">
        <v>1605</v>
      </c>
    </row>
    <row r="700" spans="1:17" x14ac:dyDescent="0.3">
      <c r="A700" t="s">
        <v>17</v>
      </c>
      <c r="B700" t="str">
        <f>"600403"</f>
        <v>600403</v>
      </c>
      <c r="C700" t="s">
        <v>1606</v>
      </c>
      <c r="D700" t="s">
        <v>141</v>
      </c>
      <c r="E700">
        <v>22090631242</v>
      </c>
      <c r="F700">
        <v>17242689081</v>
      </c>
      <c r="G700">
        <v>19526045384</v>
      </c>
      <c r="H700">
        <v>17123618161</v>
      </c>
      <c r="I700">
        <v>17272215541</v>
      </c>
      <c r="J700">
        <v>14770444888</v>
      </c>
      <c r="K700">
        <v>15320896033</v>
      </c>
      <c r="L700">
        <v>17430616649</v>
      </c>
      <c r="M700">
        <v>15777208374</v>
      </c>
      <c r="N700">
        <v>16740471102</v>
      </c>
      <c r="O700">
        <v>10759474113</v>
      </c>
      <c r="P700">
        <v>221</v>
      </c>
      <c r="Q700" t="s">
        <v>1607</v>
      </c>
    </row>
    <row r="701" spans="1:17" x14ac:dyDescent="0.3">
      <c r="A701" t="s">
        <v>47</v>
      </c>
      <c r="B701" t="str">
        <f>"000701"</f>
        <v>000701</v>
      </c>
      <c r="C701" t="s">
        <v>1608</v>
      </c>
      <c r="D701" t="s">
        <v>1609</v>
      </c>
      <c r="E701">
        <v>22044308424</v>
      </c>
      <c r="F701">
        <v>24903491818</v>
      </c>
      <c r="G701">
        <v>23307176907</v>
      </c>
      <c r="H701">
        <v>27338853433</v>
      </c>
      <c r="I701">
        <v>21216335065</v>
      </c>
      <c r="J701">
        <v>24374549771</v>
      </c>
      <c r="K701">
        <v>17906348032</v>
      </c>
      <c r="L701">
        <v>12597999543</v>
      </c>
      <c r="M701">
        <v>11255743058</v>
      </c>
      <c r="N701">
        <v>8080722502</v>
      </c>
      <c r="O701">
        <v>5460573358</v>
      </c>
      <c r="P701">
        <v>120</v>
      </c>
      <c r="Q701" t="s">
        <v>1610</v>
      </c>
    </row>
    <row r="702" spans="1:17" x14ac:dyDescent="0.3">
      <c r="A702" t="s">
        <v>47</v>
      </c>
      <c r="B702" t="str">
        <f>"000966"</f>
        <v>000966</v>
      </c>
      <c r="C702" t="s">
        <v>1611</v>
      </c>
      <c r="D702" t="s">
        <v>171</v>
      </c>
      <c r="E702">
        <v>22041929421</v>
      </c>
      <c r="F702">
        <v>9629222366</v>
      </c>
      <c r="G702">
        <v>9694053961</v>
      </c>
      <c r="H702">
        <v>9664184034</v>
      </c>
      <c r="I702">
        <v>9458537601</v>
      </c>
      <c r="J702">
        <v>9221728749</v>
      </c>
      <c r="K702">
        <v>9052768965</v>
      </c>
      <c r="L702">
        <v>10091344300</v>
      </c>
      <c r="M702">
        <v>10996089728</v>
      </c>
      <c r="N702">
        <v>12094836933</v>
      </c>
      <c r="O702">
        <v>14317436555</v>
      </c>
      <c r="P702">
        <v>398</v>
      </c>
      <c r="Q702" t="s">
        <v>1612</v>
      </c>
    </row>
    <row r="703" spans="1:17" x14ac:dyDescent="0.3">
      <c r="A703" t="s">
        <v>47</v>
      </c>
      <c r="B703" t="str">
        <f>"000544"</f>
        <v>000544</v>
      </c>
      <c r="C703" t="s">
        <v>1613</v>
      </c>
      <c r="D703" t="s">
        <v>520</v>
      </c>
      <c r="E703">
        <v>22028553751</v>
      </c>
      <c r="F703">
        <v>16843793919</v>
      </c>
      <c r="G703">
        <v>12980166281</v>
      </c>
      <c r="H703">
        <v>8867628026</v>
      </c>
      <c r="I703">
        <v>7070917668</v>
      </c>
      <c r="J703">
        <v>6158002357</v>
      </c>
      <c r="K703">
        <v>2533125808</v>
      </c>
      <c r="L703">
        <v>2189533143</v>
      </c>
      <c r="M703">
        <v>1746839705</v>
      </c>
      <c r="N703">
        <v>1378061976</v>
      </c>
      <c r="O703">
        <v>1322749359</v>
      </c>
      <c r="P703">
        <v>247</v>
      </c>
      <c r="Q703" t="s">
        <v>1614</v>
      </c>
    </row>
    <row r="704" spans="1:17" x14ac:dyDescent="0.3">
      <c r="A704" t="s">
        <v>17</v>
      </c>
      <c r="B704" t="str">
        <f>"600973"</f>
        <v>600973</v>
      </c>
      <c r="C704" t="s">
        <v>1615</v>
      </c>
      <c r="D704" t="s">
        <v>1616</v>
      </c>
      <c r="E704">
        <v>21990505899</v>
      </c>
      <c r="F704">
        <v>21366630508</v>
      </c>
      <c r="G704">
        <v>19165044114</v>
      </c>
      <c r="H704">
        <v>18214429587</v>
      </c>
      <c r="I704">
        <v>16921814431</v>
      </c>
      <c r="J704">
        <v>12378495089</v>
      </c>
      <c r="K704">
        <v>9996266210</v>
      </c>
      <c r="L704">
        <v>8537721884</v>
      </c>
      <c r="M704">
        <v>6841431631</v>
      </c>
      <c r="N704">
        <v>6340979793</v>
      </c>
      <c r="O704">
        <v>5167682490</v>
      </c>
      <c r="P704">
        <v>116</v>
      </c>
      <c r="Q704" t="s">
        <v>1617</v>
      </c>
    </row>
    <row r="705" spans="1:17" x14ac:dyDescent="0.3">
      <c r="A705" t="s">
        <v>47</v>
      </c>
      <c r="B705" t="str">
        <f>"000712"</f>
        <v>000712</v>
      </c>
      <c r="C705" t="s">
        <v>1618</v>
      </c>
      <c r="D705" t="s">
        <v>99</v>
      </c>
      <c r="E705">
        <v>21977308461</v>
      </c>
      <c r="F705">
        <v>24209743654</v>
      </c>
      <c r="G705">
        <v>25345411071</v>
      </c>
      <c r="H705">
        <v>29707531883</v>
      </c>
      <c r="I705">
        <v>34699326207</v>
      </c>
      <c r="K705">
        <v>21430389617.23</v>
      </c>
      <c r="L705">
        <v>16860804530.629999</v>
      </c>
      <c r="M705">
        <v>10079065725.139999</v>
      </c>
      <c r="N705">
        <v>2857288956.5599999</v>
      </c>
      <c r="O705">
        <v>1371962307.9200001</v>
      </c>
      <c r="P705">
        <v>557</v>
      </c>
      <c r="Q705" t="s">
        <v>1619</v>
      </c>
    </row>
    <row r="706" spans="1:17" x14ac:dyDescent="0.3">
      <c r="A706" t="s">
        <v>47</v>
      </c>
      <c r="B706" t="str">
        <f>"000717"</f>
        <v>000717</v>
      </c>
      <c r="C706" t="s">
        <v>1620</v>
      </c>
      <c r="D706" t="s">
        <v>928</v>
      </c>
      <c r="E706">
        <v>21909505997</v>
      </c>
      <c r="F706">
        <v>21713441736</v>
      </c>
      <c r="G706">
        <v>17840365704</v>
      </c>
      <c r="H706">
        <v>16061609928</v>
      </c>
      <c r="I706">
        <v>13896925243</v>
      </c>
      <c r="J706">
        <v>14824622658</v>
      </c>
      <c r="K706">
        <v>16342953486</v>
      </c>
      <c r="L706">
        <v>18404540696</v>
      </c>
      <c r="M706">
        <v>23274129134</v>
      </c>
      <c r="N706">
        <v>20893123949</v>
      </c>
      <c r="O706">
        <v>24142388437</v>
      </c>
      <c r="P706">
        <v>681</v>
      </c>
      <c r="Q706" t="s">
        <v>1621</v>
      </c>
    </row>
    <row r="707" spans="1:17" x14ac:dyDescent="0.3">
      <c r="A707" t="s">
        <v>17</v>
      </c>
      <c r="B707" t="str">
        <f>"600966"</f>
        <v>600966</v>
      </c>
      <c r="C707" t="s">
        <v>1622</v>
      </c>
      <c r="D707" t="s">
        <v>587</v>
      </c>
      <c r="E707">
        <v>21844687940</v>
      </c>
      <c r="F707">
        <v>20939181864</v>
      </c>
      <c r="G707">
        <v>19256492715</v>
      </c>
      <c r="H707">
        <v>18409334800</v>
      </c>
      <c r="I707">
        <v>14487660802</v>
      </c>
      <c r="J707">
        <v>12486461214</v>
      </c>
      <c r="K707">
        <v>12245883181</v>
      </c>
      <c r="L707">
        <v>12841071016</v>
      </c>
      <c r="M707">
        <v>14815018933</v>
      </c>
      <c r="N707">
        <v>12293796828</v>
      </c>
      <c r="O707">
        <v>8420825778</v>
      </c>
      <c r="P707">
        <v>396</v>
      </c>
      <c r="Q707" t="s">
        <v>1623</v>
      </c>
    </row>
    <row r="708" spans="1:17" x14ac:dyDescent="0.3">
      <c r="A708" t="s">
        <v>47</v>
      </c>
      <c r="B708" t="str">
        <f>"000797"</f>
        <v>000797</v>
      </c>
      <c r="C708" t="s">
        <v>1624</v>
      </c>
      <c r="D708" t="s">
        <v>76</v>
      </c>
      <c r="E708">
        <v>21839013140</v>
      </c>
      <c r="F708">
        <v>24125846224</v>
      </c>
      <c r="G708">
        <v>23276587247</v>
      </c>
      <c r="H708">
        <v>16584111320</v>
      </c>
      <c r="I708">
        <v>14680945641</v>
      </c>
      <c r="J708">
        <v>11395386894</v>
      </c>
      <c r="K708">
        <v>10338225557</v>
      </c>
      <c r="L708">
        <v>8608588194</v>
      </c>
      <c r="M708">
        <v>7432557368</v>
      </c>
      <c r="N708">
        <v>7073622914</v>
      </c>
      <c r="O708">
        <v>5813499669</v>
      </c>
      <c r="P708">
        <v>121</v>
      </c>
      <c r="Q708" t="s">
        <v>1625</v>
      </c>
    </row>
    <row r="709" spans="1:17" x14ac:dyDescent="0.3">
      <c r="A709" t="s">
        <v>17</v>
      </c>
      <c r="B709" t="str">
        <f>"601789"</f>
        <v>601789</v>
      </c>
      <c r="C709" t="s">
        <v>1626</v>
      </c>
      <c r="D709" t="s">
        <v>65</v>
      </c>
      <c r="E709">
        <v>21778168294</v>
      </c>
      <c r="F709">
        <v>18337137097</v>
      </c>
      <c r="G709">
        <v>15691101813</v>
      </c>
      <c r="H709">
        <v>14978324323</v>
      </c>
      <c r="I709">
        <v>13845372944</v>
      </c>
      <c r="J709">
        <v>12609919862</v>
      </c>
      <c r="K709">
        <v>12141404477</v>
      </c>
      <c r="L709">
        <v>10914435800</v>
      </c>
      <c r="M709">
        <v>9351044507</v>
      </c>
      <c r="N709">
        <v>8039273296</v>
      </c>
      <c r="O709">
        <v>4847281353</v>
      </c>
      <c r="P709">
        <v>147</v>
      </c>
      <c r="Q709" t="s">
        <v>1627</v>
      </c>
    </row>
    <row r="710" spans="1:17" x14ac:dyDescent="0.3">
      <c r="A710" t="s">
        <v>17</v>
      </c>
      <c r="B710" t="str">
        <f>"600116"</f>
        <v>600116</v>
      </c>
      <c r="C710" t="s">
        <v>1628</v>
      </c>
      <c r="D710" t="s">
        <v>652</v>
      </c>
      <c r="E710">
        <v>21739642112</v>
      </c>
      <c r="F710">
        <v>19847216974</v>
      </c>
      <c r="G710">
        <v>5066348413</v>
      </c>
      <c r="H710">
        <v>5120104580</v>
      </c>
      <c r="I710">
        <v>5013845930</v>
      </c>
      <c r="J710">
        <v>4766456011</v>
      </c>
      <c r="K710">
        <v>4485617819</v>
      </c>
      <c r="L710">
        <v>4264302568</v>
      </c>
      <c r="M710">
        <v>3633659465</v>
      </c>
      <c r="N710">
        <v>3609731737</v>
      </c>
      <c r="O710">
        <v>3059922298</v>
      </c>
      <c r="P710">
        <v>236</v>
      </c>
      <c r="Q710" t="s">
        <v>1629</v>
      </c>
    </row>
    <row r="711" spans="1:17" x14ac:dyDescent="0.3">
      <c r="A711" t="s">
        <v>17</v>
      </c>
      <c r="B711" t="str">
        <f>"601015"</f>
        <v>601015</v>
      </c>
      <c r="C711" t="s">
        <v>1630</v>
      </c>
      <c r="D711" t="s">
        <v>1279</v>
      </c>
      <c r="E711">
        <v>21731223630</v>
      </c>
      <c r="F711">
        <v>17445204555</v>
      </c>
      <c r="G711">
        <v>15040610063</v>
      </c>
      <c r="H711">
        <v>13618492475</v>
      </c>
      <c r="I711">
        <v>14562154627</v>
      </c>
      <c r="J711">
        <v>10559300101</v>
      </c>
      <c r="K711">
        <v>10246378517</v>
      </c>
      <c r="L711">
        <v>11573266293</v>
      </c>
      <c r="P711">
        <v>212</v>
      </c>
      <c r="Q711" t="s">
        <v>1631</v>
      </c>
    </row>
    <row r="712" spans="1:17" x14ac:dyDescent="0.3">
      <c r="A712" t="s">
        <v>47</v>
      </c>
      <c r="B712" t="str">
        <f>"002266"</f>
        <v>002266</v>
      </c>
      <c r="C712" t="s">
        <v>1632</v>
      </c>
      <c r="D712" t="s">
        <v>1310</v>
      </c>
      <c r="E712">
        <v>21656252919</v>
      </c>
      <c r="F712">
        <v>19691803798</v>
      </c>
      <c r="G712">
        <v>7665803977</v>
      </c>
      <c r="H712">
        <v>8110304385</v>
      </c>
      <c r="I712">
        <v>7628913284</v>
      </c>
      <c r="J712">
        <v>6841541001</v>
      </c>
      <c r="K712">
        <v>5259609031</v>
      </c>
      <c r="L712">
        <v>5133278821</v>
      </c>
      <c r="M712">
        <v>4193837874</v>
      </c>
      <c r="N712">
        <v>2519240361</v>
      </c>
      <c r="O712">
        <v>2311718314</v>
      </c>
      <c r="P712">
        <v>297</v>
      </c>
      <c r="Q712" t="s">
        <v>1633</v>
      </c>
    </row>
    <row r="713" spans="1:17" x14ac:dyDescent="0.3">
      <c r="A713" t="s">
        <v>17</v>
      </c>
      <c r="B713" t="str">
        <f>"601636"</f>
        <v>601636</v>
      </c>
      <c r="C713" t="s">
        <v>1634</v>
      </c>
      <c r="D713" t="s">
        <v>1635</v>
      </c>
      <c r="E713">
        <v>21611852275</v>
      </c>
      <c r="F713">
        <v>15478002594</v>
      </c>
      <c r="G713">
        <v>14329685533</v>
      </c>
      <c r="H713">
        <v>13630431492</v>
      </c>
      <c r="I713">
        <v>13215780816</v>
      </c>
      <c r="J713">
        <v>12473103137</v>
      </c>
      <c r="K713">
        <v>13536524733</v>
      </c>
      <c r="L713">
        <v>10544655900</v>
      </c>
      <c r="M713">
        <v>8761339966</v>
      </c>
      <c r="N713">
        <v>7089089485</v>
      </c>
      <c r="O713">
        <v>5704047866</v>
      </c>
      <c r="P713">
        <v>1517</v>
      </c>
      <c r="Q713" t="s">
        <v>1636</v>
      </c>
    </row>
    <row r="714" spans="1:17" x14ac:dyDescent="0.3">
      <c r="A714" t="s">
        <v>17</v>
      </c>
      <c r="B714" t="str">
        <f>"600509"</f>
        <v>600509</v>
      </c>
      <c r="C714" t="s">
        <v>1637</v>
      </c>
      <c r="D714" t="s">
        <v>171</v>
      </c>
      <c r="E714">
        <v>21559002280</v>
      </c>
      <c r="F714">
        <v>22129594945</v>
      </c>
      <c r="G714">
        <v>20696924371</v>
      </c>
      <c r="H714">
        <v>21257420113</v>
      </c>
      <c r="I714">
        <v>19995616990</v>
      </c>
      <c r="J714">
        <v>19855677447</v>
      </c>
      <c r="K714">
        <v>17833083791</v>
      </c>
      <c r="L714">
        <v>14550726951</v>
      </c>
      <c r="M714">
        <v>11566600511</v>
      </c>
      <c r="N714">
        <v>10653514390</v>
      </c>
      <c r="O714">
        <v>7626541864</v>
      </c>
      <c r="P714">
        <v>142</v>
      </c>
      <c r="Q714" t="s">
        <v>1638</v>
      </c>
    </row>
    <row r="715" spans="1:17" x14ac:dyDescent="0.3">
      <c r="A715" t="s">
        <v>47</v>
      </c>
      <c r="B715" t="str">
        <f>"002573"</f>
        <v>002573</v>
      </c>
      <c r="C715" t="s">
        <v>1639</v>
      </c>
      <c r="D715" t="s">
        <v>1426</v>
      </c>
      <c r="E715">
        <v>21485881706</v>
      </c>
      <c r="F715">
        <v>12379540540</v>
      </c>
      <c r="G715">
        <v>10420353642</v>
      </c>
      <c r="H715">
        <v>10545185725</v>
      </c>
      <c r="I715">
        <v>12432457025</v>
      </c>
      <c r="J715">
        <v>10993713114</v>
      </c>
      <c r="K715">
        <v>6732032287</v>
      </c>
      <c r="L715">
        <v>5130196454</v>
      </c>
      <c r="M715">
        <v>3908828447</v>
      </c>
      <c r="N715">
        <v>2955207472</v>
      </c>
      <c r="O715">
        <v>2713474487</v>
      </c>
      <c r="P715">
        <v>613</v>
      </c>
      <c r="Q715" t="s">
        <v>1640</v>
      </c>
    </row>
    <row r="716" spans="1:17" x14ac:dyDescent="0.3">
      <c r="A716" t="s">
        <v>17</v>
      </c>
      <c r="B716" t="str">
        <f>"600588"</f>
        <v>600588</v>
      </c>
      <c r="C716" t="s">
        <v>1641</v>
      </c>
      <c r="D716" t="s">
        <v>1010</v>
      </c>
      <c r="E716">
        <v>21480841319</v>
      </c>
      <c r="F716">
        <v>16624522775</v>
      </c>
      <c r="G716">
        <v>16730079347</v>
      </c>
      <c r="H716">
        <v>14629193214</v>
      </c>
      <c r="I716">
        <v>13298727826</v>
      </c>
      <c r="J716">
        <v>13057681719</v>
      </c>
      <c r="K716">
        <v>10185649841</v>
      </c>
      <c r="L716">
        <v>8306224483</v>
      </c>
      <c r="M716">
        <v>6844423131</v>
      </c>
      <c r="N716">
        <v>6200667358</v>
      </c>
      <c r="O716">
        <v>4953184828</v>
      </c>
      <c r="P716">
        <v>4576</v>
      </c>
      <c r="Q716" t="s">
        <v>1642</v>
      </c>
    </row>
    <row r="717" spans="1:17" x14ac:dyDescent="0.3">
      <c r="A717" t="s">
        <v>17</v>
      </c>
      <c r="B717" t="str">
        <f>"600638"</f>
        <v>600638</v>
      </c>
      <c r="C717" t="s">
        <v>1643</v>
      </c>
      <c r="D717" t="s">
        <v>76</v>
      </c>
      <c r="E717">
        <v>21409097065</v>
      </c>
      <c r="F717">
        <v>21988090339</v>
      </c>
      <c r="G717">
        <v>14920513687</v>
      </c>
      <c r="H717">
        <v>13492426258</v>
      </c>
      <c r="I717">
        <v>10481957524</v>
      </c>
      <c r="J717">
        <v>11324545888</v>
      </c>
      <c r="K717">
        <v>10116023320</v>
      </c>
      <c r="L717">
        <v>10380288807</v>
      </c>
      <c r="M717">
        <v>9708338042</v>
      </c>
      <c r="N717">
        <v>8993576278</v>
      </c>
      <c r="O717">
        <v>7417509155</v>
      </c>
      <c r="P717">
        <v>106</v>
      </c>
      <c r="Q717" t="s">
        <v>1644</v>
      </c>
    </row>
    <row r="718" spans="1:17" x14ac:dyDescent="0.3">
      <c r="A718" t="s">
        <v>17</v>
      </c>
      <c r="B718" t="str">
        <f>"601869"</f>
        <v>601869</v>
      </c>
      <c r="C718" t="s">
        <v>1645</v>
      </c>
      <c r="D718" t="s">
        <v>828</v>
      </c>
      <c r="E718">
        <v>21405186623</v>
      </c>
      <c r="F718">
        <v>16528292765</v>
      </c>
      <c r="G718">
        <v>14282340157</v>
      </c>
      <c r="H718">
        <v>13097262209</v>
      </c>
      <c r="I718">
        <v>9657876741</v>
      </c>
      <c r="P718">
        <v>403</v>
      </c>
      <c r="Q718" t="s">
        <v>1646</v>
      </c>
    </row>
    <row r="719" spans="1:17" x14ac:dyDescent="0.3">
      <c r="A719" t="s">
        <v>17</v>
      </c>
      <c r="B719" t="str">
        <f>"600658"</f>
        <v>600658</v>
      </c>
      <c r="C719" t="s">
        <v>1647</v>
      </c>
      <c r="D719" t="s">
        <v>190</v>
      </c>
      <c r="E719">
        <v>21392295205</v>
      </c>
      <c r="F719">
        <v>19199938921</v>
      </c>
      <c r="G719">
        <v>14930302029</v>
      </c>
      <c r="H719">
        <v>12151560563</v>
      </c>
      <c r="I719">
        <v>11933913042</v>
      </c>
      <c r="J719">
        <v>8007626165</v>
      </c>
      <c r="K719">
        <v>5466920475</v>
      </c>
      <c r="L719">
        <v>4258552986</v>
      </c>
      <c r="M719">
        <v>4298059834</v>
      </c>
      <c r="N719">
        <v>4309676104</v>
      </c>
      <c r="O719">
        <v>3639709358</v>
      </c>
      <c r="P719">
        <v>136</v>
      </c>
      <c r="Q719" t="s">
        <v>1648</v>
      </c>
    </row>
    <row r="720" spans="1:17" x14ac:dyDescent="0.3">
      <c r="A720" t="s">
        <v>47</v>
      </c>
      <c r="B720" t="str">
        <f>"300003"</f>
        <v>300003</v>
      </c>
      <c r="C720" t="s">
        <v>1649</v>
      </c>
      <c r="D720" t="s">
        <v>1650</v>
      </c>
      <c r="E720">
        <v>21391218454</v>
      </c>
      <c r="F720">
        <v>20173767501</v>
      </c>
      <c r="G720">
        <v>16464797194</v>
      </c>
      <c r="H720">
        <v>15886158965</v>
      </c>
      <c r="I720">
        <v>12798344571</v>
      </c>
      <c r="J720">
        <v>9912665763</v>
      </c>
      <c r="K720">
        <v>7107411972</v>
      </c>
      <c r="L720">
        <v>4864120995</v>
      </c>
      <c r="M720">
        <v>3253425150</v>
      </c>
      <c r="N720">
        <v>2863931601</v>
      </c>
      <c r="O720">
        <v>2637529194</v>
      </c>
      <c r="P720">
        <v>3268</v>
      </c>
      <c r="Q720" t="s">
        <v>1651</v>
      </c>
    </row>
    <row r="721" spans="1:17" x14ac:dyDescent="0.3">
      <c r="A721" t="s">
        <v>47</v>
      </c>
      <c r="B721" t="str">
        <f>"002375"</f>
        <v>002375</v>
      </c>
      <c r="C721" t="s">
        <v>1652</v>
      </c>
      <c r="D721" t="s">
        <v>1163</v>
      </c>
      <c r="E721">
        <v>21356659351</v>
      </c>
      <c r="F721">
        <v>21026020432</v>
      </c>
      <c r="G721">
        <v>20507777869</v>
      </c>
      <c r="H721">
        <v>19517794630</v>
      </c>
      <c r="I721">
        <v>18759785743</v>
      </c>
      <c r="J721">
        <v>17703529435</v>
      </c>
      <c r="K721">
        <v>17032540169</v>
      </c>
      <c r="L721">
        <v>17420084825</v>
      </c>
      <c r="M721">
        <v>12246393576</v>
      </c>
      <c r="N721">
        <v>9403408901</v>
      </c>
      <c r="O721">
        <v>6647355503</v>
      </c>
      <c r="P721">
        <v>176</v>
      </c>
      <c r="Q721" t="s">
        <v>1653</v>
      </c>
    </row>
    <row r="722" spans="1:17" x14ac:dyDescent="0.3">
      <c r="A722" t="s">
        <v>17</v>
      </c>
      <c r="B722" t="str">
        <f>"601921"</f>
        <v>601921</v>
      </c>
      <c r="C722" t="s">
        <v>1654</v>
      </c>
      <c r="D722" t="s">
        <v>1352</v>
      </c>
      <c r="E722">
        <v>21349078623</v>
      </c>
      <c r="F722">
        <v>16801952720</v>
      </c>
      <c r="P722">
        <v>28</v>
      </c>
      <c r="Q722" t="s">
        <v>1655</v>
      </c>
    </row>
    <row r="723" spans="1:17" x14ac:dyDescent="0.3">
      <c r="A723" t="s">
        <v>17</v>
      </c>
      <c r="B723" t="str">
        <f>"600740"</f>
        <v>600740</v>
      </c>
      <c r="C723" t="s">
        <v>1656</v>
      </c>
      <c r="D723" t="s">
        <v>1279</v>
      </c>
      <c r="E723">
        <v>21281019997</v>
      </c>
      <c r="F723">
        <v>20466717649</v>
      </c>
      <c r="G723">
        <v>20921728152</v>
      </c>
      <c r="H723">
        <v>20619875793</v>
      </c>
      <c r="I723">
        <v>18381772682</v>
      </c>
      <c r="J723">
        <v>10695186219</v>
      </c>
      <c r="K723">
        <v>10694338665</v>
      </c>
      <c r="L723">
        <v>9867949988</v>
      </c>
      <c r="M723">
        <v>9296504906</v>
      </c>
      <c r="N723">
        <v>10139022157</v>
      </c>
      <c r="O723">
        <v>8554818843</v>
      </c>
      <c r="P723">
        <v>331</v>
      </c>
      <c r="Q723" t="s">
        <v>1657</v>
      </c>
    </row>
    <row r="724" spans="1:17" x14ac:dyDescent="0.3">
      <c r="A724" t="s">
        <v>17</v>
      </c>
      <c r="B724" t="str">
        <f>"600874"</f>
        <v>600874</v>
      </c>
      <c r="C724" t="s">
        <v>1658</v>
      </c>
      <c r="D724" t="s">
        <v>520</v>
      </c>
      <c r="E724">
        <v>21089998000</v>
      </c>
      <c r="F724">
        <v>20660926000</v>
      </c>
      <c r="G724">
        <v>18420462000</v>
      </c>
      <c r="H724">
        <v>16033248000</v>
      </c>
      <c r="I724">
        <v>13393275000</v>
      </c>
      <c r="J724">
        <v>10829133000</v>
      </c>
      <c r="K724">
        <v>10046655000</v>
      </c>
      <c r="L724">
        <v>10973716000</v>
      </c>
      <c r="M724">
        <v>10941788000</v>
      </c>
      <c r="N724">
        <v>10295776000</v>
      </c>
      <c r="O724">
        <v>9200255000</v>
      </c>
      <c r="P724">
        <v>201</v>
      </c>
      <c r="Q724" t="s">
        <v>1659</v>
      </c>
    </row>
    <row r="725" spans="1:17" x14ac:dyDescent="0.3">
      <c r="A725" t="s">
        <v>47</v>
      </c>
      <c r="B725" t="str">
        <f>"002065"</f>
        <v>002065</v>
      </c>
      <c r="C725" t="s">
        <v>1660</v>
      </c>
      <c r="D725" t="s">
        <v>700</v>
      </c>
      <c r="E725">
        <v>21020476008</v>
      </c>
      <c r="F725">
        <v>18529622804</v>
      </c>
      <c r="G725">
        <v>16869423177</v>
      </c>
      <c r="H725">
        <v>16345843482</v>
      </c>
      <c r="I725">
        <v>14322511133</v>
      </c>
      <c r="J725">
        <v>12935677660</v>
      </c>
      <c r="K725">
        <v>11305091318</v>
      </c>
      <c r="L725">
        <v>7825627063</v>
      </c>
      <c r="M725">
        <v>5919386585</v>
      </c>
      <c r="N725">
        <v>3987125115</v>
      </c>
      <c r="O725">
        <v>3272035766</v>
      </c>
      <c r="P725">
        <v>942</v>
      </c>
      <c r="Q725" t="s">
        <v>1661</v>
      </c>
    </row>
    <row r="726" spans="1:17" x14ac:dyDescent="0.3">
      <c r="A726" t="s">
        <v>17</v>
      </c>
      <c r="B726" t="str">
        <f>"601156"</f>
        <v>601156</v>
      </c>
      <c r="C726" t="s">
        <v>1662</v>
      </c>
      <c r="D726" t="s">
        <v>618</v>
      </c>
      <c r="E726">
        <v>21003368890</v>
      </c>
      <c r="F726">
        <v>11845143016</v>
      </c>
      <c r="P726">
        <v>105</v>
      </c>
      <c r="Q726" t="s">
        <v>1663</v>
      </c>
    </row>
    <row r="727" spans="1:17" x14ac:dyDescent="0.3">
      <c r="A727" t="s">
        <v>47</v>
      </c>
      <c r="B727" t="str">
        <f>"000061"</f>
        <v>000061</v>
      </c>
      <c r="C727" t="s">
        <v>1664</v>
      </c>
      <c r="D727" t="s">
        <v>454</v>
      </c>
      <c r="E727">
        <v>20876285321</v>
      </c>
      <c r="F727">
        <v>20648262292</v>
      </c>
      <c r="G727">
        <v>18732669413</v>
      </c>
      <c r="H727">
        <v>18973306629</v>
      </c>
      <c r="I727">
        <v>19167107563</v>
      </c>
      <c r="J727">
        <v>17470018259</v>
      </c>
      <c r="K727">
        <v>16457303927</v>
      </c>
      <c r="L727">
        <v>14336512743</v>
      </c>
      <c r="M727">
        <v>12264623335</v>
      </c>
      <c r="N727">
        <v>11067201348</v>
      </c>
      <c r="O727">
        <v>9526457333</v>
      </c>
      <c r="P727">
        <v>209</v>
      </c>
      <c r="Q727" t="s">
        <v>1665</v>
      </c>
    </row>
    <row r="728" spans="1:17" x14ac:dyDescent="0.3">
      <c r="A728" t="s">
        <v>17</v>
      </c>
      <c r="B728" t="str">
        <f>"600619"</f>
        <v>600619</v>
      </c>
      <c r="C728" t="s">
        <v>1666</v>
      </c>
      <c r="D728" t="s">
        <v>1511</v>
      </c>
      <c r="E728">
        <v>20792131668</v>
      </c>
      <c r="F728">
        <v>18772820144</v>
      </c>
      <c r="G728">
        <v>14111014532</v>
      </c>
      <c r="H728">
        <v>14420234468</v>
      </c>
      <c r="I728">
        <v>14058204334</v>
      </c>
      <c r="J728">
        <v>12258688488</v>
      </c>
      <c r="K728">
        <v>11007663128</v>
      </c>
      <c r="L728">
        <v>8576411358</v>
      </c>
      <c r="M728">
        <v>9037392228</v>
      </c>
      <c r="N728">
        <v>8217482146</v>
      </c>
      <c r="O728">
        <v>7226514774</v>
      </c>
      <c r="P728">
        <v>121</v>
      </c>
      <c r="Q728" t="s">
        <v>1667</v>
      </c>
    </row>
    <row r="729" spans="1:17" x14ac:dyDescent="0.3">
      <c r="A729" t="s">
        <v>17</v>
      </c>
      <c r="B729" t="str">
        <f>"600604"</f>
        <v>600604</v>
      </c>
      <c r="C729" t="s">
        <v>1668</v>
      </c>
      <c r="D729" t="s">
        <v>190</v>
      </c>
      <c r="E729">
        <v>20785972679</v>
      </c>
      <c r="F729">
        <v>19254634560</v>
      </c>
      <c r="G729">
        <v>19497609009</v>
      </c>
      <c r="H729">
        <v>16063273269</v>
      </c>
      <c r="I729">
        <v>11973319822</v>
      </c>
      <c r="J729">
        <v>12506594542</v>
      </c>
      <c r="K729">
        <v>9458292313</v>
      </c>
      <c r="L729">
        <v>3897554662</v>
      </c>
      <c r="M729">
        <v>2203242498</v>
      </c>
      <c r="N729">
        <v>1514754964</v>
      </c>
      <c r="O729">
        <v>822172112</v>
      </c>
      <c r="P729">
        <v>138</v>
      </c>
      <c r="Q729" t="s">
        <v>1669</v>
      </c>
    </row>
    <row r="730" spans="1:17" x14ac:dyDescent="0.3">
      <c r="A730" t="s">
        <v>47</v>
      </c>
      <c r="B730" t="str">
        <f>"002353"</f>
        <v>002353</v>
      </c>
      <c r="C730" t="s">
        <v>1670</v>
      </c>
      <c r="D730" t="s">
        <v>607</v>
      </c>
      <c r="E730">
        <v>20775109492</v>
      </c>
      <c r="F730">
        <v>18343932250</v>
      </c>
      <c r="G730">
        <v>16423650913</v>
      </c>
      <c r="H730">
        <v>12380334067</v>
      </c>
      <c r="I730">
        <v>10453033359</v>
      </c>
      <c r="J730">
        <v>10094514890</v>
      </c>
      <c r="K730">
        <v>10320650170</v>
      </c>
      <c r="L730">
        <v>10893560311</v>
      </c>
      <c r="M730">
        <v>10090784981</v>
      </c>
      <c r="N730">
        <v>4666675976</v>
      </c>
      <c r="O730">
        <v>3155344032</v>
      </c>
      <c r="P730">
        <v>861</v>
      </c>
      <c r="Q730" t="s">
        <v>1671</v>
      </c>
    </row>
    <row r="731" spans="1:17" x14ac:dyDescent="0.3">
      <c r="A731" t="s">
        <v>17</v>
      </c>
      <c r="B731" t="str">
        <f>"600977"</f>
        <v>600977</v>
      </c>
      <c r="C731" t="s">
        <v>1672</v>
      </c>
      <c r="D731" t="s">
        <v>1673</v>
      </c>
      <c r="E731">
        <v>20763608795</v>
      </c>
      <c r="F731">
        <v>21574569976</v>
      </c>
      <c r="G731">
        <v>16301661303</v>
      </c>
      <c r="H731">
        <v>18307597842</v>
      </c>
      <c r="I731">
        <v>16881019281</v>
      </c>
      <c r="J731">
        <v>15608604928</v>
      </c>
      <c r="K731">
        <v>13676556900</v>
      </c>
      <c r="P731">
        <v>554</v>
      </c>
      <c r="Q731" t="s">
        <v>1674</v>
      </c>
    </row>
    <row r="732" spans="1:17" x14ac:dyDescent="0.3">
      <c r="A732" t="s">
        <v>17</v>
      </c>
      <c r="B732" t="str">
        <f>"600828"</f>
        <v>600828</v>
      </c>
      <c r="C732" t="s">
        <v>1675</v>
      </c>
      <c r="D732" t="s">
        <v>1073</v>
      </c>
      <c r="E732">
        <v>20758743083</v>
      </c>
      <c r="F732">
        <v>21353405293</v>
      </c>
      <c r="G732">
        <v>18612994277</v>
      </c>
      <c r="H732">
        <v>19502795841</v>
      </c>
      <c r="I732">
        <v>18048907715</v>
      </c>
      <c r="J732">
        <v>15604890445</v>
      </c>
      <c r="K732">
        <v>8875146611</v>
      </c>
      <c r="L732">
        <v>2421118670</v>
      </c>
      <c r="M732">
        <v>2264491644</v>
      </c>
      <c r="N732">
        <v>2229620960</v>
      </c>
      <c r="O732">
        <v>2128064954</v>
      </c>
      <c r="P732">
        <v>628</v>
      </c>
      <c r="Q732" t="s">
        <v>1676</v>
      </c>
    </row>
    <row r="733" spans="1:17" x14ac:dyDescent="0.3">
      <c r="A733" t="s">
        <v>47</v>
      </c>
      <c r="B733" t="str">
        <f>"000828"</f>
        <v>000828</v>
      </c>
      <c r="C733" t="s">
        <v>1677</v>
      </c>
      <c r="D733" t="s">
        <v>471</v>
      </c>
      <c r="E733">
        <v>20749271277</v>
      </c>
      <c r="F733">
        <v>15000235614</v>
      </c>
      <c r="G733">
        <v>11980219014</v>
      </c>
      <c r="H733">
        <v>11581385176</v>
      </c>
      <c r="I733">
        <v>10737574517</v>
      </c>
      <c r="J733">
        <v>9467226648</v>
      </c>
      <c r="K733">
        <v>8425922058</v>
      </c>
      <c r="L733">
        <v>6116466429</v>
      </c>
      <c r="M733">
        <v>5493343894</v>
      </c>
      <c r="N733">
        <v>5134016502</v>
      </c>
      <c r="O733">
        <v>5103039922</v>
      </c>
      <c r="P733">
        <v>961</v>
      </c>
      <c r="Q733" t="s">
        <v>1678</v>
      </c>
    </row>
    <row r="734" spans="1:17" x14ac:dyDescent="0.3">
      <c r="A734" t="s">
        <v>47</v>
      </c>
      <c r="B734" t="str">
        <f>"000012"</f>
        <v>000012</v>
      </c>
      <c r="C734" t="s">
        <v>1679</v>
      </c>
      <c r="D734" t="s">
        <v>1635</v>
      </c>
      <c r="E734">
        <v>20699582452</v>
      </c>
      <c r="F734">
        <v>18291918167</v>
      </c>
      <c r="G734">
        <v>20247986997</v>
      </c>
      <c r="H734">
        <v>19038937263</v>
      </c>
      <c r="I734">
        <v>19632309748</v>
      </c>
      <c r="J734">
        <v>17429545680</v>
      </c>
      <c r="K734">
        <v>15205208277</v>
      </c>
      <c r="L734">
        <v>15361037178</v>
      </c>
      <c r="M734">
        <v>15285641383</v>
      </c>
      <c r="N734">
        <v>14763484435</v>
      </c>
      <c r="O734">
        <v>14604727379</v>
      </c>
      <c r="P734">
        <v>409</v>
      </c>
      <c r="Q734" t="s">
        <v>1680</v>
      </c>
    </row>
    <row r="735" spans="1:17" x14ac:dyDescent="0.3">
      <c r="A735" t="s">
        <v>47</v>
      </c>
      <c r="B735" t="str">
        <f>"002042"</f>
        <v>002042</v>
      </c>
      <c r="C735" t="s">
        <v>1681</v>
      </c>
      <c r="D735" t="s">
        <v>1682</v>
      </c>
      <c r="E735">
        <v>20678107302</v>
      </c>
      <c r="F735">
        <v>17004390176</v>
      </c>
      <c r="G735">
        <v>18300557446</v>
      </c>
      <c r="H735">
        <v>18834797484</v>
      </c>
      <c r="I735">
        <v>16640808772</v>
      </c>
      <c r="J735">
        <v>13974603965</v>
      </c>
      <c r="K735">
        <v>9293360512</v>
      </c>
      <c r="L735">
        <v>9163187608</v>
      </c>
      <c r="M735">
        <v>8100729696</v>
      </c>
      <c r="N735">
        <v>8542671536</v>
      </c>
      <c r="O735">
        <v>8343276497</v>
      </c>
      <c r="P735">
        <v>196</v>
      </c>
      <c r="Q735" t="s">
        <v>1683</v>
      </c>
    </row>
    <row r="736" spans="1:17" x14ac:dyDescent="0.3">
      <c r="A736" t="s">
        <v>17</v>
      </c>
      <c r="B736" t="str">
        <f>"600284"</f>
        <v>600284</v>
      </c>
      <c r="C736" t="s">
        <v>1684</v>
      </c>
      <c r="D736" t="s">
        <v>84</v>
      </c>
      <c r="E736">
        <v>20599784144</v>
      </c>
      <c r="F736">
        <v>16485959021</v>
      </c>
      <c r="G736">
        <v>13962984411</v>
      </c>
      <c r="H736">
        <v>11371196596</v>
      </c>
      <c r="I736">
        <v>11145719341</v>
      </c>
      <c r="J736">
        <v>10692417083</v>
      </c>
      <c r="K736">
        <v>12906543872</v>
      </c>
      <c r="L736">
        <v>15512329608</v>
      </c>
      <c r="M736">
        <v>14634203638</v>
      </c>
      <c r="N736">
        <v>14750572854</v>
      </c>
      <c r="O736">
        <v>12820306976</v>
      </c>
      <c r="P736">
        <v>172</v>
      </c>
      <c r="Q736" t="s">
        <v>1685</v>
      </c>
    </row>
    <row r="737" spans="1:17" x14ac:dyDescent="0.3">
      <c r="A737" t="s">
        <v>47</v>
      </c>
      <c r="B737" t="str">
        <f>"002204"</f>
        <v>002204</v>
      </c>
      <c r="C737" t="s">
        <v>1686</v>
      </c>
      <c r="D737" t="s">
        <v>607</v>
      </c>
      <c r="E737">
        <v>20592723347</v>
      </c>
      <c r="F737">
        <v>17254807829</v>
      </c>
      <c r="G737">
        <v>16782105529</v>
      </c>
      <c r="H737">
        <v>15806781382</v>
      </c>
      <c r="I737">
        <v>15603307157</v>
      </c>
      <c r="J737">
        <v>16393942362</v>
      </c>
      <c r="K737">
        <v>16973609242</v>
      </c>
      <c r="L737">
        <v>17988808867</v>
      </c>
      <c r="M737">
        <v>18527018146</v>
      </c>
      <c r="N737">
        <v>19447148977</v>
      </c>
      <c r="O737">
        <v>21487585408</v>
      </c>
      <c r="P737">
        <v>137</v>
      </c>
      <c r="Q737" t="s">
        <v>1687</v>
      </c>
    </row>
    <row r="738" spans="1:17" x14ac:dyDescent="0.3">
      <c r="A738" t="s">
        <v>47</v>
      </c>
      <c r="B738" t="str">
        <f>"002097"</f>
        <v>002097</v>
      </c>
      <c r="C738" t="s">
        <v>1688</v>
      </c>
      <c r="D738" t="s">
        <v>429</v>
      </c>
      <c r="E738">
        <v>20582354628</v>
      </c>
      <c r="F738">
        <v>18993188928</v>
      </c>
      <c r="G738">
        <v>16723892735</v>
      </c>
      <c r="H738">
        <v>15091388473</v>
      </c>
      <c r="I738">
        <v>12943959268</v>
      </c>
      <c r="J738">
        <v>10574503740</v>
      </c>
      <c r="K738">
        <v>6580113424</v>
      </c>
      <c r="L738">
        <v>6867733510</v>
      </c>
      <c r="M738">
        <v>5728782870</v>
      </c>
      <c r="N738">
        <v>5682827758</v>
      </c>
      <c r="O738">
        <v>4804021529</v>
      </c>
      <c r="P738">
        <v>217</v>
      </c>
      <c r="Q738" t="s">
        <v>1689</v>
      </c>
    </row>
    <row r="739" spans="1:17" x14ac:dyDescent="0.3">
      <c r="A739" t="s">
        <v>47</v>
      </c>
      <c r="B739" t="str">
        <f>"300677"</f>
        <v>300677</v>
      </c>
      <c r="C739" t="s">
        <v>1690</v>
      </c>
      <c r="D739" t="s">
        <v>1650</v>
      </c>
      <c r="E739">
        <v>20557983278</v>
      </c>
      <c r="F739">
        <v>17093193630</v>
      </c>
      <c r="G739">
        <v>3382764091</v>
      </c>
      <c r="H739">
        <v>2446086464</v>
      </c>
      <c r="I739">
        <v>1720907073</v>
      </c>
      <c r="J739">
        <v>1167812085</v>
      </c>
      <c r="P739">
        <v>1821</v>
      </c>
      <c r="Q739" t="s">
        <v>1691</v>
      </c>
    </row>
    <row r="740" spans="1:17" x14ac:dyDescent="0.3">
      <c r="A740" t="s">
        <v>47</v>
      </c>
      <c r="B740" t="str">
        <f>"002048"</f>
        <v>002048</v>
      </c>
      <c r="C740" t="s">
        <v>1692</v>
      </c>
      <c r="D740" t="s">
        <v>416</v>
      </c>
      <c r="E740">
        <v>20549757267</v>
      </c>
      <c r="F740">
        <v>19426478769</v>
      </c>
      <c r="G740">
        <v>16571599936</v>
      </c>
      <c r="H740">
        <v>16437662207</v>
      </c>
      <c r="I740">
        <v>14762041503</v>
      </c>
      <c r="J740">
        <v>13766921252</v>
      </c>
      <c r="K740">
        <v>10234779507</v>
      </c>
      <c r="L740">
        <v>9543455160</v>
      </c>
      <c r="M740">
        <v>7755868524</v>
      </c>
      <c r="N740">
        <v>6575431646</v>
      </c>
      <c r="O740">
        <v>4719457701</v>
      </c>
      <c r="P740">
        <v>645</v>
      </c>
      <c r="Q740" t="s">
        <v>1693</v>
      </c>
    </row>
    <row r="741" spans="1:17" x14ac:dyDescent="0.3">
      <c r="A741" t="s">
        <v>47</v>
      </c>
      <c r="B741" t="str">
        <f>"000729"</f>
        <v>000729</v>
      </c>
      <c r="C741" t="s">
        <v>1694</v>
      </c>
      <c r="D741" t="s">
        <v>908</v>
      </c>
      <c r="E741">
        <v>20546028868</v>
      </c>
      <c r="F741">
        <v>19051159173</v>
      </c>
      <c r="G741">
        <v>18290973072</v>
      </c>
      <c r="H741">
        <v>17727558626</v>
      </c>
      <c r="I741">
        <v>18174142445</v>
      </c>
      <c r="J741">
        <v>18348597868</v>
      </c>
      <c r="K741">
        <v>18410129845</v>
      </c>
      <c r="L741">
        <v>19283763472</v>
      </c>
      <c r="M741">
        <v>18912754545</v>
      </c>
      <c r="N741">
        <v>18252999690</v>
      </c>
      <c r="O741">
        <v>17753063068</v>
      </c>
      <c r="P741">
        <v>607</v>
      </c>
      <c r="Q741" t="s">
        <v>1695</v>
      </c>
    </row>
    <row r="742" spans="1:17" x14ac:dyDescent="0.3">
      <c r="A742" t="s">
        <v>47</v>
      </c>
      <c r="B742" t="str">
        <f>"002432"</f>
        <v>002432</v>
      </c>
      <c r="C742" t="s">
        <v>1696</v>
      </c>
      <c r="D742" t="s">
        <v>1083</v>
      </c>
      <c r="E742">
        <v>20451740484</v>
      </c>
      <c r="F742">
        <v>2719507624</v>
      </c>
      <c r="G742">
        <v>2173064057</v>
      </c>
      <c r="H742">
        <v>1863625820</v>
      </c>
      <c r="I742">
        <v>1835313403</v>
      </c>
      <c r="J742">
        <v>2361219102</v>
      </c>
      <c r="K742">
        <v>763528573</v>
      </c>
      <c r="L742">
        <v>986790691</v>
      </c>
      <c r="M742">
        <v>950917758</v>
      </c>
      <c r="N742">
        <v>791366141</v>
      </c>
      <c r="O742">
        <v>812866909</v>
      </c>
      <c r="P742">
        <v>281</v>
      </c>
      <c r="Q742" t="s">
        <v>1697</v>
      </c>
    </row>
    <row r="743" spans="1:17" x14ac:dyDescent="0.3">
      <c r="A743" t="s">
        <v>17</v>
      </c>
      <c r="B743" t="str">
        <f>"600299"</f>
        <v>600299</v>
      </c>
      <c r="C743" t="s">
        <v>1698</v>
      </c>
      <c r="D743" t="s">
        <v>1699</v>
      </c>
      <c r="E743">
        <v>20438649445</v>
      </c>
      <c r="F743">
        <v>20636273996</v>
      </c>
      <c r="G743">
        <v>21785787430</v>
      </c>
      <c r="H743">
        <v>20724991184</v>
      </c>
      <c r="I743">
        <v>21564702802</v>
      </c>
      <c r="J743">
        <v>20305227178</v>
      </c>
      <c r="K743">
        <v>19256087432</v>
      </c>
      <c r="L743">
        <v>18493360079</v>
      </c>
      <c r="M743">
        <v>20611523963</v>
      </c>
      <c r="N743">
        <v>19598318900</v>
      </c>
      <c r="O743">
        <v>19359881742</v>
      </c>
      <c r="P743">
        <v>497</v>
      </c>
      <c r="Q743" t="s">
        <v>1700</v>
      </c>
    </row>
    <row r="744" spans="1:17" x14ac:dyDescent="0.3">
      <c r="A744" t="s">
        <v>17</v>
      </c>
      <c r="B744" t="str">
        <f>"600396"</f>
        <v>600396</v>
      </c>
      <c r="C744" t="s">
        <v>1701</v>
      </c>
      <c r="D744" t="s">
        <v>171</v>
      </c>
      <c r="E744">
        <v>20404256426</v>
      </c>
      <c r="F744">
        <v>19880489742</v>
      </c>
      <c r="G744">
        <v>19556254813</v>
      </c>
      <c r="H744">
        <v>19757420653</v>
      </c>
      <c r="I744">
        <v>20037717702</v>
      </c>
      <c r="J744">
        <v>20175591058</v>
      </c>
      <c r="K744">
        <v>20025410127</v>
      </c>
      <c r="L744">
        <v>14941949310</v>
      </c>
      <c r="M744">
        <v>15393738399</v>
      </c>
      <c r="N744">
        <v>14984563921</v>
      </c>
      <c r="O744">
        <v>14273356456</v>
      </c>
      <c r="P744">
        <v>107</v>
      </c>
      <c r="Q744" t="s">
        <v>1702</v>
      </c>
    </row>
    <row r="745" spans="1:17" x14ac:dyDescent="0.3">
      <c r="A745" t="s">
        <v>17</v>
      </c>
      <c r="B745" t="str">
        <f>"601677"</f>
        <v>601677</v>
      </c>
      <c r="C745" t="s">
        <v>1703</v>
      </c>
      <c r="D745" t="s">
        <v>346</v>
      </c>
      <c r="E745">
        <v>20357270261</v>
      </c>
      <c r="F745">
        <v>13378930129</v>
      </c>
      <c r="G745">
        <v>11428264761</v>
      </c>
      <c r="H745">
        <v>9421150019</v>
      </c>
      <c r="I745">
        <v>8951011033</v>
      </c>
      <c r="J745">
        <v>6355160769</v>
      </c>
      <c r="K745">
        <v>5680389225</v>
      </c>
      <c r="L745">
        <v>4888015060</v>
      </c>
      <c r="M745">
        <v>4051577271</v>
      </c>
      <c r="N745">
        <v>3349505199</v>
      </c>
      <c r="O745">
        <v>3229889183</v>
      </c>
      <c r="P745">
        <v>370</v>
      </c>
      <c r="Q745" t="s">
        <v>1704</v>
      </c>
    </row>
    <row r="746" spans="1:17" x14ac:dyDescent="0.3">
      <c r="A746" t="s">
        <v>17</v>
      </c>
      <c r="B746" t="str">
        <f>"601222"</f>
        <v>601222</v>
      </c>
      <c r="C746" t="s">
        <v>1705</v>
      </c>
      <c r="D746" t="s">
        <v>976</v>
      </c>
      <c r="E746">
        <v>20331069595</v>
      </c>
      <c r="F746">
        <v>20057778089</v>
      </c>
      <c r="G746">
        <v>17864155755</v>
      </c>
      <c r="H746">
        <v>17300849672</v>
      </c>
      <c r="I746">
        <v>17031974248</v>
      </c>
      <c r="J746">
        <v>12862766716</v>
      </c>
      <c r="K746">
        <v>7686398826</v>
      </c>
      <c r="L746">
        <v>4462824087</v>
      </c>
      <c r="M746">
        <v>3129814398</v>
      </c>
      <c r="N746">
        <v>3165667754</v>
      </c>
      <c r="O746">
        <v>2760054592</v>
      </c>
      <c r="P746">
        <v>556</v>
      </c>
      <c r="Q746" t="s">
        <v>1706</v>
      </c>
    </row>
    <row r="747" spans="1:17" x14ac:dyDescent="0.3">
      <c r="A747" t="s">
        <v>17</v>
      </c>
      <c r="B747" t="str">
        <f>"600737"</f>
        <v>600737</v>
      </c>
      <c r="C747" t="s">
        <v>1707</v>
      </c>
      <c r="D747" t="s">
        <v>1708</v>
      </c>
      <c r="E747">
        <v>20318849366</v>
      </c>
      <c r="F747">
        <v>19333008378</v>
      </c>
      <c r="G747">
        <v>22600985071</v>
      </c>
      <c r="H747">
        <v>18398966320</v>
      </c>
      <c r="I747">
        <v>19183544830</v>
      </c>
      <c r="J747">
        <v>23455037772</v>
      </c>
      <c r="K747">
        <v>15170788658</v>
      </c>
      <c r="L747">
        <v>14622357788</v>
      </c>
      <c r="M747">
        <v>12421880852</v>
      </c>
      <c r="N747">
        <v>9251382079</v>
      </c>
      <c r="O747">
        <v>8951314765</v>
      </c>
      <c r="P747">
        <v>515</v>
      </c>
      <c r="Q747" t="s">
        <v>1709</v>
      </c>
    </row>
    <row r="748" spans="1:17" x14ac:dyDescent="0.3">
      <c r="A748" t="s">
        <v>47</v>
      </c>
      <c r="B748" t="str">
        <f>"000507"</f>
        <v>000507</v>
      </c>
      <c r="C748" t="s">
        <v>1710</v>
      </c>
      <c r="D748" t="s">
        <v>357</v>
      </c>
      <c r="E748">
        <v>20241584558</v>
      </c>
      <c r="F748">
        <v>14615968497</v>
      </c>
      <c r="G748">
        <v>10045519585</v>
      </c>
      <c r="H748">
        <v>8007572685</v>
      </c>
      <c r="I748">
        <v>6299314648</v>
      </c>
      <c r="J748">
        <v>5772264740</v>
      </c>
      <c r="K748">
        <v>5440901157</v>
      </c>
      <c r="L748">
        <v>5349362908</v>
      </c>
      <c r="M748">
        <v>3943286533</v>
      </c>
      <c r="N748">
        <v>3983628539</v>
      </c>
      <c r="O748">
        <v>3471438053</v>
      </c>
      <c r="P748">
        <v>185</v>
      </c>
      <c r="Q748" t="s">
        <v>1711</v>
      </c>
    </row>
    <row r="749" spans="1:17" x14ac:dyDescent="0.3">
      <c r="A749" t="s">
        <v>17</v>
      </c>
      <c r="B749" t="str">
        <f>"601689"</f>
        <v>601689</v>
      </c>
      <c r="C749" t="s">
        <v>1712</v>
      </c>
      <c r="D749" t="s">
        <v>274</v>
      </c>
      <c r="E749">
        <v>20224661209</v>
      </c>
      <c r="F749">
        <v>14980110298</v>
      </c>
      <c r="G749">
        <v>11093054085</v>
      </c>
      <c r="H749">
        <v>10764885227</v>
      </c>
      <c r="I749">
        <v>10504815105</v>
      </c>
      <c r="J749">
        <v>5382738949</v>
      </c>
      <c r="K749">
        <v>4195377050</v>
      </c>
      <c r="L749">
        <v>3701988500</v>
      </c>
      <c r="P749">
        <v>664</v>
      </c>
      <c r="Q749" t="s">
        <v>1713</v>
      </c>
    </row>
    <row r="750" spans="1:17" x14ac:dyDescent="0.3">
      <c r="A750" t="s">
        <v>47</v>
      </c>
      <c r="B750" t="str">
        <f>"000422"</f>
        <v>000422</v>
      </c>
      <c r="C750" t="s">
        <v>1714</v>
      </c>
      <c r="D750" t="s">
        <v>625</v>
      </c>
      <c r="E750">
        <v>20221607317</v>
      </c>
      <c r="F750">
        <v>21893895585</v>
      </c>
      <c r="G750">
        <v>22685697484</v>
      </c>
      <c r="H750">
        <v>23746250688</v>
      </c>
      <c r="I750">
        <v>31030013405</v>
      </c>
      <c r="J750">
        <v>39632299846</v>
      </c>
      <c r="K750">
        <v>40986621167</v>
      </c>
      <c r="L750">
        <v>37705373854</v>
      </c>
      <c r="M750">
        <v>35722739532</v>
      </c>
      <c r="N750">
        <v>30384739565</v>
      </c>
      <c r="O750">
        <v>25289359620</v>
      </c>
      <c r="P750">
        <v>257</v>
      </c>
      <c r="Q750" t="s">
        <v>1715</v>
      </c>
    </row>
    <row r="751" spans="1:17" x14ac:dyDescent="0.3">
      <c r="A751" t="s">
        <v>47</v>
      </c>
      <c r="B751" t="str">
        <f>"002399"</f>
        <v>002399</v>
      </c>
      <c r="C751" t="s">
        <v>1716</v>
      </c>
      <c r="D751" t="s">
        <v>1112</v>
      </c>
      <c r="E751">
        <v>20130476737</v>
      </c>
      <c r="F751">
        <v>19391183968</v>
      </c>
      <c r="G751">
        <v>15846107219</v>
      </c>
      <c r="H751">
        <v>13443223483</v>
      </c>
      <c r="I751">
        <v>13021211787</v>
      </c>
      <c r="J751">
        <v>12968090060</v>
      </c>
      <c r="K751">
        <v>11602160879</v>
      </c>
      <c r="L751">
        <v>10369584375</v>
      </c>
      <c r="M751">
        <v>8356835748</v>
      </c>
      <c r="N751">
        <v>8378089261</v>
      </c>
      <c r="O751">
        <v>8176319105</v>
      </c>
      <c r="P751">
        <v>285</v>
      </c>
      <c r="Q751" t="s">
        <v>1717</v>
      </c>
    </row>
    <row r="752" spans="1:17" x14ac:dyDescent="0.3">
      <c r="A752" t="s">
        <v>17</v>
      </c>
      <c r="B752" t="str">
        <f>"688126"</f>
        <v>688126</v>
      </c>
      <c r="C752" t="s">
        <v>1718</v>
      </c>
      <c r="D752" t="s">
        <v>567</v>
      </c>
      <c r="E752">
        <v>20065714275</v>
      </c>
      <c r="F752">
        <v>14568884193</v>
      </c>
      <c r="G752">
        <v>9136095422</v>
      </c>
      <c r="H752">
        <v>8551506815</v>
      </c>
      <c r="P752">
        <v>329</v>
      </c>
      <c r="Q752" t="s">
        <v>1719</v>
      </c>
    </row>
    <row r="753" spans="1:17" x14ac:dyDescent="0.3">
      <c r="A753" t="s">
        <v>47</v>
      </c>
      <c r="B753" t="str">
        <f>"002505"</f>
        <v>002505</v>
      </c>
      <c r="C753" t="s">
        <v>1720</v>
      </c>
      <c r="D753" t="s">
        <v>1721</v>
      </c>
      <c r="E753">
        <v>20025575418</v>
      </c>
      <c r="F753">
        <v>17328254695</v>
      </c>
      <c r="G753">
        <v>14632801353</v>
      </c>
      <c r="H753">
        <v>16291541615</v>
      </c>
      <c r="I753">
        <v>18093186071</v>
      </c>
      <c r="J753">
        <v>17690403168</v>
      </c>
      <c r="K753">
        <v>9195782016</v>
      </c>
      <c r="L753">
        <v>6424412531</v>
      </c>
      <c r="M753">
        <v>6321340082</v>
      </c>
      <c r="N753">
        <v>1293535888</v>
      </c>
      <c r="O753">
        <v>893505451</v>
      </c>
      <c r="P753">
        <v>209</v>
      </c>
      <c r="Q753" t="s">
        <v>1722</v>
      </c>
    </row>
    <row r="754" spans="1:17" x14ac:dyDescent="0.3">
      <c r="A754" t="s">
        <v>17</v>
      </c>
      <c r="B754" t="str">
        <f>"600012"</f>
        <v>600012</v>
      </c>
      <c r="C754" t="s">
        <v>1723</v>
      </c>
      <c r="D754" t="s">
        <v>471</v>
      </c>
      <c r="E754">
        <v>19915284836</v>
      </c>
      <c r="F754">
        <v>17338820335</v>
      </c>
      <c r="G754">
        <v>15860105441</v>
      </c>
      <c r="H754">
        <v>15055370686</v>
      </c>
      <c r="I754">
        <v>14369664013</v>
      </c>
      <c r="J754">
        <v>13374837672</v>
      </c>
      <c r="K754">
        <v>12795966698</v>
      </c>
      <c r="L754">
        <v>11527873442</v>
      </c>
      <c r="M754">
        <v>12545869875</v>
      </c>
      <c r="N754">
        <v>11508471689</v>
      </c>
      <c r="O754">
        <v>10445785269</v>
      </c>
      <c r="P754">
        <v>805</v>
      </c>
      <c r="Q754" t="s">
        <v>1724</v>
      </c>
    </row>
    <row r="755" spans="1:17" x14ac:dyDescent="0.3">
      <c r="A755" t="s">
        <v>47</v>
      </c>
      <c r="B755" t="str">
        <f>"200771"</f>
        <v>200771</v>
      </c>
      <c r="C755" t="s">
        <v>1725</v>
      </c>
      <c r="E755">
        <v>19835685905.074001</v>
      </c>
      <c r="F755">
        <v>19413367124.358501</v>
      </c>
      <c r="G755">
        <v>13598430675.215099</v>
      </c>
      <c r="H755">
        <v>14070419416.9872</v>
      </c>
      <c r="I755">
        <v>14096465126.518</v>
      </c>
      <c r="J755">
        <v>12372936149.6896</v>
      </c>
      <c r="K755">
        <v>9408169904.8796005</v>
      </c>
      <c r="L755">
        <v>9620366472.5</v>
      </c>
      <c r="M755">
        <v>9734743353.6623993</v>
      </c>
      <c r="N755">
        <v>9249485118.0564003</v>
      </c>
      <c r="O755">
        <v>9064227904.6229992</v>
      </c>
      <c r="P755">
        <v>65</v>
      </c>
      <c r="Q755" t="s">
        <v>1726</v>
      </c>
    </row>
    <row r="756" spans="1:17" x14ac:dyDescent="0.3">
      <c r="A756" t="s">
        <v>47</v>
      </c>
      <c r="B756" t="str">
        <f>"300001"</f>
        <v>300001</v>
      </c>
      <c r="C756" t="s">
        <v>1727</v>
      </c>
      <c r="D756" t="s">
        <v>459</v>
      </c>
      <c r="E756">
        <v>19818324949</v>
      </c>
      <c r="F756">
        <v>16932940380</v>
      </c>
      <c r="G756">
        <v>15579244683</v>
      </c>
      <c r="H756">
        <v>13870641765</v>
      </c>
      <c r="I756">
        <v>12498486754</v>
      </c>
      <c r="J756">
        <v>9821558776</v>
      </c>
      <c r="K756">
        <v>6255257536</v>
      </c>
      <c r="L756">
        <v>3014599276</v>
      </c>
      <c r="M756">
        <v>2375770651</v>
      </c>
      <c r="N756">
        <v>1896418166</v>
      </c>
      <c r="O756">
        <v>1363537642</v>
      </c>
      <c r="P756">
        <v>530</v>
      </c>
      <c r="Q756" t="s">
        <v>1728</v>
      </c>
    </row>
    <row r="757" spans="1:17" x14ac:dyDescent="0.3">
      <c r="A757" t="s">
        <v>17</v>
      </c>
      <c r="B757" t="str">
        <f>"603077"</f>
        <v>603077</v>
      </c>
      <c r="C757" t="s">
        <v>1729</v>
      </c>
      <c r="D757" t="s">
        <v>1441</v>
      </c>
      <c r="E757">
        <v>19736290879</v>
      </c>
      <c r="F757">
        <v>14651098462</v>
      </c>
      <c r="G757">
        <v>14552501936</v>
      </c>
      <c r="H757">
        <v>13372377082</v>
      </c>
      <c r="I757">
        <v>13058110562</v>
      </c>
      <c r="J757">
        <v>12978106305</v>
      </c>
      <c r="K757">
        <v>11305625051</v>
      </c>
      <c r="L757">
        <v>9301151306</v>
      </c>
      <c r="M757">
        <v>5627306304</v>
      </c>
      <c r="N757">
        <v>4945970192</v>
      </c>
      <c r="P757">
        <v>265</v>
      </c>
      <c r="Q757" t="s">
        <v>1730</v>
      </c>
    </row>
    <row r="758" spans="1:17" x14ac:dyDescent="0.3">
      <c r="A758" t="s">
        <v>47</v>
      </c>
      <c r="B758" t="str">
        <f>"001213"</f>
        <v>001213</v>
      </c>
      <c r="C758" t="s">
        <v>1731</v>
      </c>
      <c r="D758" t="s">
        <v>259</v>
      </c>
      <c r="E758">
        <v>19736222481</v>
      </c>
      <c r="F758">
        <v>17554704966</v>
      </c>
      <c r="P758">
        <v>27</v>
      </c>
      <c r="Q758" t="s">
        <v>1732</v>
      </c>
    </row>
    <row r="759" spans="1:17" x14ac:dyDescent="0.3">
      <c r="A759" t="s">
        <v>17</v>
      </c>
      <c r="B759" t="str">
        <f>"601608"</f>
        <v>601608</v>
      </c>
      <c r="C759" t="s">
        <v>1733</v>
      </c>
      <c r="D759" t="s">
        <v>607</v>
      </c>
      <c r="E759">
        <v>19707504004</v>
      </c>
      <c r="F759">
        <v>20173856199</v>
      </c>
      <c r="G759">
        <v>20426341273</v>
      </c>
      <c r="H759">
        <v>19575086490</v>
      </c>
      <c r="I759">
        <v>19322987426</v>
      </c>
      <c r="J759">
        <v>20044757829</v>
      </c>
      <c r="K759">
        <v>21027418696</v>
      </c>
      <c r="L759">
        <v>19184425428</v>
      </c>
      <c r="M759">
        <v>17726188172</v>
      </c>
      <c r="N759">
        <v>17342617178</v>
      </c>
      <c r="P759">
        <v>178</v>
      </c>
      <c r="Q759" t="s">
        <v>1734</v>
      </c>
    </row>
    <row r="760" spans="1:17" x14ac:dyDescent="0.3">
      <c r="A760" t="s">
        <v>17</v>
      </c>
      <c r="B760" t="str">
        <f>"600694"</f>
        <v>600694</v>
      </c>
      <c r="C760" t="s">
        <v>1735</v>
      </c>
      <c r="D760" t="s">
        <v>780</v>
      </c>
      <c r="E760">
        <v>19703787088</v>
      </c>
      <c r="F760">
        <v>21742559663</v>
      </c>
      <c r="G760">
        <v>18266409892</v>
      </c>
      <c r="H760">
        <v>18205433762</v>
      </c>
      <c r="I760">
        <v>18095995271</v>
      </c>
      <c r="J760">
        <v>17639272143</v>
      </c>
      <c r="K760">
        <v>16737201911</v>
      </c>
      <c r="L760">
        <v>15224601065</v>
      </c>
      <c r="M760">
        <v>14713328832</v>
      </c>
      <c r="N760">
        <v>14768417143</v>
      </c>
      <c r="O760">
        <v>12716054219</v>
      </c>
      <c r="P760">
        <v>543</v>
      </c>
      <c r="Q760" t="s">
        <v>1736</v>
      </c>
    </row>
    <row r="761" spans="1:17" x14ac:dyDescent="0.3">
      <c r="A761" t="s">
        <v>17</v>
      </c>
      <c r="B761" t="str">
        <f>"600006"</f>
        <v>600006</v>
      </c>
      <c r="C761" t="s">
        <v>1737</v>
      </c>
      <c r="D761" t="s">
        <v>684</v>
      </c>
      <c r="E761">
        <v>19668891317</v>
      </c>
      <c r="F761">
        <v>20613976387</v>
      </c>
      <c r="G761">
        <v>17335616109</v>
      </c>
      <c r="H761">
        <v>19267863380</v>
      </c>
      <c r="I761">
        <v>17335241412</v>
      </c>
      <c r="J761">
        <v>21024735976</v>
      </c>
      <c r="K761">
        <v>19982761819</v>
      </c>
      <c r="L761">
        <v>19497690387</v>
      </c>
      <c r="M761">
        <v>20168739098</v>
      </c>
      <c r="N761">
        <v>18924171529</v>
      </c>
      <c r="O761">
        <v>19535256331</v>
      </c>
      <c r="P761">
        <v>469</v>
      </c>
      <c r="Q761" t="s">
        <v>1738</v>
      </c>
    </row>
    <row r="762" spans="1:17" x14ac:dyDescent="0.3">
      <c r="A762" t="s">
        <v>17</v>
      </c>
      <c r="B762" t="str">
        <f>"600475"</f>
        <v>600475</v>
      </c>
      <c r="C762" t="s">
        <v>1739</v>
      </c>
      <c r="D762" t="s">
        <v>256</v>
      </c>
      <c r="E762">
        <v>19641768814</v>
      </c>
      <c r="F762">
        <v>17001446114</v>
      </c>
      <c r="G762">
        <v>13639960108</v>
      </c>
      <c r="H762">
        <v>11683482637</v>
      </c>
      <c r="I762">
        <v>10265986262</v>
      </c>
      <c r="J762">
        <v>9017185027</v>
      </c>
      <c r="K762">
        <v>4918679515</v>
      </c>
      <c r="L762">
        <v>4702137052</v>
      </c>
      <c r="M762">
        <v>4715457747</v>
      </c>
      <c r="N762">
        <v>4405680652</v>
      </c>
      <c r="O762">
        <v>4618155695</v>
      </c>
      <c r="P762">
        <v>169</v>
      </c>
      <c r="Q762" t="s">
        <v>1740</v>
      </c>
    </row>
    <row r="763" spans="1:17" x14ac:dyDescent="0.3">
      <c r="A763" t="s">
        <v>17</v>
      </c>
      <c r="B763" t="str">
        <f>"601019"</f>
        <v>601019</v>
      </c>
      <c r="C763" t="s">
        <v>1741</v>
      </c>
      <c r="D763" t="s">
        <v>1352</v>
      </c>
      <c r="E763">
        <v>19626893458</v>
      </c>
      <c r="F763">
        <v>18069778726</v>
      </c>
      <c r="G763">
        <v>16112875473</v>
      </c>
      <c r="H763">
        <v>14725443762</v>
      </c>
      <c r="I763">
        <v>13476643470</v>
      </c>
      <c r="P763">
        <v>401</v>
      </c>
      <c r="Q763" t="s">
        <v>1742</v>
      </c>
    </row>
    <row r="764" spans="1:17" x14ac:dyDescent="0.3">
      <c r="A764" t="s">
        <v>47</v>
      </c>
      <c r="B764" t="str">
        <f>"000065"</f>
        <v>000065</v>
      </c>
      <c r="C764" t="s">
        <v>1743</v>
      </c>
      <c r="D764" t="s">
        <v>997</v>
      </c>
      <c r="E764">
        <v>19578816466</v>
      </c>
      <c r="F764">
        <v>18310879301</v>
      </c>
      <c r="G764">
        <v>16109984168</v>
      </c>
      <c r="H764">
        <v>11090612233</v>
      </c>
      <c r="I764">
        <v>11439644301</v>
      </c>
      <c r="J764">
        <v>12913887644</v>
      </c>
      <c r="K764">
        <v>7387210057</v>
      </c>
      <c r="L764">
        <v>5036374177</v>
      </c>
      <c r="M764">
        <v>4265427901</v>
      </c>
      <c r="N764">
        <v>3499027495</v>
      </c>
      <c r="O764">
        <v>2463421383</v>
      </c>
      <c r="P764">
        <v>394</v>
      </c>
      <c r="Q764" t="s">
        <v>1744</v>
      </c>
    </row>
    <row r="765" spans="1:17" x14ac:dyDescent="0.3">
      <c r="A765" t="s">
        <v>17</v>
      </c>
      <c r="B765" t="str">
        <f>"601698"</f>
        <v>601698</v>
      </c>
      <c r="C765" t="s">
        <v>1745</v>
      </c>
      <c r="D765" t="s">
        <v>1180</v>
      </c>
      <c r="E765">
        <v>19539933920</v>
      </c>
      <c r="F765">
        <v>18452125339</v>
      </c>
      <c r="G765">
        <v>18337442357</v>
      </c>
      <c r="H765">
        <v>16667750798</v>
      </c>
      <c r="P765">
        <v>316</v>
      </c>
      <c r="Q765" t="s">
        <v>1746</v>
      </c>
    </row>
    <row r="766" spans="1:17" x14ac:dyDescent="0.3">
      <c r="A766" t="s">
        <v>47</v>
      </c>
      <c r="B766" t="str">
        <f>"300383"</f>
        <v>300383</v>
      </c>
      <c r="C766" t="s">
        <v>1747</v>
      </c>
      <c r="D766" t="s">
        <v>700</v>
      </c>
      <c r="E766">
        <v>19522237778</v>
      </c>
      <c r="F766">
        <v>13645292365</v>
      </c>
      <c r="G766">
        <v>12921812844</v>
      </c>
      <c r="H766">
        <v>11612169591</v>
      </c>
      <c r="I766">
        <v>10776217799</v>
      </c>
      <c r="J766">
        <v>9051907560</v>
      </c>
      <c r="K766">
        <v>6140868353</v>
      </c>
      <c r="L766">
        <v>897254119</v>
      </c>
      <c r="M766">
        <v>757643894</v>
      </c>
      <c r="P766">
        <v>2115</v>
      </c>
      <c r="Q766" t="s">
        <v>1748</v>
      </c>
    </row>
    <row r="767" spans="1:17" x14ac:dyDescent="0.3">
      <c r="A767" t="s">
        <v>17</v>
      </c>
      <c r="B767" t="str">
        <f>"601811"</f>
        <v>601811</v>
      </c>
      <c r="C767" t="s">
        <v>1749</v>
      </c>
      <c r="D767" t="s">
        <v>1352</v>
      </c>
      <c r="E767">
        <v>19516750637</v>
      </c>
      <c r="F767">
        <v>17104997975</v>
      </c>
      <c r="G767">
        <v>15226026237</v>
      </c>
      <c r="H767">
        <v>14274798345</v>
      </c>
      <c r="I767">
        <v>13192587044</v>
      </c>
      <c r="J767">
        <v>12199198525</v>
      </c>
      <c r="K767">
        <v>10567888397</v>
      </c>
      <c r="P767">
        <v>276</v>
      </c>
      <c r="Q767" t="s">
        <v>1750</v>
      </c>
    </row>
    <row r="768" spans="1:17" x14ac:dyDescent="0.3">
      <c r="A768" t="s">
        <v>47</v>
      </c>
      <c r="B768" t="str">
        <f>"002468"</f>
        <v>002468</v>
      </c>
      <c r="C768" t="s">
        <v>1751</v>
      </c>
      <c r="D768" t="s">
        <v>339</v>
      </c>
      <c r="E768">
        <v>19510913695</v>
      </c>
      <c r="F768">
        <v>16920771699</v>
      </c>
      <c r="G768">
        <v>14289569169</v>
      </c>
      <c r="H768">
        <v>12202406313</v>
      </c>
      <c r="I768">
        <v>8422828979</v>
      </c>
      <c r="J768">
        <v>7893244949</v>
      </c>
      <c r="K768">
        <v>1526412298</v>
      </c>
      <c r="L768">
        <v>1653703005</v>
      </c>
      <c r="M768">
        <v>1537996177</v>
      </c>
      <c r="N768">
        <v>1453991715</v>
      </c>
      <c r="O768">
        <v>1254942492</v>
      </c>
      <c r="P768">
        <v>638</v>
      </c>
      <c r="Q768" t="s">
        <v>1752</v>
      </c>
    </row>
    <row r="769" spans="1:17" x14ac:dyDescent="0.3">
      <c r="A769" t="s">
        <v>17</v>
      </c>
      <c r="B769" t="str">
        <f>"600420"</f>
        <v>600420</v>
      </c>
      <c r="C769" t="s">
        <v>1753</v>
      </c>
      <c r="D769" t="s">
        <v>550</v>
      </c>
      <c r="E769">
        <v>19489848336</v>
      </c>
      <c r="F769">
        <v>19177393650</v>
      </c>
      <c r="G769">
        <v>18436839247</v>
      </c>
      <c r="H769">
        <v>16571044102</v>
      </c>
      <c r="I769">
        <v>15975286051</v>
      </c>
      <c r="J769">
        <v>15189449403</v>
      </c>
      <c r="K769">
        <v>4291325343</v>
      </c>
      <c r="L769">
        <v>4105973802</v>
      </c>
      <c r="M769">
        <v>3380114972</v>
      </c>
      <c r="N769">
        <v>2685259445</v>
      </c>
      <c r="O769">
        <v>1531237815</v>
      </c>
      <c r="P769">
        <v>381</v>
      </c>
      <c r="Q769" t="s">
        <v>1754</v>
      </c>
    </row>
    <row r="770" spans="1:17" x14ac:dyDescent="0.3">
      <c r="A770" t="s">
        <v>17</v>
      </c>
      <c r="B770" t="str">
        <f>"600267"</f>
        <v>600267</v>
      </c>
      <c r="C770" t="s">
        <v>1755</v>
      </c>
      <c r="D770" t="s">
        <v>1112</v>
      </c>
      <c r="E770">
        <v>19466613802</v>
      </c>
      <c r="F770">
        <v>19917600707</v>
      </c>
      <c r="G770">
        <v>21718947039</v>
      </c>
      <c r="H770">
        <v>21865686561</v>
      </c>
      <c r="I770">
        <v>21747043689</v>
      </c>
      <c r="J770">
        <v>21133754606</v>
      </c>
      <c r="K770">
        <v>20478984301</v>
      </c>
      <c r="L770">
        <v>17444486298</v>
      </c>
      <c r="M770">
        <v>14591618598</v>
      </c>
      <c r="N770">
        <v>11638865649</v>
      </c>
      <c r="O770">
        <v>8804592362</v>
      </c>
      <c r="P770">
        <v>532</v>
      </c>
      <c r="Q770" t="s">
        <v>1756</v>
      </c>
    </row>
    <row r="771" spans="1:17" x14ac:dyDescent="0.3">
      <c r="A771" t="s">
        <v>17</v>
      </c>
      <c r="B771" t="str">
        <f>"600765"</f>
        <v>600765</v>
      </c>
      <c r="C771" t="s">
        <v>1757</v>
      </c>
      <c r="D771" t="s">
        <v>570</v>
      </c>
      <c r="E771">
        <v>19464448703</v>
      </c>
      <c r="F771">
        <v>16137625188</v>
      </c>
      <c r="G771">
        <v>14691013456</v>
      </c>
      <c r="H771">
        <v>12218916382</v>
      </c>
      <c r="I771">
        <v>12452978622</v>
      </c>
      <c r="J771">
        <v>14322185243</v>
      </c>
      <c r="K771">
        <v>13232613112</v>
      </c>
      <c r="L771">
        <v>13291487513</v>
      </c>
      <c r="M771">
        <v>12843366107</v>
      </c>
      <c r="N771">
        <v>11285363620</v>
      </c>
      <c r="O771">
        <v>9561759587</v>
      </c>
      <c r="P771">
        <v>355</v>
      </c>
      <c r="Q771" t="s">
        <v>1758</v>
      </c>
    </row>
    <row r="772" spans="1:17" x14ac:dyDescent="0.3">
      <c r="A772" t="s">
        <v>47</v>
      </c>
      <c r="B772" t="str">
        <f>"002133"</f>
        <v>002133</v>
      </c>
      <c r="C772" t="s">
        <v>1759</v>
      </c>
      <c r="D772" t="s">
        <v>76</v>
      </c>
      <c r="E772">
        <v>19426798471</v>
      </c>
      <c r="F772">
        <v>17156089057</v>
      </c>
      <c r="G772">
        <v>13747609830</v>
      </c>
      <c r="H772">
        <v>11860217831</v>
      </c>
      <c r="I772">
        <v>8236716967</v>
      </c>
      <c r="J772">
        <v>8393419320</v>
      </c>
      <c r="K772">
        <v>8950181031</v>
      </c>
      <c r="L772">
        <v>8356174143</v>
      </c>
      <c r="M772">
        <v>7897077947</v>
      </c>
      <c r="N772">
        <v>7246946935</v>
      </c>
      <c r="O772">
        <v>6363843135</v>
      </c>
      <c r="P772">
        <v>132</v>
      </c>
      <c r="Q772" t="s">
        <v>1760</v>
      </c>
    </row>
    <row r="773" spans="1:17" x14ac:dyDescent="0.3">
      <c r="A773" t="s">
        <v>47</v>
      </c>
      <c r="B773" t="str">
        <f>"002916"</f>
        <v>002916</v>
      </c>
      <c r="C773" t="s">
        <v>1761</v>
      </c>
      <c r="D773" t="s">
        <v>1115</v>
      </c>
      <c r="E773">
        <v>19373200889</v>
      </c>
      <c r="F773">
        <v>13776842013</v>
      </c>
      <c r="G773">
        <v>12506974237</v>
      </c>
      <c r="H773">
        <v>8863284404</v>
      </c>
      <c r="I773">
        <v>7298810910</v>
      </c>
      <c r="P773">
        <v>2552</v>
      </c>
      <c r="Q773" t="s">
        <v>1762</v>
      </c>
    </row>
    <row r="774" spans="1:17" x14ac:dyDescent="0.3">
      <c r="A774" t="s">
        <v>47</v>
      </c>
      <c r="B774" t="str">
        <f>"002541"</f>
        <v>002541</v>
      </c>
      <c r="C774" t="s">
        <v>1763</v>
      </c>
      <c r="D774" t="s">
        <v>1764</v>
      </c>
      <c r="E774">
        <v>19327594236</v>
      </c>
      <c r="F774">
        <v>16782607255</v>
      </c>
      <c r="G774">
        <v>12653491388</v>
      </c>
      <c r="H774">
        <v>11160318215</v>
      </c>
      <c r="I774">
        <v>9112979148</v>
      </c>
      <c r="J774">
        <v>7458562202</v>
      </c>
      <c r="K774">
        <v>7137238249</v>
      </c>
      <c r="L774">
        <v>7031265962</v>
      </c>
      <c r="M774">
        <v>6743054265</v>
      </c>
      <c r="N774">
        <v>5421897213</v>
      </c>
      <c r="O774">
        <v>4118221820</v>
      </c>
      <c r="P774">
        <v>443</v>
      </c>
      <c r="Q774" t="s">
        <v>1765</v>
      </c>
    </row>
    <row r="775" spans="1:17" x14ac:dyDescent="0.3">
      <c r="A775" t="s">
        <v>47</v>
      </c>
      <c r="B775" t="str">
        <f>"000690"</f>
        <v>000690</v>
      </c>
      <c r="C775" t="s">
        <v>1766</v>
      </c>
      <c r="D775" t="s">
        <v>171</v>
      </c>
      <c r="E775">
        <v>19271688027</v>
      </c>
      <c r="F775">
        <v>18287758696</v>
      </c>
      <c r="G775">
        <v>19094494838</v>
      </c>
      <c r="H775">
        <v>21423408823</v>
      </c>
      <c r="I775">
        <v>18490074354</v>
      </c>
      <c r="J775">
        <v>15797024597</v>
      </c>
      <c r="K775">
        <v>9563488812</v>
      </c>
      <c r="L775">
        <v>9626467467</v>
      </c>
      <c r="M775">
        <v>9156588838</v>
      </c>
      <c r="N775">
        <v>9372887686</v>
      </c>
      <c r="O775">
        <v>8315850977</v>
      </c>
      <c r="P775">
        <v>643</v>
      </c>
      <c r="Q775" t="s">
        <v>1767</v>
      </c>
    </row>
    <row r="776" spans="1:17" x14ac:dyDescent="0.3">
      <c r="A776" t="s">
        <v>17</v>
      </c>
      <c r="B776" t="str">
        <f>"600168"</f>
        <v>600168</v>
      </c>
      <c r="C776" t="s">
        <v>1768</v>
      </c>
      <c r="D776" t="s">
        <v>520</v>
      </c>
      <c r="E776">
        <v>19271332959</v>
      </c>
      <c r="F776">
        <v>16521960321</v>
      </c>
      <c r="G776">
        <v>16732977047</v>
      </c>
      <c r="H776">
        <v>13593426646</v>
      </c>
      <c r="I776">
        <v>11161743977</v>
      </c>
      <c r="J776">
        <v>8646889793</v>
      </c>
      <c r="K776">
        <v>8093173903</v>
      </c>
      <c r="L776">
        <v>7620083696</v>
      </c>
      <c r="M776">
        <v>6877169237</v>
      </c>
      <c r="N776">
        <v>3148574588</v>
      </c>
      <c r="O776">
        <v>3140117409</v>
      </c>
      <c r="P776">
        <v>168</v>
      </c>
      <c r="Q776" t="s">
        <v>1769</v>
      </c>
    </row>
    <row r="777" spans="1:17" x14ac:dyDescent="0.3">
      <c r="A777" t="s">
        <v>47</v>
      </c>
      <c r="B777" t="str">
        <f>"000429"</f>
        <v>000429</v>
      </c>
      <c r="C777" t="s">
        <v>1770</v>
      </c>
      <c r="D777" t="s">
        <v>471</v>
      </c>
      <c r="E777">
        <v>19227545547</v>
      </c>
      <c r="F777">
        <v>19839202045</v>
      </c>
      <c r="G777">
        <v>17764608423</v>
      </c>
      <c r="H777">
        <v>17264308204</v>
      </c>
      <c r="I777">
        <v>16869720728</v>
      </c>
      <c r="J777">
        <v>16371491964</v>
      </c>
      <c r="K777">
        <v>12131854608</v>
      </c>
      <c r="L777">
        <v>12388847009</v>
      </c>
      <c r="M777">
        <v>12557087619</v>
      </c>
      <c r="N777">
        <v>13614632220</v>
      </c>
      <c r="O777">
        <v>12472713218</v>
      </c>
      <c r="P777">
        <v>1026</v>
      </c>
      <c r="Q777" t="s">
        <v>1771</v>
      </c>
    </row>
    <row r="778" spans="1:17" x14ac:dyDescent="0.3">
      <c r="A778" t="s">
        <v>17</v>
      </c>
      <c r="B778" t="str">
        <f>"600611"</f>
        <v>600611</v>
      </c>
      <c r="C778" t="s">
        <v>1772</v>
      </c>
      <c r="D778" t="s">
        <v>1773</v>
      </c>
      <c r="E778">
        <v>19169025261</v>
      </c>
      <c r="F778">
        <v>17715147940</v>
      </c>
      <c r="G778">
        <v>16184259092</v>
      </c>
      <c r="H778">
        <v>16670451027</v>
      </c>
      <c r="I778">
        <v>15756698809</v>
      </c>
      <c r="J778">
        <v>15880016114</v>
      </c>
      <c r="K778">
        <v>15187095943</v>
      </c>
      <c r="L778">
        <v>11752194355</v>
      </c>
      <c r="M778">
        <v>10122978399</v>
      </c>
      <c r="N778">
        <v>9701591512</v>
      </c>
      <c r="O778">
        <v>9703097209</v>
      </c>
      <c r="P778">
        <v>243</v>
      </c>
      <c r="Q778" t="s">
        <v>1774</v>
      </c>
    </row>
    <row r="779" spans="1:17" x14ac:dyDescent="0.3">
      <c r="A779" t="s">
        <v>17</v>
      </c>
      <c r="B779" t="str">
        <f>"600575"</f>
        <v>600575</v>
      </c>
      <c r="C779" t="s">
        <v>1775</v>
      </c>
      <c r="D779" t="s">
        <v>259</v>
      </c>
      <c r="E779">
        <v>19145309765</v>
      </c>
      <c r="F779">
        <v>18192675407</v>
      </c>
      <c r="G779">
        <v>17156778480</v>
      </c>
      <c r="H779">
        <v>16829651284</v>
      </c>
      <c r="I779">
        <v>16474195833</v>
      </c>
      <c r="J779">
        <v>17910274450</v>
      </c>
      <c r="K779">
        <v>5317346853</v>
      </c>
      <c r="L779">
        <v>7139768875</v>
      </c>
      <c r="M779">
        <v>27006767980</v>
      </c>
      <c r="N779">
        <v>22949024660</v>
      </c>
      <c r="O779">
        <v>17181854004</v>
      </c>
      <c r="P779">
        <v>118</v>
      </c>
      <c r="Q779" t="s">
        <v>1776</v>
      </c>
    </row>
    <row r="780" spans="1:17" x14ac:dyDescent="0.3">
      <c r="A780" t="s">
        <v>17</v>
      </c>
      <c r="B780" t="str">
        <f>"600742"</f>
        <v>600742</v>
      </c>
      <c r="C780" t="s">
        <v>1777</v>
      </c>
      <c r="D780" t="s">
        <v>416</v>
      </c>
      <c r="E780">
        <v>19133855496</v>
      </c>
      <c r="F780">
        <v>18591685548</v>
      </c>
      <c r="G780">
        <v>14890372763</v>
      </c>
      <c r="H780">
        <v>9332209208</v>
      </c>
      <c r="I780">
        <v>8900074687</v>
      </c>
      <c r="J780">
        <v>8336393155</v>
      </c>
      <c r="K780">
        <v>7439137093</v>
      </c>
      <c r="L780">
        <v>6589300270</v>
      </c>
      <c r="M780">
        <v>5891592811</v>
      </c>
      <c r="N780">
        <v>5180024061</v>
      </c>
      <c r="O780">
        <v>4364649461</v>
      </c>
      <c r="P780">
        <v>417</v>
      </c>
      <c r="Q780" t="s">
        <v>1778</v>
      </c>
    </row>
    <row r="781" spans="1:17" x14ac:dyDescent="0.3">
      <c r="A781" t="s">
        <v>17</v>
      </c>
      <c r="B781" t="str">
        <f>"601118"</f>
        <v>601118</v>
      </c>
      <c r="C781" t="s">
        <v>1779</v>
      </c>
      <c r="D781" t="s">
        <v>1780</v>
      </c>
      <c r="E781">
        <v>19087050675</v>
      </c>
      <c r="F781">
        <v>16995657806</v>
      </c>
      <c r="G781">
        <v>16856814290</v>
      </c>
      <c r="H781">
        <v>14006680713</v>
      </c>
      <c r="I781">
        <v>14553019758</v>
      </c>
      <c r="J781">
        <v>14002777826</v>
      </c>
      <c r="K781">
        <v>13111995602</v>
      </c>
      <c r="L781">
        <v>12142772524</v>
      </c>
      <c r="M781">
        <v>12345795847</v>
      </c>
      <c r="N781">
        <v>11034980865</v>
      </c>
      <c r="O781">
        <v>10786778669</v>
      </c>
      <c r="P781">
        <v>199</v>
      </c>
      <c r="Q781" t="s">
        <v>1781</v>
      </c>
    </row>
    <row r="782" spans="1:17" x14ac:dyDescent="0.3">
      <c r="A782" t="s">
        <v>47</v>
      </c>
      <c r="B782" t="str">
        <f>"200521"</f>
        <v>200521</v>
      </c>
      <c r="C782" t="s">
        <v>1782</v>
      </c>
      <c r="E782">
        <v>18978167150.174</v>
      </c>
      <c r="F782">
        <v>19509499139</v>
      </c>
      <c r="G782">
        <v>15073759173.273001</v>
      </c>
      <c r="H782">
        <v>17680199518.4841</v>
      </c>
      <c r="I782">
        <v>20801585613.572498</v>
      </c>
      <c r="J782">
        <v>16511677043.0942</v>
      </c>
      <c r="K782">
        <v>11888507344.5044</v>
      </c>
      <c r="L782">
        <v>12432865968.75</v>
      </c>
      <c r="M782">
        <v>11693735772.139999</v>
      </c>
      <c r="N782">
        <v>10451794515.268801</v>
      </c>
      <c r="O782">
        <v>9510612374.2229996</v>
      </c>
      <c r="P782">
        <v>23</v>
      </c>
      <c r="Q782" t="s">
        <v>1783</v>
      </c>
    </row>
    <row r="783" spans="1:17" x14ac:dyDescent="0.3">
      <c r="A783" t="s">
        <v>17</v>
      </c>
      <c r="B783" t="str">
        <f>"600312"</f>
        <v>600312</v>
      </c>
      <c r="C783" t="s">
        <v>1784</v>
      </c>
      <c r="D783" t="s">
        <v>459</v>
      </c>
      <c r="E783">
        <v>18972472594</v>
      </c>
      <c r="F783">
        <v>20449817588</v>
      </c>
      <c r="G783">
        <v>22247061007</v>
      </c>
      <c r="H783">
        <v>22201871123</v>
      </c>
      <c r="I783">
        <v>18903074504</v>
      </c>
      <c r="J783">
        <v>17418679184</v>
      </c>
      <c r="K783">
        <v>11858473096</v>
      </c>
      <c r="L783">
        <v>10210225888</v>
      </c>
      <c r="M783">
        <v>8671101716</v>
      </c>
      <c r="N783">
        <v>6103687933</v>
      </c>
      <c r="O783">
        <v>5033089231</v>
      </c>
      <c r="P783">
        <v>634</v>
      </c>
      <c r="Q783" t="s">
        <v>1785</v>
      </c>
    </row>
    <row r="784" spans="1:17" x14ac:dyDescent="0.3">
      <c r="A784" t="s">
        <v>47</v>
      </c>
      <c r="B784" t="str">
        <f>"002563"</f>
        <v>002563</v>
      </c>
      <c r="C784" t="s">
        <v>1786</v>
      </c>
      <c r="D784" t="s">
        <v>628</v>
      </c>
      <c r="E784">
        <v>18967266839</v>
      </c>
      <c r="F784">
        <v>17823762444</v>
      </c>
      <c r="G784">
        <v>16553794652</v>
      </c>
      <c r="H784">
        <v>16273961303</v>
      </c>
      <c r="I784">
        <v>13848862820</v>
      </c>
      <c r="J784">
        <v>12339198705</v>
      </c>
      <c r="K784">
        <v>11823949578</v>
      </c>
      <c r="L784">
        <v>10228822253</v>
      </c>
      <c r="M784">
        <v>9674032530</v>
      </c>
      <c r="N784">
        <v>9157592716</v>
      </c>
      <c r="O784">
        <v>8979982962</v>
      </c>
      <c r="P784">
        <v>904</v>
      </c>
      <c r="Q784" t="s">
        <v>1787</v>
      </c>
    </row>
    <row r="785" spans="1:17" x14ac:dyDescent="0.3">
      <c r="A785" t="s">
        <v>47</v>
      </c>
      <c r="B785" t="str">
        <f>"300316"</f>
        <v>300316</v>
      </c>
      <c r="C785" t="s">
        <v>1788</v>
      </c>
      <c r="D785" t="s">
        <v>1789</v>
      </c>
      <c r="E785">
        <v>18946407098</v>
      </c>
      <c r="F785">
        <v>11297288340</v>
      </c>
      <c r="G785">
        <v>7798672530</v>
      </c>
      <c r="H785">
        <v>6248923402</v>
      </c>
      <c r="I785">
        <v>6078624262</v>
      </c>
      <c r="J785">
        <v>4326775713</v>
      </c>
      <c r="K785">
        <v>2468617356</v>
      </c>
      <c r="L785">
        <v>1877253910</v>
      </c>
      <c r="M785">
        <v>1835680271</v>
      </c>
      <c r="N785">
        <v>1790443545</v>
      </c>
      <c r="O785">
        <v>927423044</v>
      </c>
      <c r="P785">
        <v>1072</v>
      </c>
      <c r="Q785" t="s">
        <v>1790</v>
      </c>
    </row>
    <row r="786" spans="1:17" x14ac:dyDescent="0.3">
      <c r="A786" t="s">
        <v>17</v>
      </c>
      <c r="B786" t="str">
        <f>"600516"</f>
        <v>600516</v>
      </c>
      <c r="C786" t="s">
        <v>1791</v>
      </c>
      <c r="D786" t="s">
        <v>887</v>
      </c>
      <c r="E786">
        <v>18904014738</v>
      </c>
      <c r="F786">
        <v>19383494360</v>
      </c>
      <c r="G786">
        <v>18768950281</v>
      </c>
      <c r="H786">
        <v>17270470281</v>
      </c>
      <c r="I786">
        <v>15799458953</v>
      </c>
      <c r="J786">
        <v>8020123435</v>
      </c>
      <c r="K786">
        <v>8375263942</v>
      </c>
      <c r="L786">
        <v>9344201421</v>
      </c>
      <c r="M786">
        <v>10286277864</v>
      </c>
      <c r="N786">
        <v>8781848704</v>
      </c>
      <c r="O786">
        <v>7281512024</v>
      </c>
      <c r="P786">
        <v>1177</v>
      </c>
      <c r="Q786" t="s">
        <v>1792</v>
      </c>
    </row>
    <row r="787" spans="1:17" x14ac:dyDescent="0.3">
      <c r="A787" t="s">
        <v>47</v>
      </c>
      <c r="B787" t="str">
        <f>"000930"</f>
        <v>000930</v>
      </c>
      <c r="C787" t="s">
        <v>1793</v>
      </c>
      <c r="D787" t="s">
        <v>1708</v>
      </c>
      <c r="E787">
        <v>18897067009</v>
      </c>
      <c r="F787">
        <v>22308393230</v>
      </c>
      <c r="G787">
        <v>18382388311</v>
      </c>
      <c r="H787">
        <v>19849175137</v>
      </c>
      <c r="I787">
        <v>6236172479</v>
      </c>
      <c r="J787">
        <v>5595390542</v>
      </c>
      <c r="K787">
        <v>5917869817</v>
      </c>
      <c r="L787">
        <v>7390162861</v>
      </c>
      <c r="M787">
        <v>6959555349</v>
      </c>
      <c r="N787">
        <v>7067934054</v>
      </c>
      <c r="O787">
        <v>7176181418</v>
      </c>
      <c r="P787">
        <v>378</v>
      </c>
      <c r="Q787" t="s">
        <v>1794</v>
      </c>
    </row>
    <row r="788" spans="1:17" x14ac:dyDescent="0.3">
      <c r="A788" t="s">
        <v>17</v>
      </c>
      <c r="B788" t="str">
        <f>"600160"</f>
        <v>600160</v>
      </c>
      <c r="C788" t="s">
        <v>1795</v>
      </c>
      <c r="D788" t="s">
        <v>1796</v>
      </c>
      <c r="E788">
        <v>18892803577</v>
      </c>
      <c r="F788">
        <v>15915604615</v>
      </c>
      <c r="G788">
        <v>16293347380</v>
      </c>
      <c r="H788">
        <v>15764622335</v>
      </c>
      <c r="I788">
        <v>14072444919</v>
      </c>
      <c r="J788">
        <v>12320949949</v>
      </c>
      <c r="K788">
        <v>9253747328</v>
      </c>
      <c r="L788">
        <v>9062527651</v>
      </c>
      <c r="M788">
        <v>9628856931</v>
      </c>
      <c r="N788">
        <v>7091884721</v>
      </c>
      <c r="O788">
        <v>7233111774</v>
      </c>
      <c r="P788">
        <v>471</v>
      </c>
      <c r="Q788" t="s">
        <v>1797</v>
      </c>
    </row>
    <row r="789" spans="1:17" x14ac:dyDescent="0.3">
      <c r="A789" t="s">
        <v>17</v>
      </c>
      <c r="B789" t="str">
        <f>"600744"</f>
        <v>600744</v>
      </c>
      <c r="C789" t="s">
        <v>1798</v>
      </c>
      <c r="D789" t="s">
        <v>171</v>
      </c>
      <c r="E789">
        <v>18877496035</v>
      </c>
      <c r="F789">
        <v>17310554331</v>
      </c>
      <c r="G789">
        <v>19316414971</v>
      </c>
      <c r="H789">
        <v>18094722471</v>
      </c>
      <c r="I789">
        <v>18670410878</v>
      </c>
      <c r="J789">
        <v>19126731966</v>
      </c>
      <c r="K789">
        <v>18684386574</v>
      </c>
      <c r="L789">
        <v>14968150414</v>
      </c>
      <c r="M789">
        <v>16482548663</v>
      </c>
      <c r="N789">
        <v>16348000698</v>
      </c>
      <c r="O789">
        <v>16045506254</v>
      </c>
      <c r="P789">
        <v>182</v>
      </c>
      <c r="Q789" t="s">
        <v>1799</v>
      </c>
    </row>
    <row r="790" spans="1:17" x14ac:dyDescent="0.3">
      <c r="A790" t="s">
        <v>17</v>
      </c>
      <c r="B790" t="str">
        <f>"600278"</f>
        <v>600278</v>
      </c>
      <c r="C790" t="s">
        <v>1800</v>
      </c>
      <c r="D790" t="s">
        <v>768</v>
      </c>
      <c r="E790">
        <v>18865877479</v>
      </c>
      <c r="F790">
        <v>17724954044</v>
      </c>
      <c r="G790">
        <v>9331888447</v>
      </c>
      <c r="H790">
        <v>8571435879</v>
      </c>
      <c r="I790">
        <v>8093940438</v>
      </c>
      <c r="J790">
        <v>7690882613</v>
      </c>
      <c r="K790">
        <v>6471399399</v>
      </c>
      <c r="L790">
        <v>6208879222</v>
      </c>
      <c r="M790">
        <v>5464089102</v>
      </c>
      <c r="N790">
        <v>5269043601</v>
      </c>
      <c r="O790">
        <v>5227321778</v>
      </c>
      <c r="P790">
        <v>90</v>
      </c>
      <c r="Q790" t="s">
        <v>1801</v>
      </c>
    </row>
    <row r="791" spans="1:17" x14ac:dyDescent="0.3">
      <c r="A791" t="s">
        <v>17</v>
      </c>
      <c r="B791" t="str">
        <f>"600845"</f>
        <v>600845</v>
      </c>
      <c r="C791" t="s">
        <v>1802</v>
      </c>
      <c r="D791" t="s">
        <v>700</v>
      </c>
      <c r="E791">
        <v>18849249558</v>
      </c>
      <c r="F791">
        <v>14484800481</v>
      </c>
      <c r="G791">
        <v>12841298434</v>
      </c>
      <c r="H791">
        <v>9624150285</v>
      </c>
      <c r="I791">
        <v>8807678357</v>
      </c>
      <c r="J791">
        <v>6723169474</v>
      </c>
      <c r="K791">
        <v>6308343377</v>
      </c>
      <c r="L791">
        <v>5234706486</v>
      </c>
      <c r="M791">
        <v>4665967718</v>
      </c>
      <c r="N791">
        <v>3354360101</v>
      </c>
      <c r="O791">
        <v>2916313072</v>
      </c>
      <c r="P791">
        <v>1594</v>
      </c>
      <c r="Q791" t="s">
        <v>1803</v>
      </c>
    </row>
    <row r="792" spans="1:17" x14ac:dyDescent="0.3">
      <c r="A792" t="s">
        <v>47</v>
      </c>
      <c r="B792" t="str">
        <f>"002299"</f>
        <v>002299</v>
      </c>
      <c r="C792" t="s">
        <v>1804</v>
      </c>
      <c r="D792" t="s">
        <v>1805</v>
      </c>
      <c r="E792">
        <v>18845758073</v>
      </c>
      <c r="F792">
        <v>15601326895</v>
      </c>
      <c r="G792">
        <v>15417452793</v>
      </c>
      <c r="H792">
        <v>14182648440</v>
      </c>
      <c r="I792">
        <v>13081226102</v>
      </c>
      <c r="J792">
        <v>11769964413</v>
      </c>
      <c r="K792">
        <v>10977023193</v>
      </c>
      <c r="L792">
        <v>10008009118</v>
      </c>
      <c r="M792">
        <v>8370065120</v>
      </c>
      <c r="N792">
        <v>7102708638</v>
      </c>
      <c r="O792">
        <v>5785129746</v>
      </c>
      <c r="P792">
        <v>1371</v>
      </c>
      <c r="Q792" t="s">
        <v>1806</v>
      </c>
    </row>
    <row r="793" spans="1:17" x14ac:dyDescent="0.3">
      <c r="A793" t="s">
        <v>47</v>
      </c>
      <c r="B793" t="str">
        <f>"300408"</f>
        <v>300408</v>
      </c>
      <c r="C793" t="s">
        <v>1807</v>
      </c>
      <c r="D793" t="s">
        <v>1808</v>
      </c>
      <c r="E793">
        <v>18844681149</v>
      </c>
      <c r="F793">
        <v>12914172820</v>
      </c>
      <c r="G793">
        <v>8793734262</v>
      </c>
      <c r="H793">
        <v>8434114630</v>
      </c>
      <c r="I793">
        <v>7608972619</v>
      </c>
      <c r="J793">
        <v>6384349130</v>
      </c>
      <c r="K793">
        <v>5241617225</v>
      </c>
      <c r="L793">
        <v>4387354091</v>
      </c>
      <c r="P793">
        <v>1510</v>
      </c>
      <c r="Q793" t="s">
        <v>1809</v>
      </c>
    </row>
    <row r="794" spans="1:17" x14ac:dyDescent="0.3">
      <c r="A794" t="s">
        <v>17</v>
      </c>
      <c r="B794" t="str">
        <f>"600322"</f>
        <v>600322</v>
      </c>
      <c r="C794" t="s">
        <v>1810</v>
      </c>
      <c r="D794" t="s">
        <v>76</v>
      </c>
      <c r="E794">
        <v>18758666849</v>
      </c>
      <c r="F794">
        <v>23233509604</v>
      </c>
      <c r="G794">
        <v>25352897866</v>
      </c>
      <c r="H794">
        <v>30255966562</v>
      </c>
      <c r="I794">
        <v>34568657211</v>
      </c>
      <c r="J794">
        <v>35321315245</v>
      </c>
      <c r="K794">
        <v>26075635834</v>
      </c>
      <c r="L794">
        <v>19872928441</v>
      </c>
      <c r="M794">
        <v>17757111773</v>
      </c>
      <c r="N794">
        <v>12772270433</v>
      </c>
      <c r="O794">
        <v>11984297995</v>
      </c>
      <c r="P794">
        <v>84</v>
      </c>
      <c r="Q794" t="s">
        <v>1811</v>
      </c>
    </row>
    <row r="795" spans="1:17" x14ac:dyDescent="0.3">
      <c r="A795" t="s">
        <v>17</v>
      </c>
      <c r="B795" t="str">
        <f>"600508"</f>
        <v>600508</v>
      </c>
      <c r="C795" t="s">
        <v>1812</v>
      </c>
      <c r="D795" t="s">
        <v>530</v>
      </c>
      <c r="E795">
        <v>18741618552</v>
      </c>
      <c r="F795">
        <v>16911842255</v>
      </c>
      <c r="G795">
        <v>17078865854</v>
      </c>
      <c r="H795">
        <v>15711927500</v>
      </c>
      <c r="I795">
        <v>14914988378</v>
      </c>
      <c r="J795">
        <v>14045252555</v>
      </c>
      <c r="K795">
        <v>14024873612</v>
      </c>
      <c r="L795">
        <v>14315537134</v>
      </c>
      <c r="M795">
        <v>13477069563</v>
      </c>
      <c r="N795">
        <v>11659582157</v>
      </c>
      <c r="O795">
        <v>11159984048</v>
      </c>
      <c r="P795">
        <v>267</v>
      </c>
      <c r="Q795" t="s">
        <v>1813</v>
      </c>
    </row>
    <row r="796" spans="1:17" x14ac:dyDescent="0.3">
      <c r="A796" t="s">
        <v>47</v>
      </c>
      <c r="B796" t="str">
        <f>"000887"</f>
        <v>000887</v>
      </c>
      <c r="C796" t="s">
        <v>1814</v>
      </c>
      <c r="D796" t="s">
        <v>1815</v>
      </c>
      <c r="E796">
        <v>18696304834</v>
      </c>
      <c r="F796">
        <v>18726603360</v>
      </c>
      <c r="G796">
        <v>18466513262</v>
      </c>
      <c r="H796">
        <v>17111077475</v>
      </c>
      <c r="I796">
        <v>15514037842</v>
      </c>
      <c r="J796">
        <v>14083302941</v>
      </c>
      <c r="K796">
        <v>7821414294</v>
      </c>
      <c r="L796">
        <v>5688784812</v>
      </c>
      <c r="M796">
        <v>4310410722</v>
      </c>
      <c r="N796">
        <v>3922614428</v>
      </c>
      <c r="O796">
        <v>3174954396</v>
      </c>
      <c r="P796">
        <v>7118</v>
      </c>
      <c r="Q796" t="s">
        <v>1816</v>
      </c>
    </row>
    <row r="797" spans="1:17" x14ac:dyDescent="0.3">
      <c r="A797" t="s">
        <v>17</v>
      </c>
      <c r="B797" t="str">
        <f>"600971"</f>
        <v>600971</v>
      </c>
      <c r="C797" t="s">
        <v>1817</v>
      </c>
      <c r="D797" t="s">
        <v>141</v>
      </c>
      <c r="E797">
        <v>18679679019</v>
      </c>
      <c r="F797">
        <v>16321226124</v>
      </c>
      <c r="G797">
        <v>15925149938</v>
      </c>
      <c r="H797">
        <v>15160550004</v>
      </c>
      <c r="I797">
        <v>14616656453</v>
      </c>
      <c r="J797">
        <v>14201841184</v>
      </c>
      <c r="K797">
        <v>13084393931</v>
      </c>
      <c r="L797">
        <v>13562029929</v>
      </c>
      <c r="M797">
        <v>13313321024</v>
      </c>
      <c r="N797">
        <v>13342104548</v>
      </c>
      <c r="O797">
        <v>13131742176</v>
      </c>
      <c r="P797">
        <v>1522</v>
      </c>
      <c r="Q797" t="s">
        <v>1818</v>
      </c>
    </row>
    <row r="798" spans="1:17" x14ac:dyDescent="0.3">
      <c r="A798" t="s">
        <v>47</v>
      </c>
      <c r="B798" t="str">
        <f>"300759"</f>
        <v>300759</v>
      </c>
      <c r="C798" t="s">
        <v>1819</v>
      </c>
      <c r="D798" t="s">
        <v>777</v>
      </c>
      <c r="E798">
        <v>18660920786</v>
      </c>
      <c r="F798">
        <v>12761892935</v>
      </c>
      <c r="G798">
        <v>9276892288</v>
      </c>
      <c r="H798">
        <v>5143596777</v>
      </c>
      <c r="P798">
        <v>1080</v>
      </c>
      <c r="Q798" t="s">
        <v>1820</v>
      </c>
    </row>
    <row r="799" spans="1:17" x14ac:dyDescent="0.3">
      <c r="A799" t="s">
        <v>47</v>
      </c>
      <c r="B799" t="str">
        <f>"000860"</f>
        <v>000860</v>
      </c>
      <c r="C799" t="s">
        <v>1821</v>
      </c>
      <c r="D799" t="s">
        <v>286</v>
      </c>
      <c r="E799">
        <v>18635330983</v>
      </c>
      <c r="F799">
        <v>20623764854</v>
      </c>
      <c r="G799">
        <v>20393787398</v>
      </c>
      <c r="H799">
        <v>20402982364</v>
      </c>
      <c r="I799">
        <v>17931712938</v>
      </c>
      <c r="J799">
        <v>18342289850</v>
      </c>
      <c r="K799">
        <v>17755313572</v>
      </c>
      <c r="L799">
        <v>16022069517</v>
      </c>
      <c r="M799">
        <v>15026248564</v>
      </c>
      <c r="N799">
        <v>12991384781</v>
      </c>
      <c r="O799">
        <v>10519532792</v>
      </c>
      <c r="P799">
        <v>1515</v>
      </c>
      <c r="Q799" t="s">
        <v>1822</v>
      </c>
    </row>
    <row r="800" spans="1:17" x14ac:dyDescent="0.3">
      <c r="A800" t="s">
        <v>47</v>
      </c>
      <c r="B800" t="str">
        <f>"300058"</f>
        <v>300058</v>
      </c>
      <c r="C800" t="s">
        <v>1823</v>
      </c>
      <c r="D800" t="s">
        <v>1824</v>
      </c>
      <c r="E800">
        <v>18625409104</v>
      </c>
      <c r="F800">
        <v>21404302773</v>
      </c>
      <c r="G800">
        <v>18688418895</v>
      </c>
      <c r="H800">
        <v>17602319175</v>
      </c>
      <c r="I800">
        <v>17120297068</v>
      </c>
      <c r="J800">
        <v>18288262214</v>
      </c>
      <c r="K800">
        <v>16186338845</v>
      </c>
      <c r="L800">
        <v>12197585331</v>
      </c>
      <c r="M800">
        <v>7974681606</v>
      </c>
      <c r="N800">
        <v>2523538706</v>
      </c>
      <c r="O800">
        <v>1529580655</v>
      </c>
      <c r="P800">
        <v>457</v>
      </c>
      <c r="Q800" t="s">
        <v>1825</v>
      </c>
    </row>
    <row r="801" spans="1:17" x14ac:dyDescent="0.3">
      <c r="A801" t="s">
        <v>17</v>
      </c>
      <c r="B801" t="str">
        <f>"600480"</f>
        <v>600480</v>
      </c>
      <c r="C801" t="s">
        <v>1826</v>
      </c>
      <c r="D801" t="s">
        <v>1815</v>
      </c>
      <c r="E801">
        <v>18624716209</v>
      </c>
      <c r="F801">
        <v>16186978260</v>
      </c>
      <c r="G801">
        <v>14148212844</v>
      </c>
      <c r="H801">
        <v>13937644938</v>
      </c>
      <c r="I801">
        <v>13012589144</v>
      </c>
      <c r="J801">
        <v>10968328361</v>
      </c>
      <c r="K801">
        <v>9103806375</v>
      </c>
      <c r="L801">
        <v>7946251617</v>
      </c>
      <c r="M801">
        <v>6906788154</v>
      </c>
      <c r="N801">
        <v>6255649442</v>
      </c>
      <c r="O801">
        <v>5533057771</v>
      </c>
      <c r="P801">
        <v>171</v>
      </c>
      <c r="Q801" t="s">
        <v>1827</v>
      </c>
    </row>
    <row r="802" spans="1:17" x14ac:dyDescent="0.3">
      <c r="A802" t="s">
        <v>47</v>
      </c>
      <c r="B802" t="str">
        <f>"002124"</f>
        <v>002124</v>
      </c>
      <c r="C802" t="s">
        <v>1828</v>
      </c>
      <c r="D802" t="s">
        <v>354</v>
      </c>
      <c r="E802">
        <v>18612454809</v>
      </c>
      <c r="F802">
        <v>18755452089</v>
      </c>
      <c r="G802">
        <v>8313302850</v>
      </c>
      <c r="H802">
        <v>6174409587</v>
      </c>
      <c r="I802">
        <v>5165482135</v>
      </c>
      <c r="J802">
        <v>4328621016</v>
      </c>
      <c r="K802">
        <v>2000801698</v>
      </c>
      <c r="L802">
        <v>1781435850</v>
      </c>
      <c r="M802">
        <v>1808789293</v>
      </c>
      <c r="N802">
        <v>1287179258</v>
      </c>
      <c r="O802">
        <v>1106374702</v>
      </c>
      <c r="P802">
        <v>922</v>
      </c>
      <c r="Q802" t="s">
        <v>1829</v>
      </c>
    </row>
    <row r="803" spans="1:17" x14ac:dyDescent="0.3">
      <c r="A803" t="s">
        <v>47</v>
      </c>
      <c r="B803" t="str">
        <f>"000917"</f>
        <v>000917</v>
      </c>
      <c r="C803" t="s">
        <v>1830</v>
      </c>
      <c r="D803" t="s">
        <v>973</v>
      </c>
      <c r="E803">
        <v>18602648059</v>
      </c>
      <c r="F803">
        <v>19996906223</v>
      </c>
      <c r="G803">
        <v>22135665612</v>
      </c>
      <c r="H803">
        <v>23129035718</v>
      </c>
      <c r="I803">
        <v>23735964067</v>
      </c>
      <c r="J803">
        <v>23331300835</v>
      </c>
      <c r="K803">
        <v>19964251330</v>
      </c>
      <c r="L803">
        <v>15768266267</v>
      </c>
      <c r="M803">
        <v>14878457492</v>
      </c>
      <c r="N803">
        <v>13464428049</v>
      </c>
      <c r="O803">
        <v>11742099758</v>
      </c>
      <c r="P803">
        <v>267</v>
      </c>
      <c r="Q803" t="s">
        <v>1831</v>
      </c>
    </row>
    <row r="804" spans="1:17" x14ac:dyDescent="0.3">
      <c r="A804" t="s">
        <v>17</v>
      </c>
      <c r="B804" t="str">
        <f>"600596"</f>
        <v>600596</v>
      </c>
      <c r="C804" t="s">
        <v>1832</v>
      </c>
      <c r="D804" t="s">
        <v>1833</v>
      </c>
      <c r="E804">
        <v>18590148285</v>
      </c>
      <c r="F804">
        <v>13340439791</v>
      </c>
      <c r="G804">
        <v>11485335287</v>
      </c>
      <c r="H804">
        <v>10717445486</v>
      </c>
      <c r="I804">
        <v>9631755326</v>
      </c>
      <c r="J804">
        <v>8589215287</v>
      </c>
      <c r="K804">
        <v>7750643938</v>
      </c>
      <c r="L804">
        <v>7901462478</v>
      </c>
      <c r="M804">
        <v>7656065829</v>
      </c>
      <c r="N804">
        <v>7159082739</v>
      </c>
      <c r="O804">
        <v>7048290541</v>
      </c>
      <c r="P804">
        <v>481</v>
      </c>
      <c r="Q804" t="s">
        <v>1834</v>
      </c>
    </row>
    <row r="805" spans="1:17" x14ac:dyDescent="0.3">
      <c r="A805" t="s">
        <v>17</v>
      </c>
      <c r="B805" t="str">
        <f>"603185"</f>
        <v>603185</v>
      </c>
      <c r="C805" t="s">
        <v>1835</v>
      </c>
      <c r="D805" t="s">
        <v>1789</v>
      </c>
      <c r="E805">
        <v>18570490660</v>
      </c>
      <c r="F805">
        <v>9073178982</v>
      </c>
      <c r="G805">
        <v>3054258697</v>
      </c>
      <c r="H805">
        <v>1796307086</v>
      </c>
      <c r="P805">
        <v>516</v>
      </c>
      <c r="Q805" t="s">
        <v>1836</v>
      </c>
    </row>
    <row r="806" spans="1:17" x14ac:dyDescent="0.3">
      <c r="A806" t="s">
        <v>17</v>
      </c>
      <c r="B806" t="str">
        <f>"600461"</f>
        <v>600461</v>
      </c>
      <c r="C806" t="s">
        <v>1837</v>
      </c>
      <c r="D806" t="s">
        <v>520</v>
      </c>
      <c r="E806">
        <v>18555778011</v>
      </c>
      <c r="F806">
        <v>17282130133</v>
      </c>
      <c r="G806">
        <v>12388233287</v>
      </c>
      <c r="H806">
        <v>10642011467</v>
      </c>
      <c r="I806">
        <v>8634673977</v>
      </c>
      <c r="J806">
        <v>7748439102</v>
      </c>
      <c r="K806">
        <v>5522022857</v>
      </c>
      <c r="L806">
        <v>5051918520</v>
      </c>
      <c r="M806">
        <v>4802046292</v>
      </c>
      <c r="N806">
        <v>4284978381</v>
      </c>
      <c r="O806">
        <v>3972095209</v>
      </c>
      <c r="P806">
        <v>366</v>
      </c>
      <c r="Q806" t="s">
        <v>1838</v>
      </c>
    </row>
    <row r="807" spans="1:17" x14ac:dyDescent="0.3">
      <c r="A807" t="s">
        <v>47</v>
      </c>
      <c r="B807" t="str">
        <f>"000981"</f>
        <v>000981</v>
      </c>
      <c r="C807" t="s">
        <v>1839</v>
      </c>
      <c r="D807" t="s">
        <v>76</v>
      </c>
      <c r="E807">
        <v>18543139729</v>
      </c>
      <c r="F807">
        <v>22488048961</v>
      </c>
      <c r="G807">
        <v>24772035080</v>
      </c>
      <c r="H807">
        <v>34981952364</v>
      </c>
      <c r="I807">
        <v>43205259153</v>
      </c>
      <c r="J807">
        <v>29995862271</v>
      </c>
      <c r="K807">
        <v>24376647979</v>
      </c>
      <c r="L807">
        <v>27260900856</v>
      </c>
      <c r="M807">
        <v>24669842069</v>
      </c>
      <c r="N807">
        <v>19344434732</v>
      </c>
      <c r="O807">
        <v>16300147690</v>
      </c>
      <c r="P807">
        <v>118</v>
      </c>
      <c r="Q807" t="s">
        <v>1840</v>
      </c>
    </row>
    <row r="808" spans="1:17" x14ac:dyDescent="0.3">
      <c r="A808" t="s">
        <v>47</v>
      </c>
      <c r="B808" t="str">
        <f>"002831"</f>
        <v>002831</v>
      </c>
      <c r="C808" t="s">
        <v>1841</v>
      </c>
      <c r="D808" t="s">
        <v>1842</v>
      </c>
      <c r="E808">
        <v>18489466636</v>
      </c>
      <c r="F808">
        <v>16148797404</v>
      </c>
      <c r="G808">
        <v>12529076108</v>
      </c>
      <c r="H808">
        <v>11153677997</v>
      </c>
      <c r="I808">
        <v>9451258719</v>
      </c>
      <c r="J808">
        <v>7298149679</v>
      </c>
      <c r="P808">
        <v>663</v>
      </c>
      <c r="Q808" t="s">
        <v>1843</v>
      </c>
    </row>
    <row r="809" spans="1:17" x14ac:dyDescent="0.3">
      <c r="A809" t="s">
        <v>47</v>
      </c>
      <c r="B809" t="str">
        <f>"002373"</f>
        <v>002373</v>
      </c>
      <c r="C809" t="s">
        <v>1844</v>
      </c>
      <c r="D809" t="s">
        <v>700</v>
      </c>
      <c r="E809">
        <v>18472073724</v>
      </c>
      <c r="F809">
        <v>18500180774</v>
      </c>
      <c r="G809">
        <v>15838673442</v>
      </c>
      <c r="H809">
        <v>13140977693</v>
      </c>
      <c r="I809">
        <v>11748424206</v>
      </c>
      <c r="J809">
        <v>6088473301</v>
      </c>
      <c r="K809">
        <v>5348377044</v>
      </c>
      <c r="L809">
        <v>2195743130</v>
      </c>
      <c r="M809">
        <v>745423136</v>
      </c>
      <c r="N809">
        <v>906757512</v>
      </c>
      <c r="O809">
        <v>927495664</v>
      </c>
      <c r="P809">
        <v>713</v>
      </c>
      <c r="Q809" t="s">
        <v>1845</v>
      </c>
    </row>
    <row r="810" spans="1:17" x14ac:dyDescent="0.3">
      <c r="A810" t="s">
        <v>17</v>
      </c>
      <c r="B810" t="str">
        <f>"601777"</f>
        <v>601777</v>
      </c>
      <c r="C810" t="s">
        <v>1846</v>
      </c>
      <c r="D810" t="s">
        <v>1847</v>
      </c>
      <c r="E810">
        <v>18451734725</v>
      </c>
      <c r="F810">
        <v>17630301455</v>
      </c>
      <c r="G810">
        <v>18293488994</v>
      </c>
      <c r="H810">
        <v>26818518384</v>
      </c>
      <c r="I810">
        <v>29801220838</v>
      </c>
      <c r="J810">
        <v>29368614978</v>
      </c>
      <c r="K810">
        <v>26534338931</v>
      </c>
      <c r="L810">
        <v>22484257519</v>
      </c>
      <c r="M810">
        <v>16786972386</v>
      </c>
      <c r="N810">
        <v>14756147283</v>
      </c>
      <c r="O810">
        <v>10370898856</v>
      </c>
      <c r="P810">
        <v>154</v>
      </c>
      <c r="Q810" t="s">
        <v>1848</v>
      </c>
    </row>
    <row r="811" spans="1:17" x14ac:dyDescent="0.3">
      <c r="A811" t="s">
        <v>17</v>
      </c>
      <c r="B811" t="str">
        <f>"600729"</f>
        <v>600729</v>
      </c>
      <c r="C811" t="s">
        <v>1849</v>
      </c>
      <c r="D811" t="s">
        <v>780</v>
      </c>
      <c r="E811">
        <v>18451232483</v>
      </c>
      <c r="F811">
        <v>19296561499</v>
      </c>
      <c r="G811">
        <v>15102255213</v>
      </c>
      <c r="H811">
        <v>13760198722</v>
      </c>
      <c r="I811">
        <v>13372385434</v>
      </c>
      <c r="J811">
        <v>11675010344</v>
      </c>
      <c r="K811">
        <v>13390723608</v>
      </c>
      <c r="L811">
        <v>11455557836</v>
      </c>
      <c r="M811">
        <v>10630610069</v>
      </c>
      <c r="N811">
        <v>9968152361</v>
      </c>
      <c r="O811">
        <v>9415256902</v>
      </c>
      <c r="P811">
        <v>540</v>
      </c>
      <c r="Q811" t="s">
        <v>1850</v>
      </c>
    </row>
    <row r="812" spans="1:17" x14ac:dyDescent="0.3">
      <c r="A812" t="s">
        <v>17</v>
      </c>
      <c r="B812" t="str">
        <f>"603883"</f>
        <v>603883</v>
      </c>
      <c r="C812" t="s">
        <v>1851</v>
      </c>
      <c r="D812" t="s">
        <v>1852</v>
      </c>
      <c r="E812">
        <v>18446687171</v>
      </c>
      <c r="F812">
        <v>13941516670</v>
      </c>
      <c r="G812">
        <v>10728921907</v>
      </c>
      <c r="H812">
        <v>9004078533</v>
      </c>
      <c r="I812">
        <v>7138997667</v>
      </c>
      <c r="J812">
        <v>5028825438</v>
      </c>
      <c r="K812">
        <v>4136247931</v>
      </c>
      <c r="L812">
        <v>2552842298</v>
      </c>
      <c r="P812">
        <v>868</v>
      </c>
      <c r="Q812" t="s">
        <v>1853</v>
      </c>
    </row>
    <row r="813" spans="1:17" x14ac:dyDescent="0.3">
      <c r="A813" t="s">
        <v>17</v>
      </c>
      <c r="B813" t="str">
        <f>"603565"</f>
        <v>603565</v>
      </c>
      <c r="C813" t="s">
        <v>1854</v>
      </c>
      <c r="D813" t="s">
        <v>176</v>
      </c>
      <c r="E813">
        <v>18421634919</v>
      </c>
      <c r="F813">
        <v>11623518306</v>
      </c>
      <c r="P813">
        <v>225</v>
      </c>
      <c r="Q813" t="s">
        <v>1855</v>
      </c>
    </row>
    <row r="814" spans="1:17" x14ac:dyDescent="0.3">
      <c r="A814" t="s">
        <v>17</v>
      </c>
      <c r="B814" t="str">
        <f>"688772"</f>
        <v>688772</v>
      </c>
      <c r="C814" t="s">
        <v>1856</v>
      </c>
      <c r="D814" t="s">
        <v>215</v>
      </c>
      <c r="E814">
        <v>18308985973</v>
      </c>
      <c r="P814">
        <v>33</v>
      </c>
      <c r="Q814" t="s">
        <v>1857</v>
      </c>
    </row>
    <row r="815" spans="1:17" x14ac:dyDescent="0.3">
      <c r="A815" t="s">
        <v>47</v>
      </c>
      <c r="B815" t="str">
        <f>"300226"</f>
        <v>300226</v>
      </c>
      <c r="C815" t="s">
        <v>1858</v>
      </c>
      <c r="D815" t="s">
        <v>1859</v>
      </c>
      <c r="E815">
        <v>18303809239</v>
      </c>
      <c r="F815">
        <v>16195041223</v>
      </c>
      <c r="G815">
        <v>13172391696</v>
      </c>
      <c r="H815">
        <v>6134286392</v>
      </c>
      <c r="I815">
        <v>10702374243</v>
      </c>
      <c r="J815">
        <v>7035574417</v>
      </c>
      <c r="K815">
        <v>3444331375</v>
      </c>
      <c r="L815">
        <v>2860023219</v>
      </c>
      <c r="M815">
        <v>1095636699</v>
      </c>
      <c r="N815">
        <v>727196546</v>
      </c>
      <c r="O815">
        <v>593218444</v>
      </c>
      <c r="P815">
        <v>253</v>
      </c>
      <c r="Q815" t="s">
        <v>1860</v>
      </c>
    </row>
    <row r="816" spans="1:17" x14ac:dyDescent="0.3">
      <c r="A816" t="s">
        <v>17</v>
      </c>
      <c r="B816" t="str">
        <f>"600496"</f>
        <v>600496</v>
      </c>
      <c r="C816" t="s">
        <v>1861</v>
      </c>
      <c r="D816" t="s">
        <v>1764</v>
      </c>
      <c r="E816">
        <v>18300233831</v>
      </c>
      <c r="F816">
        <v>15472495931</v>
      </c>
      <c r="G816">
        <v>14109454685</v>
      </c>
      <c r="H816">
        <v>14065917846</v>
      </c>
      <c r="I816">
        <v>11166025636</v>
      </c>
      <c r="J816">
        <v>10033436649</v>
      </c>
      <c r="K816">
        <v>9750407855</v>
      </c>
      <c r="L816">
        <v>9422125101</v>
      </c>
      <c r="M816">
        <v>7814034192</v>
      </c>
      <c r="N816">
        <v>7125467985</v>
      </c>
      <c r="O816">
        <v>6872921924</v>
      </c>
      <c r="P816">
        <v>249</v>
      </c>
      <c r="Q816" t="s">
        <v>1862</v>
      </c>
    </row>
    <row r="817" spans="1:17" x14ac:dyDescent="0.3">
      <c r="A817" t="s">
        <v>47</v>
      </c>
      <c r="B817" t="str">
        <f>"000758"</f>
        <v>000758</v>
      </c>
      <c r="C817" t="s">
        <v>1863</v>
      </c>
      <c r="D817" t="s">
        <v>1299</v>
      </c>
      <c r="E817">
        <v>18290166939</v>
      </c>
      <c r="F817">
        <v>21164114824</v>
      </c>
      <c r="G817">
        <v>25078355391</v>
      </c>
      <c r="H817">
        <v>24960528880</v>
      </c>
      <c r="I817">
        <v>22071688883</v>
      </c>
      <c r="J817">
        <v>25090177087</v>
      </c>
      <c r="K817">
        <v>23552748429</v>
      </c>
      <c r="L817">
        <v>19655943052</v>
      </c>
      <c r="M817">
        <v>17254129825</v>
      </c>
      <c r="N817">
        <v>16289197403</v>
      </c>
      <c r="O817">
        <v>13884112622</v>
      </c>
      <c r="P817">
        <v>177</v>
      </c>
      <c r="Q817" t="s">
        <v>1864</v>
      </c>
    </row>
    <row r="818" spans="1:17" x14ac:dyDescent="0.3">
      <c r="A818" t="s">
        <v>17</v>
      </c>
      <c r="B818" t="str">
        <f>"600190"</f>
        <v>600190</v>
      </c>
      <c r="C818" t="s">
        <v>1865</v>
      </c>
      <c r="D818" t="s">
        <v>357</v>
      </c>
      <c r="E818">
        <v>18284929987</v>
      </c>
      <c r="F818">
        <v>18074190161</v>
      </c>
      <c r="G818">
        <v>18130796604</v>
      </c>
      <c r="H818">
        <v>17371394388</v>
      </c>
      <c r="I818">
        <v>15668827003</v>
      </c>
      <c r="J818">
        <v>18450115794</v>
      </c>
      <c r="K818">
        <v>11649847943</v>
      </c>
      <c r="L818">
        <v>12089003505</v>
      </c>
      <c r="M818">
        <v>11220639700</v>
      </c>
      <c r="N818">
        <v>10282499377</v>
      </c>
      <c r="O818">
        <v>8495300756</v>
      </c>
      <c r="P818">
        <v>90</v>
      </c>
      <c r="Q818" t="s">
        <v>1866</v>
      </c>
    </row>
    <row r="819" spans="1:17" x14ac:dyDescent="0.3">
      <c r="A819" t="s">
        <v>17</v>
      </c>
      <c r="B819" t="str">
        <f>"600732"</f>
        <v>600732</v>
      </c>
      <c r="C819" t="s">
        <v>1867</v>
      </c>
      <c r="D819" t="s">
        <v>664</v>
      </c>
      <c r="E819">
        <v>18243238565</v>
      </c>
      <c r="F819">
        <v>15018273854</v>
      </c>
      <c r="G819">
        <v>8504359687</v>
      </c>
      <c r="H819">
        <v>599865878</v>
      </c>
      <c r="I819">
        <v>524936594</v>
      </c>
      <c r="J819">
        <v>704767361</v>
      </c>
      <c r="K819">
        <v>768247334</v>
      </c>
      <c r="L819">
        <v>949996409</v>
      </c>
      <c r="M819">
        <v>889052666</v>
      </c>
      <c r="N819">
        <v>1295173365</v>
      </c>
      <c r="O819">
        <v>1254433958</v>
      </c>
      <c r="P819">
        <v>357</v>
      </c>
      <c r="Q819" t="s">
        <v>1868</v>
      </c>
    </row>
    <row r="820" spans="1:17" x14ac:dyDescent="0.3">
      <c r="A820" t="s">
        <v>17</v>
      </c>
      <c r="B820" t="str">
        <f>"601801"</f>
        <v>601801</v>
      </c>
      <c r="C820" t="s">
        <v>1869</v>
      </c>
      <c r="D820" t="s">
        <v>1288</v>
      </c>
      <c r="E820">
        <v>18224313519</v>
      </c>
      <c r="F820">
        <v>16931548163</v>
      </c>
      <c r="G820">
        <v>14159480104</v>
      </c>
      <c r="H820">
        <v>13895365038</v>
      </c>
      <c r="I820">
        <v>13304101603</v>
      </c>
      <c r="J820">
        <v>12444759713</v>
      </c>
      <c r="K820">
        <v>8590354187</v>
      </c>
      <c r="L820">
        <v>7683591162</v>
      </c>
      <c r="M820">
        <v>6906544150</v>
      </c>
      <c r="N820">
        <v>6014943491</v>
      </c>
      <c r="O820">
        <v>5515867856</v>
      </c>
      <c r="P820">
        <v>267</v>
      </c>
      <c r="Q820" t="s">
        <v>1870</v>
      </c>
    </row>
    <row r="821" spans="1:17" x14ac:dyDescent="0.3">
      <c r="A821" t="s">
        <v>17</v>
      </c>
      <c r="B821" t="str">
        <f>"600718"</f>
        <v>600718</v>
      </c>
      <c r="C821" t="s">
        <v>1871</v>
      </c>
      <c r="D821" t="s">
        <v>700</v>
      </c>
      <c r="E821">
        <v>18219070072</v>
      </c>
      <c r="F821">
        <v>16320179161</v>
      </c>
      <c r="G821">
        <v>15266701438</v>
      </c>
      <c r="H821">
        <v>13276623620</v>
      </c>
      <c r="I821">
        <v>12421050786</v>
      </c>
      <c r="J821">
        <v>11219628091</v>
      </c>
      <c r="K821">
        <v>12629521699</v>
      </c>
      <c r="L821">
        <v>9228652080</v>
      </c>
      <c r="M821">
        <v>8961132341</v>
      </c>
      <c r="N821">
        <v>8022377968</v>
      </c>
      <c r="O821">
        <v>7500239521</v>
      </c>
      <c r="P821">
        <v>396</v>
      </c>
      <c r="Q821" t="s">
        <v>1872</v>
      </c>
    </row>
    <row r="822" spans="1:17" x14ac:dyDescent="0.3">
      <c r="A822" t="s">
        <v>17</v>
      </c>
      <c r="B822" t="str">
        <f>"688005"</f>
        <v>688005</v>
      </c>
      <c r="C822" t="s">
        <v>1873</v>
      </c>
      <c r="D822" t="s">
        <v>1017</v>
      </c>
      <c r="E822">
        <v>18213076000</v>
      </c>
      <c r="F822">
        <v>7202695066</v>
      </c>
      <c r="G822">
        <v>5527655951</v>
      </c>
      <c r="H822">
        <v>4543139605</v>
      </c>
      <c r="P822">
        <v>318</v>
      </c>
      <c r="Q822" t="s">
        <v>1874</v>
      </c>
    </row>
    <row r="823" spans="1:17" x14ac:dyDescent="0.3">
      <c r="A823" t="s">
        <v>17</v>
      </c>
      <c r="B823" t="str">
        <f>"601678"</f>
        <v>601678</v>
      </c>
      <c r="C823" t="s">
        <v>1875</v>
      </c>
      <c r="D823" t="s">
        <v>625</v>
      </c>
      <c r="E823">
        <v>18134438505</v>
      </c>
      <c r="F823">
        <v>14693261023</v>
      </c>
      <c r="G823">
        <v>11690666347</v>
      </c>
      <c r="H823">
        <v>10590337950</v>
      </c>
      <c r="I823">
        <v>10574090736</v>
      </c>
      <c r="J823">
        <v>7332423461</v>
      </c>
      <c r="K823">
        <v>7246805594</v>
      </c>
      <c r="L823">
        <v>7193849332</v>
      </c>
      <c r="M823">
        <v>6625375252</v>
      </c>
      <c r="N823">
        <v>5590685303</v>
      </c>
      <c r="O823">
        <v>4668929888</v>
      </c>
      <c r="P823">
        <v>353</v>
      </c>
      <c r="Q823" t="s">
        <v>1876</v>
      </c>
    </row>
    <row r="824" spans="1:17" x14ac:dyDescent="0.3">
      <c r="A824" t="s">
        <v>17</v>
      </c>
      <c r="B824" t="str">
        <f>"603588"</f>
        <v>603588</v>
      </c>
      <c r="C824" t="s">
        <v>1877</v>
      </c>
      <c r="D824" t="s">
        <v>1310</v>
      </c>
      <c r="E824">
        <v>18118845689</v>
      </c>
      <c r="F824">
        <v>15045557280</v>
      </c>
      <c r="G824">
        <v>11971841889</v>
      </c>
      <c r="H824">
        <v>9225829203</v>
      </c>
      <c r="I824">
        <v>6433634151</v>
      </c>
      <c r="J824">
        <v>4914009876</v>
      </c>
      <c r="K824">
        <v>3455249162</v>
      </c>
      <c r="L824">
        <v>2474778918</v>
      </c>
      <c r="P824">
        <v>580</v>
      </c>
      <c r="Q824" t="s">
        <v>1878</v>
      </c>
    </row>
    <row r="825" spans="1:17" x14ac:dyDescent="0.3">
      <c r="A825" t="s">
        <v>17</v>
      </c>
      <c r="B825" t="str">
        <f>"601686"</f>
        <v>601686</v>
      </c>
      <c r="C825" t="s">
        <v>1879</v>
      </c>
      <c r="D825" t="s">
        <v>803</v>
      </c>
      <c r="E825">
        <v>18082877530</v>
      </c>
      <c r="F825">
        <v>13736214977</v>
      </c>
      <c r="P825">
        <v>57</v>
      </c>
      <c r="Q825" t="s">
        <v>1880</v>
      </c>
    </row>
    <row r="826" spans="1:17" x14ac:dyDescent="0.3">
      <c r="A826" t="s">
        <v>47</v>
      </c>
      <c r="B826" t="str">
        <f>"200541"</f>
        <v>200541</v>
      </c>
      <c r="C826" t="s">
        <v>1881</v>
      </c>
      <c r="E826">
        <v>17999014787.298</v>
      </c>
      <c r="F826">
        <v>9300252689.6504993</v>
      </c>
      <c r="G826">
        <v>6771841634.6961002</v>
      </c>
      <c r="H826">
        <v>6779788396.2693005</v>
      </c>
      <c r="I826">
        <v>7294030726.9624996</v>
      </c>
      <c r="J826">
        <v>7039660878.0114002</v>
      </c>
      <c r="K826">
        <v>7388134297.9427996</v>
      </c>
      <c r="L826">
        <v>4793270787.5</v>
      </c>
      <c r="M826">
        <v>4428317900.9320002</v>
      </c>
      <c r="N826">
        <v>4514864477.3346004</v>
      </c>
      <c r="O826">
        <v>4067202123.243</v>
      </c>
      <c r="P826">
        <v>119</v>
      </c>
      <c r="Q826" t="s">
        <v>1882</v>
      </c>
    </row>
    <row r="827" spans="1:17" x14ac:dyDescent="0.3">
      <c r="A827" t="s">
        <v>47</v>
      </c>
      <c r="B827" t="str">
        <f>"200011"</f>
        <v>200011</v>
      </c>
      <c r="C827" t="s">
        <v>1883</v>
      </c>
      <c r="E827">
        <v>17952295291.860001</v>
      </c>
      <c r="F827">
        <v>14753901771.104</v>
      </c>
      <c r="G827">
        <v>12336647945.3298</v>
      </c>
      <c r="H827">
        <v>10188558753.818399</v>
      </c>
      <c r="I827">
        <v>6193075618.5015001</v>
      </c>
      <c r="J827">
        <v>7148378710.0936003</v>
      </c>
      <c r="K827">
        <v>6404012051.2357998</v>
      </c>
      <c r="L827">
        <v>4771032428.75</v>
      </c>
      <c r="M827">
        <v>4704690162.2988005</v>
      </c>
      <c r="N827">
        <v>4537133437.4807997</v>
      </c>
      <c r="O827">
        <v>4380969893.184</v>
      </c>
      <c r="P827">
        <v>176</v>
      </c>
      <c r="Q827" t="s">
        <v>1884</v>
      </c>
    </row>
    <row r="828" spans="1:17" x14ac:dyDescent="0.3">
      <c r="A828" t="s">
        <v>47</v>
      </c>
      <c r="B828" t="str">
        <f>"002131"</f>
        <v>002131</v>
      </c>
      <c r="C828" t="s">
        <v>1885</v>
      </c>
      <c r="D828" t="s">
        <v>1824</v>
      </c>
      <c r="E828">
        <v>17944518543</v>
      </c>
      <c r="F828">
        <v>19262984660</v>
      </c>
      <c r="G828">
        <v>13625655829</v>
      </c>
      <c r="H828">
        <v>13830649806</v>
      </c>
      <c r="I828">
        <v>16083322883</v>
      </c>
      <c r="J828">
        <v>11338117060</v>
      </c>
      <c r="K828">
        <v>8429716328</v>
      </c>
      <c r="L828">
        <v>4073128420</v>
      </c>
      <c r="M828">
        <v>2720625659</v>
      </c>
      <c r="N828">
        <v>2294563507</v>
      </c>
      <c r="O828">
        <v>2199284337</v>
      </c>
      <c r="P828">
        <v>417</v>
      </c>
      <c r="Q828" t="s">
        <v>1886</v>
      </c>
    </row>
    <row r="829" spans="1:17" x14ac:dyDescent="0.3">
      <c r="A829" t="s">
        <v>47</v>
      </c>
      <c r="B829" t="str">
        <f>"002758"</f>
        <v>002758</v>
      </c>
      <c r="C829" t="s">
        <v>1887</v>
      </c>
      <c r="D829" t="s">
        <v>362</v>
      </c>
      <c r="E829">
        <v>17943532367</v>
      </c>
      <c r="F829">
        <v>13647582337</v>
      </c>
      <c r="G829">
        <v>1503665039</v>
      </c>
      <c r="H829">
        <v>1539512989</v>
      </c>
      <c r="I829">
        <v>1229964652</v>
      </c>
      <c r="J829">
        <v>1087341073</v>
      </c>
      <c r="K829">
        <v>903175036</v>
      </c>
      <c r="L829">
        <v>694458852</v>
      </c>
      <c r="P829">
        <v>180</v>
      </c>
      <c r="Q829" t="s">
        <v>1888</v>
      </c>
    </row>
    <row r="830" spans="1:17" x14ac:dyDescent="0.3">
      <c r="A830" t="s">
        <v>47</v>
      </c>
      <c r="B830" t="str">
        <f>"000789"</f>
        <v>000789</v>
      </c>
      <c r="C830" t="s">
        <v>1889</v>
      </c>
      <c r="D830" t="s">
        <v>253</v>
      </c>
      <c r="E830">
        <v>17940840862</v>
      </c>
      <c r="F830">
        <v>15487757012</v>
      </c>
      <c r="G830">
        <v>11741148334</v>
      </c>
      <c r="H830">
        <v>10012104606</v>
      </c>
      <c r="I830">
        <v>8760905857</v>
      </c>
      <c r="J830">
        <v>8433603663</v>
      </c>
      <c r="K830">
        <v>8747535286</v>
      </c>
      <c r="L830">
        <v>8864140129</v>
      </c>
      <c r="M830">
        <v>7694000846</v>
      </c>
      <c r="N830">
        <v>7467424488</v>
      </c>
      <c r="O830">
        <v>6866801100</v>
      </c>
      <c r="P830">
        <v>1139</v>
      </c>
      <c r="Q830" t="s">
        <v>1890</v>
      </c>
    </row>
    <row r="831" spans="1:17" x14ac:dyDescent="0.3">
      <c r="A831" t="s">
        <v>17</v>
      </c>
      <c r="B831" t="str">
        <f>"600869"</f>
        <v>600869</v>
      </c>
      <c r="C831" t="s">
        <v>1891</v>
      </c>
      <c r="D831" t="s">
        <v>1616</v>
      </c>
      <c r="E831">
        <v>17926052284</v>
      </c>
      <c r="F831">
        <v>17940387900</v>
      </c>
      <c r="G831">
        <v>17616098355</v>
      </c>
      <c r="H831">
        <v>18274525740</v>
      </c>
      <c r="I831">
        <v>18189483188</v>
      </c>
      <c r="J831">
        <v>14696565933</v>
      </c>
      <c r="K831">
        <v>12778996733</v>
      </c>
      <c r="L831">
        <v>12299967371</v>
      </c>
      <c r="M831">
        <v>9488381284</v>
      </c>
      <c r="N831">
        <v>9958423385</v>
      </c>
      <c r="O831">
        <v>10320364147</v>
      </c>
      <c r="P831">
        <v>206</v>
      </c>
      <c r="Q831" t="s">
        <v>1892</v>
      </c>
    </row>
    <row r="832" spans="1:17" x14ac:dyDescent="0.3">
      <c r="A832" t="s">
        <v>47</v>
      </c>
      <c r="B832" t="str">
        <f>"002002"</f>
        <v>002002</v>
      </c>
      <c r="C832" t="s">
        <v>1893</v>
      </c>
      <c r="D832" t="s">
        <v>625</v>
      </c>
      <c r="E832">
        <v>17865125497</v>
      </c>
      <c r="F832">
        <v>17993617963</v>
      </c>
      <c r="G832">
        <v>17227115324</v>
      </c>
      <c r="H832">
        <v>13603029935</v>
      </c>
      <c r="I832">
        <v>14431405032</v>
      </c>
      <c r="J832">
        <v>12935181646</v>
      </c>
      <c r="K832">
        <v>12171966195</v>
      </c>
      <c r="L832">
        <v>10014835089</v>
      </c>
      <c r="M832">
        <v>7397687825</v>
      </c>
      <c r="N832">
        <v>317282205</v>
      </c>
      <c r="O832">
        <v>307986405</v>
      </c>
      <c r="P832">
        <v>451</v>
      </c>
      <c r="Q832" t="s">
        <v>1894</v>
      </c>
    </row>
    <row r="833" spans="1:17" x14ac:dyDescent="0.3">
      <c r="A833" t="s">
        <v>47</v>
      </c>
      <c r="B833" t="str">
        <f>"002717"</f>
        <v>002717</v>
      </c>
      <c r="C833" t="s">
        <v>1895</v>
      </c>
      <c r="D833" t="s">
        <v>952</v>
      </c>
      <c r="E833">
        <v>17862892384</v>
      </c>
      <c r="F833">
        <v>17861490491</v>
      </c>
      <c r="G833">
        <v>17911808536</v>
      </c>
      <c r="H833">
        <v>15960742210</v>
      </c>
      <c r="I833">
        <v>11433957204</v>
      </c>
      <c r="J833">
        <v>5096988573</v>
      </c>
      <c r="K833">
        <v>4129449025</v>
      </c>
      <c r="L833">
        <v>1905493684</v>
      </c>
      <c r="M833">
        <v>1497669766</v>
      </c>
      <c r="P833">
        <v>394</v>
      </c>
      <c r="Q833" t="s">
        <v>1896</v>
      </c>
    </row>
    <row r="834" spans="1:17" x14ac:dyDescent="0.3">
      <c r="A834" t="s">
        <v>47</v>
      </c>
      <c r="B834" t="str">
        <f>"000791"</f>
        <v>000791</v>
      </c>
      <c r="C834" t="s">
        <v>1897</v>
      </c>
      <c r="D834" t="s">
        <v>238</v>
      </c>
      <c r="E834">
        <v>17839590358</v>
      </c>
      <c r="F834">
        <v>18111943486</v>
      </c>
      <c r="G834">
        <v>19185158155</v>
      </c>
      <c r="H834">
        <v>18974872002</v>
      </c>
      <c r="I834">
        <v>18669816367</v>
      </c>
      <c r="J834">
        <v>18655522405</v>
      </c>
      <c r="K834">
        <v>21022137831</v>
      </c>
      <c r="L834">
        <v>13360934354</v>
      </c>
      <c r="M834">
        <v>13160611034</v>
      </c>
      <c r="N834">
        <v>12912817985</v>
      </c>
      <c r="O834">
        <v>719433575</v>
      </c>
      <c r="P834">
        <v>219</v>
      </c>
      <c r="Q834" t="s">
        <v>1898</v>
      </c>
    </row>
    <row r="835" spans="1:17" x14ac:dyDescent="0.3">
      <c r="A835" t="s">
        <v>17</v>
      </c>
      <c r="B835" t="str">
        <f>"603876"</f>
        <v>603876</v>
      </c>
      <c r="C835" t="s">
        <v>1899</v>
      </c>
      <c r="D835" t="s">
        <v>346</v>
      </c>
      <c r="E835">
        <v>17804252210</v>
      </c>
      <c r="F835">
        <v>15729165880</v>
      </c>
      <c r="G835">
        <v>14568190312</v>
      </c>
      <c r="H835">
        <v>9729326879</v>
      </c>
      <c r="I835">
        <v>8454346584</v>
      </c>
      <c r="P835">
        <v>143</v>
      </c>
      <c r="Q835" t="s">
        <v>1900</v>
      </c>
    </row>
    <row r="836" spans="1:17" x14ac:dyDescent="0.3">
      <c r="A836" t="s">
        <v>17</v>
      </c>
      <c r="B836" t="str">
        <f>"603363"</f>
        <v>603363</v>
      </c>
      <c r="C836" t="s">
        <v>1901</v>
      </c>
      <c r="D836" t="s">
        <v>1390</v>
      </c>
      <c r="E836">
        <v>17783216932</v>
      </c>
      <c r="F836">
        <v>15658346258</v>
      </c>
      <c r="G836">
        <v>5843280377</v>
      </c>
      <c r="H836">
        <v>3537430364</v>
      </c>
      <c r="I836">
        <v>3081700123</v>
      </c>
      <c r="P836">
        <v>310</v>
      </c>
      <c r="Q836" t="s">
        <v>1902</v>
      </c>
    </row>
    <row r="837" spans="1:17" x14ac:dyDescent="0.3">
      <c r="A837" t="s">
        <v>47</v>
      </c>
      <c r="B837" t="str">
        <f>"000829"</f>
        <v>000829</v>
      </c>
      <c r="C837" t="s">
        <v>1903</v>
      </c>
      <c r="D837" t="s">
        <v>1904</v>
      </c>
      <c r="E837">
        <v>17780797138</v>
      </c>
      <c r="F837">
        <v>15411947261</v>
      </c>
      <c r="G837">
        <v>14303680967</v>
      </c>
      <c r="H837">
        <v>13881277448</v>
      </c>
      <c r="I837">
        <v>13535287384</v>
      </c>
      <c r="J837">
        <v>12686094530</v>
      </c>
      <c r="K837">
        <v>11417820860</v>
      </c>
      <c r="L837">
        <v>11146726603</v>
      </c>
      <c r="M837">
        <v>13153720139</v>
      </c>
      <c r="N837">
        <v>9286213996</v>
      </c>
      <c r="O837">
        <v>9773183498</v>
      </c>
      <c r="P837">
        <v>187</v>
      </c>
      <c r="Q837" t="s">
        <v>1905</v>
      </c>
    </row>
    <row r="838" spans="1:17" x14ac:dyDescent="0.3">
      <c r="A838" t="s">
        <v>17</v>
      </c>
      <c r="B838" t="str">
        <f>"600035"</f>
        <v>600035</v>
      </c>
      <c r="C838" t="s">
        <v>1906</v>
      </c>
      <c r="D838" t="s">
        <v>471</v>
      </c>
      <c r="E838">
        <v>17779555005</v>
      </c>
      <c r="F838">
        <v>16116312485</v>
      </c>
      <c r="G838">
        <v>13135224778</v>
      </c>
      <c r="H838">
        <v>10632615668</v>
      </c>
      <c r="I838">
        <v>10757608565</v>
      </c>
      <c r="J838">
        <v>10854029469</v>
      </c>
      <c r="K838">
        <v>8854666478</v>
      </c>
      <c r="L838">
        <v>9128279525</v>
      </c>
      <c r="M838">
        <v>13077145430</v>
      </c>
      <c r="N838">
        <v>11814480074</v>
      </c>
      <c r="O838">
        <v>10952155698</v>
      </c>
      <c r="P838">
        <v>290</v>
      </c>
      <c r="Q838" t="s">
        <v>1907</v>
      </c>
    </row>
    <row r="839" spans="1:17" x14ac:dyDescent="0.3">
      <c r="A839" t="s">
        <v>47</v>
      </c>
      <c r="B839" t="str">
        <f>"002039"</f>
        <v>002039</v>
      </c>
      <c r="C839" t="s">
        <v>1908</v>
      </c>
      <c r="D839" t="s">
        <v>238</v>
      </c>
      <c r="E839">
        <v>17762094301</v>
      </c>
      <c r="F839">
        <v>17591357455</v>
      </c>
      <c r="G839">
        <v>15396240833</v>
      </c>
      <c r="H839">
        <v>16274205392</v>
      </c>
      <c r="I839">
        <v>16991975138</v>
      </c>
      <c r="J839">
        <v>17397051462</v>
      </c>
      <c r="K839">
        <v>18295502940</v>
      </c>
      <c r="L839">
        <v>18427805684</v>
      </c>
      <c r="M839">
        <v>17307340655</v>
      </c>
      <c r="N839">
        <v>16116999140</v>
      </c>
      <c r="O839">
        <v>15885902335</v>
      </c>
      <c r="P839">
        <v>431</v>
      </c>
      <c r="Q839" t="s">
        <v>1909</v>
      </c>
    </row>
    <row r="840" spans="1:17" x14ac:dyDescent="0.3">
      <c r="A840" t="s">
        <v>47</v>
      </c>
      <c r="B840" t="str">
        <f>"002044"</f>
        <v>002044</v>
      </c>
      <c r="C840" t="s">
        <v>1910</v>
      </c>
      <c r="D840" t="s">
        <v>1585</v>
      </c>
      <c r="E840">
        <v>17757343443</v>
      </c>
      <c r="F840">
        <v>19171346722</v>
      </c>
      <c r="G840">
        <v>17675847885</v>
      </c>
      <c r="H840">
        <v>16691235598</v>
      </c>
      <c r="I840">
        <v>12755072036</v>
      </c>
      <c r="J840">
        <v>6191304944</v>
      </c>
      <c r="K840">
        <v>4381213442</v>
      </c>
      <c r="L840">
        <v>584927518</v>
      </c>
      <c r="M840">
        <v>759329480</v>
      </c>
      <c r="N840">
        <v>695125923</v>
      </c>
      <c r="O840">
        <v>559291020</v>
      </c>
      <c r="P840">
        <v>1237</v>
      </c>
      <c r="Q840" t="s">
        <v>1911</v>
      </c>
    </row>
    <row r="841" spans="1:17" x14ac:dyDescent="0.3">
      <c r="A841" t="s">
        <v>47</v>
      </c>
      <c r="B841" t="str">
        <f>"002701"</f>
        <v>002701</v>
      </c>
      <c r="C841" t="s">
        <v>1912</v>
      </c>
      <c r="D841" t="s">
        <v>1913</v>
      </c>
      <c r="E841">
        <v>17745589430</v>
      </c>
      <c r="F841">
        <v>15806444160</v>
      </c>
      <c r="G841">
        <v>15022046199</v>
      </c>
      <c r="H841">
        <v>13835070940</v>
      </c>
      <c r="I841">
        <v>14158424272</v>
      </c>
      <c r="J841">
        <v>15025349491</v>
      </c>
      <c r="K841">
        <v>11686061095</v>
      </c>
      <c r="L841">
        <v>7455591337</v>
      </c>
      <c r="M841">
        <v>6045245342</v>
      </c>
      <c r="N841">
        <v>4849787940</v>
      </c>
      <c r="P841">
        <v>1656</v>
      </c>
      <c r="Q841" t="s">
        <v>1914</v>
      </c>
    </row>
    <row r="842" spans="1:17" x14ac:dyDescent="0.3">
      <c r="A842" t="s">
        <v>17</v>
      </c>
      <c r="B842" t="str">
        <f>"601099"</f>
        <v>601099</v>
      </c>
      <c r="C842" t="s">
        <v>1915</v>
      </c>
      <c r="D842" t="s">
        <v>99</v>
      </c>
      <c r="E842">
        <v>17736793133</v>
      </c>
      <c r="F842">
        <v>22960616351</v>
      </c>
      <c r="G842">
        <v>31934811209</v>
      </c>
      <c r="H842">
        <v>42552811780</v>
      </c>
      <c r="I842">
        <v>47917258761</v>
      </c>
      <c r="J842">
        <v>41342996934</v>
      </c>
      <c r="K842">
        <v>39190721510</v>
      </c>
      <c r="L842">
        <v>18700275488</v>
      </c>
      <c r="M842">
        <v>5333021556</v>
      </c>
      <c r="N842">
        <v>4491810824</v>
      </c>
      <c r="O842">
        <v>5372111769</v>
      </c>
      <c r="P842">
        <v>738</v>
      </c>
      <c r="Q842" t="s">
        <v>1916</v>
      </c>
    </row>
    <row r="843" spans="1:17" x14ac:dyDescent="0.3">
      <c r="A843" t="s">
        <v>17</v>
      </c>
      <c r="B843" t="str">
        <f>"603233"</f>
        <v>603233</v>
      </c>
      <c r="C843" t="s">
        <v>1917</v>
      </c>
      <c r="D843" t="s">
        <v>1852</v>
      </c>
      <c r="E843">
        <v>17719840169</v>
      </c>
      <c r="F843">
        <v>15506606931</v>
      </c>
      <c r="G843">
        <v>9165407244</v>
      </c>
      <c r="H843">
        <v>6912014597</v>
      </c>
      <c r="I843">
        <v>5664048219</v>
      </c>
      <c r="J843">
        <v>3701854702</v>
      </c>
      <c r="P843">
        <v>1786</v>
      </c>
      <c r="Q843" t="s">
        <v>1918</v>
      </c>
    </row>
    <row r="844" spans="1:17" x14ac:dyDescent="0.3">
      <c r="A844" t="s">
        <v>47</v>
      </c>
      <c r="B844" t="str">
        <f>"300418"</f>
        <v>300418</v>
      </c>
      <c r="C844" t="s">
        <v>1919</v>
      </c>
      <c r="D844" t="s">
        <v>1032</v>
      </c>
      <c r="E844">
        <v>17695484774</v>
      </c>
      <c r="F844">
        <v>17392229999</v>
      </c>
      <c r="G844">
        <v>10989947666</v>
      </c>
      <c r="H844">
        <v>9759424178</v>
      </c>
      <c r="I844">
        <v>11472151566</v>
      </c>
      <c r="J844">
        <v>7387354628</v>
      </c>
      <c r="K844">
        <v>4828662443</v>
      </c>
      <c r="L844">
        <v>2836785551</v>
      </c>
      <c r="P844">
        <v>17528</v>
      </c>
      <c r="Q844" t="s">
        <v>1920</v>
      </c>
    </row>
    <row r="845" spans="1:17" x14ac:dyDescent="0.3">
      <c r="A845" t="s">
        <v>47</v>
      </c>
      <c r="B845" t="str">
        <f>"000155"</f>
        <v>000155</v>
      </c>
      <c r="C845" t="s">
        <v>1921</v>
      </c>
      <c r="D845" t="s">
        <v>298</v>
      </c>
      <c r="E845">
        <v>17667127825</v>
      </c>
      <c r="F845">
        <v>10716345634</v>
      </c>
      <c r="G845">
        <v>7377986957</v>
      </c>
      <c r="H845">
        <v>7339163145</v>
      </c>
      <c r="I845">
        <v>7249648082</v>
      </c>
      <c r="J845">
        <v>3017941379</v>
      </c>
      <c r="K845">
        <v>665709012</v>
      </c>
      <c r="L845">
        <v>1302434930</v>
      </c>
      <c r="M845">
        <v>2839382577</v>
      </c>
      <c r="N845">
        <v>3130209906</v>
      </c>
      <c r="O845">
        <v>3054289933</v>
      </c>
      <c r="P845">
        <v>309</v>
      </c>
      <c r="Q845" t="s">
        <v>1922</v>
      </c>
    </row>
    <row r="846" spans="1:17" x14ac:dyDescent="0.3">
      <c r="A846" t="s">
        <v>47</v>
      </c>
      <c r="B846" t="str">
        <f>"002961"</f>
        <v>002961</v>
      </c>
      <c r="C846" t="s">
        <v>1923</v>
      </c>
      <c r="D846" t="s">
        <v>689</v>
      </c>
      <c r="E846">
        <v>17624020909</v>
      </c>
      <c r="F846">
        <v>13604427126</v>
      </c>
      <c r="G846">
        <v>6528602004</v>
      </c>
      <c r="P846">
        <v>121</v>
      </c>
      <c r="Q846" t="s">
        <v>1924</v>
      </c>
    </row>
    <row r="847" spans="1:17" x14ac:dyDescent="0.3">
      <c r="A847" t="s">
        <v>17</v>
      </c>
      <c r="B847" t="str">
        <f>"600231"</f>
        <v>600231</v>
      </c>
      <c r="C847" t="s">
        <v>1925</v>
      </c>
      <c r="D847" t="s">
        <v>928</v>
      </c>
      <c r="E847">
        <v>17617074009</v>
      </c>
      <c r="F847">
        <v>16814562526</v>
      </c>
      <c r="G847">
        <v>15812718339</v>
      </c>
      <c r="H847">
        <v>15579863090</v>
      </c>
      <c r="I847">
        <v>15096284233</v>
      </c>
      <c r="J847">
        <v>15703968108</v>
      </c>
      <c r="K847">
        <v>15288182668</v>
      </c>
      <c r="L847">
        <v>13881366967</v>
      </c>
      <c r="M847">
        <v>14076586990</v>
      </c>
      <c r="N847">
        <v>13144819957</v>
      </c>
      <c r="O847">
        <v>11732211086</v>
      </c>
      <c r="P847">
        <v>187</v>
      </c>
      <c r="Q847" t="s">
        <v>1926</v>
      </c>
    </row>
    <row r="848" spans="1:17" x14ac:dyDescent="0.3">
      <c r="A848" t="s">
        <v>47</v>
      </c>
      <c r="B848" t="str">
        <f>"002431"</f>
        <v>002431</v>
      </c>
      <c r="C848" t="s">
        <v>1927</v>
      </c>
      <c r="D848" t="s">
        <v>952</v>
      </c>
      <c r="E848">
        <v>17563439849</v>
      </c>
      <c r="F848">
        <v>15881496932</v>
      </c>
      <c r="G848">
        <v>16454160742</v>
      </c>
      <c r="H848">
        <v>17248202104</v>
      </c>
      <c r="I848">
        <v>16140283073</v>
      </c>
      <c r="J848">
        <v>13228588067</v>
      </c>
      <c r="K848">
        <v>11744781951</v>
      </c>
      <c r="L848">
        <v>10063868510</v>
      </c>
      <c r="M848">
        <v>7113971694</v>
      </c>
      <c r="N848">
        <v>4872150523</v>
      </c>
      <c r="O848">
        <v>4154683044</v>
      </c>
      <c r="P848">
        <v>124</v>
      </c>
      <c r="Q848" t="s">
        <v>1928</v>
      </c>
    </row>
    <row r="849" spans="1:17" x14ac:dyDescent="0.3">
      <c r="A849" t="s">
        <v>17</v>
      </c>
      <c r="B849" t="str">
        <f>"600328"</f>
        <v>600328</v>
      </c>
      <c r="C849" t="s">
        <v>1929</v>
      </c>
      <c r="D849" t="s">
        <v>1930</v>
      </c>
      <c r="E849">
        <v>17557536918</v>
      </c>
      <c r="F849">
        <v>13771828887</v>
      </c>
      <c r="G849">
        <v>14214268868</v>
      </c>
      <c r="H849">
        <v>7152062025</v>
      </c>
      <c r="I849">
        <v>6907777596</v>
      </c>
      <c r="J849">
        <v>6563411930</v>
      </c>
      <c r="K849">
        <v>6734816578</v>
      </c>
      <c r="L849">
        <v>6981218418</v>
      </c>
      <c r="M849">
        <v>7135408985</v>
      </c>
      <c r="N849">
        <v>6698951384</v>
      </c>
      <c r="O849">
        <v>6225847795</v>
      </c>
      <c r="P849">
        <v>263</v>
      </c>
      <c r="Q849" t="s">
        <v>1931</v>
      </c>
    </row>
    <row r="850" spans="1:17" x14ac:dyDescent="0.3">
      <c r="A850" t="s">
        <v>47</v>
      </c>
      <c r="B850" t="str">
        <f>"300244"</f>
        <v>300244</v>
      </c>
      <c r="C850" t="s">
        <v>1932</v>
      </c>
      <c r="D850" t="s">
        <v>1933</v>
      </c>
      <c r="E850">
        <v>17544541618</v>
      </c>
      <c r="F850">
        <v>13371422152</v>
      </c>
      <c r="G850">
        <v>10800922874</v>
      </c>
      <c r="H850">
        <v>10688104917</v>
      </c>
      <c r="I850">
        <v>7302825876</v>
      </c>
      <c r="J850">
        <v>5771209195</v>
      </c>
      <c r="K850">
        <v>3204698147</v>
      </c>
      <c r="L850">
        <v>1339766253</v>
      </c>
      <c r="M850">
        <v>775176315</v>
      </c>
      <c r="N850">
        <v>731616996</v>
      </c>
      <c r="O850">
        <v>606448439</v>
      </c>
      <c r="P850">
        <v>1268</v>
      </c>
      <c r="Q850" t="s">
        <v>1934</v>
      </c>
    </row>
    <row r="851" spans="1:17" x14ac:dyDescent="0.3">
      <c r="A851" t="s">
        <v>47</v>
      </c>
      <c r="B851" t="str">
        <f>"002062"</f>
        <v>002062</v>
      </c>
      <c r="C851" t="s">
        <v>1935</v>
      </c>
      <c r="D851" t="s">
        <v>84</v>
      </c>
      <c r="E851">
        <v>17534079904</v>
      </c>
      <c r="F851">
        <v>17107841136</v>
      </c>
      <c r="G851">
        <v>15398015796</v>
      </c>
      <c r="H851">
        <v>14708396367</v>
      </c>
      <c r="I851">
        <v>12772684380</v>
      </c>
      <c r="J851">
        <v>12709364029</v>
      </c>
      <c r="K851">
        <v>14419910612</v>
      </c>
      <c r="L851">
        <v>13569091028</v>
      </c>
      <c r="M851">
        <v>12357958970</v>
      </c>
      <c r="N851">
        <v>11470017353</v>
      </c>
      <c r="O851">
        <v>9874399006</v>
      </c>
      <c r="P851">
        <v>145</v>
      </c>
      <c r="Q851" t="s">
        <v>1936</v>
      </c>
    </row>
    <row r="852" spans="1:17" x14ac:dyDescent="0.3">
      <c r="A852" t="s">
        <v>17</v>
      </c>
      <c r="B852" t="str">
        <f>"600996"</f>
        <v>600996</v>
      </c>
      <c r="C852" t="s">
        <v>1937</v>
      </c>
      <c r="D852" t="s">
        <v>973</v>
      </c>
      <c r="E852">
        <v>17533268828</v>
      </c>
      <c r="F852">
        <v>16330837739</v>
      </c>
      <c r="G852">
        <v>14697708480</v>
      </c>
      <c r="H852">
        <v>14566582990</v>
      </c>
      <c r="I852">
        <v>9119382891</v>
      </c>
      <c r="J852">
        <v>6379852295</v>
      </c>
      <c r="P852">
        <v>244</v>
      </c>
      <c r="Q852" t="s">
        <v>1938</v>
      </c>
    </row>
    <row r="853" spans="1:17" x14ac:dyDescent="0.3">
      <c r="A853" t="s">
        <v>17</v>
      </c>
      <c r="B853" t="str">
        <f>"600429"</f>
        <v>600429</v>
      </c>
      <c r="C853" t="s">
        <v>1939</v>
      </c>
      <c r="D853" t="s">
        <v>487</v>
      </c>
      <c r="E853">
        <v>17532354214</v>
      </c>
      <c r="F853">
        <v>13325668712</v>
      </c>
      <c r="G853">
        <v>13708002125</v>
      </c>
      <c r="H853">
        <v>13443304637</v>
      </c>
      <c r="I853">
        <v>14008172052</v>
      </c>
      <c r="J853">
        <v>7571717241</v>
      </c>
      <c r="K853">
        <v>7604100778</v>
      </c>
      <c r="L853">
        <v>7437476390</v>
      </c>
      <c r="M853">
        <v>3659874947</v>
      </c>
      <c r="N853">
        <v>3639112340</v>
      </c>
      <c r="O853">
        <v>3338326706</v>
      </c>
      <c r="P853">
        <v>494</v>
      </c>
      <c r="Q853" t="s">
        <v>1940</v>
      </c>
    </row>
    <row r="854" spans="1:17" x14ac:dyDescent="0.3">
      <c r="A854" t="s">
        <v>17</v>
      </c>
      <c r="B854" t="str">
        <f>"600138"</f>
        <v>600138</v>
      </c>
      <c r="C854" t="s">
        <v>1941</v>
      </c>
      <c r="D854" t="s">
        <v>1942</v>
      </c>
      <c r="E854">
        <v>17467834242</v>
      </c>
      <c r="F854">
        <v>17162484617</v>
      </c>
      <c r="G854">
        <v>16338688999</v>
      </c>
      <c r="H854">
        <v>14709682637</v>
      </c>
      <c r="I854">
        <v>12612450505</v>
      </c>
      <c r="J854">
        <v>11029688227</v>
      </c>
      <c r="K854">
        <v>9455401954</v>
      </c>
      <c r="L854">
        <v>8617476561</v>
      </c>
      <c r="M854">
        <v>8287898683</v>
      </c>
      <c r="N854">
        <v>7823427598</v>
      </c>
      <c r="O854">
        <v>8192397800</v>
      </c>
      <c r="P854">
        <v>486</v>
      </c>
      <c r="Q854" t="s">
        <v>1943</v>
      </c>
    </row>
    <row r="855" spans="1:17" x14ac:dyDescent="0.3">
      <c r="A855" t="s">
        <v>17</v>
      </c>
      <c r="B855" t="str">
        <f>"603568"</f>
        <v>603568</v>
      </c>
      <c r="C855" t="s">
        <v>1944</v>
      </c>
      <c r="D855" t="s">
        <v>1310</v>
      </c>
      <c r="E855">
        <v>17374618177</v>
      </c>
      <c r="F855">
        <v>11028660674</v>
      </c>
      <c r="G855">
        <v>7138508661</v>
      </c>
      <c r="H855">
        <v>5698408020</v>
      </c>
      <c r="I855">
        <v>4143627545</v>
      </c>
      <c r="J855">
        <v>3602204940</v>
      </c>
      <c r="K855">
        <v>3170200110</v>
      </c>
      <c r="L855">
        <v>2815750020</v>
      </c>
      <c r="P855">
        <v>16270</v>
      </c>
      <c r="Q855" t="s">
        <v>1945</v>
      </c>
    </row>
    <row r="856" spans="1:17" x14ac:dyDescent="0.3">
      <c r="A856" t="s">
        <v>17</v>
      </c>
      <c r="B856" t="str">
        <f>"600392"</f>
        <v>600392</v>
      </c>
      <c r="C856" t="s">
        <v>1946</v>
      </c>
      <c r="D856" t="s">
        <v>1148</v>
      </c>
      <c r="E856">
        <v>17350793481</v>
      </c>
      <c r="F856">
        <v>13294495518</v>
      </c>
      <c r="G856">
        <v>9668562167</v>
      </c>
      <c r="H856">
        <v>9172836745</v>
      </c>
      <c r="I856">
        <v>8914013739</v>
      </c>
      <c r="J856">
        <v>8686199559</v>
      </c>
      <c r="K856">
        <v>2420944166</v>
      </c>
      <c r="L856">
        <v>1690980336</v>
      </c>
      <c r="M856">
        <v>1478313425</v>
      </c>
      <c r="N856">
        <v>1129448268</v>
      </c>
      <c r="O856">
        <v>871802559</v>
      </c>
      <c r="P856">
        <v>439</v>
      </c>
      <c r="Q856" t="s">
        <v>1947</v>
      </c>
    </row>
    <row r="857" spans="1:17" x14ac:dyDescent="0.3">
      <c r="A857" t="s">
        <v>47</v>
      </c>
      <c r="B857" t="str">
        <f>"000400"</f>
        <v>000400</v>
      </c>
      <c r="C857" t="s">
        <v>1948</v>
      </c>
      <c r="D857" t="s">
        <v>679</v>
      </c>
      <c r="E857">
        <v>17315293754</v>
      </c>
      <c r="F857">
        <v>16245224426</v>
      </c>
      <c r="G857">
        <v>15112517124</v>
      </c>
      <c r="H857">
        <v>14319070625</v>
      </c>
      <c r="I857">
        <v>14503752011</v>
      </c>
      <c r="J857">
        <v>13943459922</v>
      </c>
      <c r="K857">
        <v>12381466862</v>
      </c>
      <c r="L857">
        <v>10444304139</v>
      </c>
      <c r="M857">
        <v>10065585361</v>
      </c>
      <c r="N857">
        <v>7061564755</v>
      </c>
      <c r="O857">
        <v>6952922012</v>
      </c>
      <c r="P857">
        <v>688</v>
      </c>
      <c r="Q857" t="s">
        <v>1949</v>
      </c>
    </row>
    <row r="858" spans="1:17" x14ac:dyDescent="0.3">
      <c r="A858" t="s">
        <v>17</v>
      </c>
      <c r="B858" t="str">
        <f>"603939"</f>
        <v>603939</v>
      </c>
      <c r="C858" t="s">
        <v>1950</v>
      </c>
      <c r="D858" t="s">
        <v>1852</v>
      </c>
      <c r="E858">
        <v>17300655940</v>
      </c>
      <c r="F858">
        <v>15759608043</v>
      </c>
      <c r="G858">
        <v>9800625665</v>
      </c>
      <c r="H858">
        <v>8045928716</v>
      </c>
      <c r="I858">
        <v>5107282614</v>
      </c>
      <c r="J858">
        <v>4240702774</v>
      </c>
      <c r="K858">
        <v>2462774052</v>
      </c>
      <c r="L858">
        <v>2107776501</v>
      </c>
      <c r="P858">
        <v>1482</v>
      </c>
      <c r="Q858" t="s">
        <v>1951</v>
      </c>
    </row>
    <row r="859" spans="1:17" x14ac:dyDescent="0.3">
      <c r="A859" t="s">
        <v>17</v>
      </c>
      <c r="B859" t="str">
        <f>"600316"</f>
        <v>600316</v>
      </c>
      <c r="C859" t="s">
        <v>1952</v>
      </c>
      <c r="D859" t="s">
        <v>570</v>
      </c>
      <c r="E859">
        <v>17247263002</v>
      </c>
      <c r="F859">
        <v>9339488611</v>
      </c>
      <c r="G859">
        <v>8970263548</v>
      </c>
      <c r="H859">
        <v>8756313417</v>
      </c>
      <c r="I859">
        <v>9594574848</v>
      </c>
      <c r="J859">
        <v>10601195753</v>
      </c>
      <c r="K859">
        <v>11044025825</v>
      </c>
      <c r="L859">
        <v>9153185556</v>
      </c>
      <c r="M859">
        <v>7478760711</v>
      </c>
      <c r="N859">
        <v>6440271732</v>
      </c>
      <c r="O859">
        <v>5983364460</v>
      </c>
      <c r="P859">
        <v>387</v>
      </c>
      <c r="Q859" t="s">
        <v>1953</v>
      </c>
    </row>
    <row r="860" spans="1:17" x14ac:dyDescent="0.3">
      <c r="A860" t="s">
        <v>47</v>
      </c>
      <c r="B860" t="str">
        <f>"002444"</f>
        <v>002444</v>
      </c>
      <c r="C860" t="s">
        <v>1954</v>
      </c>
      <c r="D860" t="s">
        <v>1433</v>
      </c>
      <c r="E860">
        <v>17221262999</v>
      </c>
      <c r="F860">
        <v>13764961590</v>
      </c>
      <c r="G860">
        <v>11166614909</v>
      </c>
      <c r="H860">
        <v>9578904316</v>
      </c>
      <c r="I860">
        <v>7572529795</v>
      </c>
      <c r="J860">
        <v>7218116668</v>
      </c>
      <c r="K860">
        <v>6803996638</v>
      </c>
      <c r="L860">
        <v>5487068033</v>
      </c>
      <c r="M860">
        <v>4893179996</v>
      </c>
      <c r="N860">
        <v>3859504649</v>
      </c>
      <c r="O860">
        <v>3188026981</v>
      </c>
      <c r="P860">
        <v>656</v>
      </c>
      <c r="Q860" t="s">
        <v>1955</v>
      </c>
    </row>
    <row r="861" spans="1:17" x14ac:dyDescent="0.3">
      <c r="A861" t="s">
        <v>17</v>
      </c>
      <c r="B861" t="str">
        <f>"601368"</f>
        <v>601368</v>
      </c>
      <c r="C861" t="s">
        <v>1956</v>
      </c>
      <c r="D861" t="s">
        <v>520</v>
      </c>
      <c r="E861">
        <v>17214493151</v>
      </c>
      <c r="F861">
        <v>15507080141</v>
      </c>
      <c r="G861">
        <v>12913999772</v>
      </c>
      <c r="H861">
        <v>9752692810</v>
      </c>
      <c r="I861">
        <v>8275060048</v>
      </c>
      <c r="J861">
        <v>7466685556</v>
      </c>
      <c r="K861">
        <v>6983370018</v>
      </c>
      <c r="L861">
        <v>6604739287</v>
      </c>
      <c r="P861">
        <v>109</v>
      </c>
      <c r="Q861" t="s">
        <v>1957</v>
      </c>
    </row>
    <row r="862" spans="1:17" x14ac:dyDescent="0.3">
      <c r="A862" t="s">
        <v>47</v>
      </c>
      <c r="B862" t="str">
        <f>"002085"</f>
        <v>002085</v>
      </c>
      <c r="C862" t="s">
        <v>1958</v>
      </c>
      <c r="D862" t="s">
        <v>1102</v>
      </c>
      <c r="E862">
        <v>17168167389</v>
      </c>
      <c r="F862">
        <v>15982125234</v>
      </c>
      <c r="G862">
        <v>13186115831</v>
      </c>
      <c r="H862">
        <v>13682355032</v>
      </c>
      <c r="I862">
        <v>10077066979</v>
      </c>
      <c r="J862">
        <v>9452155693</v>
      </c>
      <c r="K862">
        <v>8838680602</v>
      </c>
      <c r="L862">
        <v>5146755129</v>
      </c>
      <c r="M862">
        <v>4173590254</v>
      </c>
      <c r="N862">
        <v>3200648616</v>
      </c>
      <c r="O862">
        <v>2720514753</v>
      </c>
      <c r="P862">
        <v>1527</v>
      </c>
      <c r="Q862" t="s">
        <v>1959</v>
      </c>
    </row>
    <row r="863" spans="1:17" x14ac:dyDescent="0.3">
      <c r="A863" t="s">
        <v>47</v>
      </c>
      <c r="B863" t="str">
        <f>"300115"</f>
        <v>300115</v>
      </c>
      <c r="C863" t="s">
        <v>1960</v>
      </c>
      <c r="D863" t="s">
        <v>283</v>
      </c>
      <c r="E863">
        <v>17102852423</v>
      </c>
      <c r="F863">
        <v>15164986460</v>
      </c>
      <c r="G863">
        <v>9678910789</v>
      </c>
      <c r="H863">
        <v>9847721959</v>
      </c>
      <c r="I863">
        <v>10069603637</v>
      </c>
      <c r="J863">
        <v>7822369248</v>
      </c>
      <c r="K863">
        <v>5290624383</v>
      </c>
      <c r="L863">
        <v>4972570489</v>
      </c>
      <c r="M863">
        <v>2409911715</v>
      </c>
      <c r="N863">
        <v>1983539399</v>
      </c>
      <c r="O863">
        <v>1539503665</v>
      </c>
      <c r="P863">
        <v>870</v>
      </c>
      <c r="Q863" t="s">
        <v>1961</v>
      </c>
    </row>
    <row r="864" spans="1:17" x14ac:dyDescent="0.3">
      <c r="A864" t="s">
        <v>47</v>
      </c>
      <c r="B864" t="str">
        <f>"002100"</f>
        <v>002100</v>
      </c>
      <c r="C864" t="s">
        <v>1962</v>
      </c>
      <c r="D864" t="s">
        <v>1390</v>
      </c>
      <c r="E864">
        <v>17090267464</v>
      </c>
      <c r="F864">
        <v>15942521786</v>
      </c>
      <c r="G864">
        <v>11609154321</v>
      </c>
      <c r="H864">
        <v>9486857083</v>
      </c>
      <c r="I864">
        <v>6014309305</v>
      </c>
      <c r="J864">
        <v>4453599016</v>
      </c>
      <c r="K864">
        <v>3882445811</v>
      </c>
      <c r="L864">
        <v>3093249307</v>
      </c>
      <c r="M864">
        <v>2769756979</v>
      </c>
      <c r="N864">
        <v>2404281550</v>
      </c>
      <c r="O864">
        <v>2258146789</v>
      </c>
      <c r="P864">
        <v>737</v>
      </c>
      <c r="Q864" t="s">
        <v>1963</v>
      </c>
    </row>
    <row r="865" spans="1:17" x14ac:dyDescent="0.3">
      <c r="A865" t="s">
        <v>47</v>
      </c>
      <c r="B865" t="str">
        <f>"002941"</f>
        <v>002941</v>
      </c>
      <c r="C865" t="s">
        <v>1964</v>
      </c>
      <c r="D865" t="s">
        <v>84</v>
      </c>
      <c r="E865">
        <v>17004043484</v>
      </c>
      <c r="F865">
        <v>14316130515</v>
      </c>
      <c r="G865">
        <v>11159248867</v>
      </c>
      <c r="H865">
        <v>9776183463</v>
      </c>
      <c r="P865">
        <v>145</v>
      </c>
      <c r="Q865" t="s">
        <v>1965</v>
      </c>
    </row>
    <row r="866" spans="1:17" x14ac:dyDescent="0.3">
      <c r="A866" t="s">
        <v>47</v>
      </c>
      <c r="B866" t="str">
        <f>"002624"</f>
        <v>002624</v>
      </c>
      <c r="C866" t="s">
        <v>1966</v>
      </c>
      <c r="D866" t="s">
        <v>1032</v>
      </c>
      <c r="E866">
        <v>16979927963</v>
      </c>
      <c r="F866">
        <v>17144601403</v>
      </c>
      <c r="G866">
        <v>16123925277</v>
      </c>
      <c r="H866">
        <v>16015933797</v>
      </c>
      <c r="I866">
        <v>16094042808</v>
      </c>
      <c r="J866">
        <v>16412203008</v>
      </c>
      <c r="K866">
        <v>4201693272</v>
      </c>
      <c r="L866">
        <v>1739219894</v>
      </c>
      <c r="M866">
        <v>792201915</v>
      </c>
      <c r="N866">
        <v>695506295</v>
      </c>
      <c r="O866">
        <v>650996223</v>
      </c>
      <c r="P866">
        <v>2399</v>
      </c>
      <c r="Q866" t="s">
        <v>1967</v>
      </c>
    </row>
    <row r="867" spans="1:17" x14ac:dyDescent="0.3">
      <c r="A867" t="s">
        <v>47</v>
      </c>
      <c r="B867" t="str">
        <f>"000563"</f>
        <v>000563</v>
      </c>
      <c r="C867" t="s">
        <v>1968</v>
      </c>
      <c r="D867" t="s">
        <v>1064</v>
      </c>
      <c r="E867">
        <v>16973784936</v>
      </c>
      <c r="F867">
        <v>15900846810</v>
      </c>
      <c r="G867">
        <v>13887558538</v>
      </c>
      <c r="H867">
        <v>12336419338</v>
      </c>
      <c r="I867">
        <v>9426660559</v>
      </c>
      <c r="J867">
        <v>10286075932</v>
      </c>
      <c r="K867">
        <v>8189282056</v>
      </c>
      <c r="L867">
        <v>4565004699</v>
      </c>
      <c r="M867">
        <v>3992268116</v>
      </c>
      <c r="N867">
        <v>3589799900</v>
      </c>
      <c r="O867">
        <v>1210230945</v>
      </c>
      <c r="P867">
        <v>205</v>
      </c>
      <c r="Q867" t="s">
        <v>1969</v>
      </c>
    </row>
    <row r="868" spans="1:17" x14ac:dyDescent="0.3">
      <c r="A868" t="s">
        <v>17</v>
      </c>
      <c r="B868" t="str">
        <f>"603368"</f>
        <v>603368</v>
      </c>
      <c r="C868" t="s">
        <v>1970</v>
      </c>
      <c r="D868" t="s">
        <v>362</v>
      </c>
      <c r="E868">
        <v>16959060424</v>
      </c>
      <c r="F868">
        <v>15110933400</v>
      </c>
      <c r="G868">
        <v>13360542746</v>
      </c>
      <c r="H868">
        <v>11239782406</v>
      </c>
      <c r="I868">
        <v>8273601943</v>
      </c>
      <c r="J868">
        <v>6537938503</v>
      </c>
      <c r="K868">
        <v>5814272707</v>
      </c>
      <c r="L868">
        <v>3656209035</v>
      </c>
      <c r="P868">
        <v>532</v>
      </c>
      <c r="Q868" t="s">
        <v>1971</v>
      </c>
    </row>
    <row r="869" spans="1:17" x14ac:dyDescent="0.3">
      <c r="A869" t="s">
        <v>17</v>
      </c>
      <c r="B869" t="str">
        <f>"600579"</f>
        <v>600579</v>
      </c>
      <c r="C869" t="s">
        <v>1972</v>
      </c>
      <c r="D869" t="s">
        <v>1973</v>
      </c>
      <c r="E869">
        <v>16958002440</v>
      </c>
      <c r="F869">
        <v>15951975010</v>
      </c>
      <c r="G869">
        <v>16035758485</v>
      </c>
      <c r="H869">
        <v>15894957726</v>
      </c>
      <c r="I869">
        <v>1647210589</v>
      </c>
      <c r="J869">
        <v>1641680744</v>
      </c>
      <c r="K869">
        <v>1379243610</v>
      </c>
      <c r="L869">
        <v>1290009302</v>
      </c>
      <c r="M869">
        <v>1351617092</v>
      </c>
      <c r="N869">
        <v>864053291</v>
      </c>
      <c r="O869">
        <v>1185615079</v>
      </c>
      <c r="P869">
        <v>72</v>
      </c>
      <c r="Q869" t="s">
        <v>1974</v>
      </c>
    </row>
    <row r="870" spans="1:17" x14ac:dyDescent="0.3">
      <c r="A870" t="s">
        <v>17</v>
      </c>
      <c r="B870" t="str">
        <f>"688012"</f>
        <v>688012</v>
      </c>
      <c r="C870" t="s">
        <v>1975</v>
      </c>
      <c r="D870" t="s">
        <v>1252</v>
      </c>
      <c r="E870">
        <v>16957460264</v>
      </c>
      <c r="F870">
        <v>5903769115</v>
      </c>
      <c r="G870">
        <v>5220302537</v>
      </c>
      <c r="H870">
        <v>3443113321</v>
      </c>
      <c r="P870">
        <v>620</v>
      </c>
      <c r="Q870" t="s">
        <v>1976</v>
      </c>
    </row>
    <row r="871" spans="1:17" x14ac:dyDescent="0.3">
      <c r="A871" t="s">
        <v>17</v>
      </c>
      <c r="B871" t="str">
        <f>"600984"</f>
        <v>600984</v>
      </c>
      <c r="C871" t="s">
        <v>1977</v>
      </c>
      <c r="D871" t="s">
        <v>429</v>
      </c>
      <c r="E871">
        <v>16937221028</v>
      </c>
      <c r="F871">
        <v>15134821148</v>
      </c>
      <c r="G871">
        <v>10164051630</v>
      </c>
      <c r="H871">
        <v>8040605726</v>
      </c>
      <c r="I871">
        <v>6787942354</v>
      </c>
      <c r="J871">
        <v>5557161810</v>
      </c>
      <c r="K871">
        <v>5005050667</v>
      </c>
      <c r="L871">
        <v>1021834602</v>
      </c>
      <c r="M871">
        <v>1076051809</v>
      </c>
      <c r="N871">
        <v>983952889</v>
      </c>
      <c r="O871">
        <v>830879091</v>
      </c>
      <c r="P871">
        <v>279</v>
      </c>
      <c r="Q871" t="s">
        <v>1978</v>
      </c>
    </row>
    <row r="872" spans="1:17" x14ac:dyDescent="0.3">
      <c r="A872" t="s">
        <v>17</v>
      </c>
      <c r="B872" t="str">
        <f>"600033"</f>
        <v>600033</v>
      </c>
      <c r="C872" t="s">
        <v>1979</v>
      </c>
      <c r="D872" t="s">
        <v>471</v>
      </c>
      <c r="E872">
        <v>16903600213</v>
      </c>
      <c r="F872">
        <v>16567448911</v>
      </c>
      <c r="G872">
        <v>17057932009</v>
      </c>
      <c r="H872">
        <v>17709769671</v>
      </c>
      <c r="I872">
        <v>17818366302</v>
      </c>
      <c r="J872">
        <v>18170815582</v>
      </c>
      <c r="K872">
        <v>18506709047</v>
      </c>
      <c r="L872">
        <v>19120469913</v>
      </c>
      <c r="M872">
        <v>19129191348</v>
      </c>
      <c r="N872">
        <v>19581995003</v>
      </c>
      <c r="O872">
        <v>20301001392</v>
      </c>
      <c r="P872">
        <v>397</v>
      </c>
      <c r="Q872" t="s">
        <v>1980</v>
      </c>
    </row>
    <row r="873" spans="1:17" x14ac:dyDescent="0.3">
      <c r="A873" t="s">
        <v>17</v>
      </c>
      <c r="B873" t="str">
        <f>"600499"</f>
        <v>600499</v>
      </c>
      <c r="C873" t="s">
        <v>1981</v>
      </c>
      <c r="D873" t="s">
        <v>1973</v>
      </c>
      <c r="E873">
        <v>16892277100</v>
      </c>
      <c r="F873">
        <v>13916240348</v>
      </c>
      <c r="G873">
        <v>12704214785</v>
      </c>
      <c r="H873">
        <v>12674297898</v>
      </c>
      <c r="I873">
        <v>12812837546</v>
      </c>
      <c r="J873">
        <v>8743126452</v>
      </c>
      <c r="K873">
        <v>8216775781</v>
      </c>
      <c r="L873">
        <v>7748131624</v>
      </c>
      <c r="M873">
        <v>7430484755</v>
      </c>
      <c r="N873">
        <v>5411450386</v>
      </c>
      <c r="O873">
        <v>4593913812</v>
      </c>
      <c r="P873">
        <v>246</v>
      </c>
      <c r="Q873" t="s">
        <v>1982</v>
      </c>
    </row>
    <row r="874" spans="1:17" x14ac:dyDescent="0.3">
      <c r="A874" t="s">
        <v>47</v>
      </c>
      <c r="B874" t="str">
        <f>"000559"</f>
        <v>000559</v>
      </c>
      <c r="C874" t="s">
        <v>1983</v>
      </c>
      <c r="D874" t="s">
        <v>274</v>
      </c>
      <c r="E874">
        <v>16855327022</v>
      </c>
      <c r="F874">
        <v>15968449539</v>
      </c>
      <c r="G874">
        <v>12014784819</v>
      </c>
      <c r="H874">
        <v>11994364787</v>
      </c>
      <c r="I874">
        <v>11758176587</v>
      </c>
      <c r="J874">
        <v>11977365100</v>
      </c>
      <c r="K874">
        <v>12994990964</v>
      </c>
      <c r="L874">
        <v>12159508757</v>
      </c>
      <c r="M874">
        <v>10024103918</v>
      </c>
      <c r="N874">
        <v>10297639043</v>
      </c>
      <c r="O874">
        <v>8927808806</v>
      </c>
      <c r="P874">
        <v>414</v>
      </c>
      <c r="Q874" t="s">
        <v>1984</v>
      </c>
    </row>
    <row r="875" spans="1:17" x14ac:dyDescent="0.3">
      <c r="A875" t="s">
        <v>47</v>
      </c>
      <c r="B875" t="str">
        <f>"002152"</f>
        <v>002152</v>
      </c>
      <c r="C875" t="s">
        <v>1985</v>
      </c>
      <c r="D875" t="s">
        <v>765</v>
      </c>
      <c r="E875">
        <v>16795978429</v>
      </c>
      <c r="F875">
        <v>15794346312</v>
      </c>
      <c r="G875">
        <v>13515939809</v>
      </c>
      <c r="H875">
        <v>13000350286</v>
      </c>
      <c r="I875">
        <v>12410079066</v>
      </c>
      <c r="J875">
        <v>11958852495</v>
      </c>
      <c r="K875">
        <v>10567557061</v>
      </c>
      <c r="L875">
        <v>6265876873</v>
      </c>
      <c r="M875">
        <v>4837317112</v>
      </c>
      <c r="N875">
        <v>3767111489</v>
      </c>
      <c r="O875">
        <v>3078041505</v>
      </c>
      <c r="P875">
        <v>16880</v>
      </c>
      <c r="Q875" t="s">
        <v>1986</v>
      </c>
    </row>
    <row r="876" spans="1:17" x14ac:dyDescent="0.3">
      <c r="A876" t="s">
        <v>47</v>
      </c>
      <c r="B876" t="str">
        <f>"001914"</f>
        <v>001914</v>
      </c>
      <c r="C876" t="s">
        <v>1987</v>
      </c>
      <c r="D876" t="s">
        <v>1988</v>
      </c>
      <c r="E876">
        <v>16780322650</v>
      </c>
      <c r="F876">
        <v>16152808869</v>
      </c>
      <c r="G876">
        <v>15979936819</v>
      </c>
      <c r="H876">
        <v>12202389968</v>
      </c>
      <c r="I876">
        <v>19133923757</v>
      </c>
      <c r="J876">
        <v>19805695493</v>
      </c>
      <c r="K876">
        <v>23978670198</v>
      </c>
      <c r="L876">
        <v>21544098411</v>
      </c>
      <c r="M876">
        <v>19392982840</v>
      </c>
      <c r="N876">
        <v>15210492164</v>
      </c>
      <c r="O876">
        <v>11774708278</v>
      </c>
      <c r="P876">
        <v>264</v>
      </c>
      <c r="Q876" t="s">
        <v>1989</v>
      </c>
    </row>
    <row r="877" spans="1:17" x14ac:dyDescent="0.3">
      <c r="A877" t="s">
        <v>17</v>
      </c>
      <c r="B877" t="str">
        <f>"600816"</f>
        <v>600816</v>
      </c>
      <c r="C877" t="s">
        <v>1990</v>
      </c>
      <c r="D877" t="s">
        <v>1064</v>
      </c>
      <c r="E877">
        <v>16760132808</v>
      </c>
      <c r="F877">
        <v>19550204585</v>
      </c>
      <c r="G877">
        <v>20251064761</v>
      </c>
      <c r="H877">
        <v>30669265843</v>
      </c>
      <c r="I877">
        <v>26338750940</v>
      </c>
      <c r="J877">
        <v>19410321783</v>
      </c>
      <c r="K877">
        <v>9503110487</v>
      </c>
      <c r="L877">
        <v>2746122821</v>
      </c>
      <c r="M877">
        <v>1676853561</v>
      </c>
      <c r="N877">
        <v>1006503829</v>
      </c>
      <c r="O877">
        <v>958082288</v>
      </c>
      <c r="P877">
        <v>6688</v>
      </c>
      <c r="Q877" t="s">
        <v>1991</v>
      </c>
    </row>
    <row r="878" spans="1:17" x14ac:dyDescent="0.3">
      <c r="A878" t="s">
        <v>17</v>
      </c>
      <c r="B878" t="str">
        <f>"601163"</f>
        <v>601163</v>
      </c>
      <c r="C878" t="s">
        <v>1992</v>
      </c>
      <c r="D878" t="s">
        <v>1102</v>
      </c>
      <c r="E878">
        <v>16722376308</v>
      </c>
      <c r="F878">
        <v>17241543873</v>
      </c>
      <c r="G878">
        <v>15278589049</v>
      </c>
      <c r="H878">
        <v>14499085901</v>
      </c>
      <c r="I878">
        <v>14441522175</v>
      </c>
      <c r="J878">
        <v>13689722390</v>
      </c>
      <c r="K878">
        <v>9195172742</v>
      </c>
      <c r="P878">
        <v>224</v>
      </c>
      <c r="Q878" t="s">
        <v>1993</v>
      </c>
    </row>
    <row r="879" spans="1:17" x14ac:dyDescent="0.3">
      <c r="A879" t="s">
        <v>47</v>
      </c>
      <c r="B879" t="str">
        <f>"002037"</f>
        <v>002037</v>
      </c>
      <c r="C879" t="s">
        <v>1994</v>
      </c>
      <c r="D879" t="s">
        <v>1995</v>
      </c>
      <c r="E879">
        <v>16719915179</v>
      </c>
      <c r="F879">
        <v>15548404761</v>
      </c>
      <c r="G879">
        <v>12612163138</v>
      </c>
      <c r="H879">
        <v>11100437131</v>
      </c>
      <c r="I879">
        <v>7729793989</v>
      </c>
      <c r="J879">
        <v>7019403829</v>
      </c>
      <c r="K879">
        <v>7600364634</v>
      </c>
      <c r="L879">
        <v>7813222051</v>
      </c>
      <c r="M879">
        <v>6319410813</v>
      </c>
      <c r="N879">
        <v>4868201011</v>
      </c>
      <c r="O879">
        <v>2815028950</v>
      </c>
      <c r="P879">
        <v>81</v>
      </c>
      <c r="Q879" t="s">
        <v>1996</v>
      </c>
    </row>
    <row r="880" spans="1:17" x14ac:dyDescent="0.3">
      <c r="A880" t="s">
        <v>47</v>
      </c>
      <c r="B880" t="str">
        <f>"002368"</f>
        <v>002368</v>
      </c>
      <c r="C880" t="s">
        <v>1997</v>
      </c>
      <c r="D880" t="s">
        <v>700</v>
      </c>
      <c r="E880">
        <v>16703135362</v>
      </c>
      <c r="F880">
        <v>13137705558</v>
      </c>
      <c r="G880">
        <v>10089857579</v>
      </c>
      <c r="H880">
        <v>7512690223</v>
      </c>
      <c r="I880">
        <v>7657661330</v>
      </c>
      <c r="J880">
        <v>6510616210</v>
      </c>
      <c r="K880">
        <v>5105797909</v>
      </c>
      <c r="L880">
        <v>4185757953</v>
      </c>
      <c r="M880">
        <v>3567598871</v>
      </c>
      <c r="N880">
        <v>2395750337</v>
      </c>
      <c r="O880">
        <v>1868610188</v>
      </c>
      <c r="P880">
        <v>373</v>
      </c>
      <c r="Q880" t="s">
        <v>1998</v>
      </c>
    </row>
    <row r="881" spans="1:17" x14ac:dyDescent="0.3">
      <c r="A881" t="s">
        <v>17</v>
      </c>
      <c r="B881" t="str">
        <f>"601568"</f>
        <v>601568</v>
      </c>
      <c r="C881" t="s">
        <v>1999</v>
      </c>
      <c r="D881" t="s">
        <v>625</v>
      </c>
      <c r="E881">
        <v>16702043376</v>
      </c>
      <c r="F881">
        <v>16569029387</v>
      </c>
      <c r="P881">
        <v>121</v>
      </c>
      <c r="Q881" t="s">
        <v>2000</v>
      </c>
    </row>
    <row r="882" spans="1:17" x14ac:dyDescent="0.3">
      <c r="A882" t="s">
        <v>17</v>
      </c>
      <c r="B882" t="str">
        <f>"600117"</f>
        <v>600117</v>
      </c>
      <c r="C882" t="s">
        <v>2001</v>
      </c>
      <c r="D882" t="s">
        <v>555</v>
      </c>
      <c r="E882">
        <v>16671157118</v>
      </c>
      <c r="F882">
        <v>20270007789</v>
      </c>
      <c r="G882">
        <v>21232532516</v>
      </c>
      <c r="H882">
        <v>22815339245</v>
      </c>
      <c r="I882">
        <v>24447658397</v>
      </c>
      <c r="J882">
        <v>28093524010</v>
      </c>
      <c r="K882">
        <v>24921125203</v>
      </c>
      <c r="L882">
        <v>23323884828</v>
      </c>
      <c r="M882">
        <v>18232989765</v>
      </c>
      <c r="N882">
        <v>15297118072</v>
      </c>
      <c r="O882">
        <v>13821543276</v>
      </c>
      <c r="P882">
        <v>116</v>
      </c>
      <c r="Q882" t="s">
        <v>2002</v>
      </c>
    </row>
    <row r="883" spans="1:17" x14ac:dyDescent="0.3">
      <c r="A883" t="s">
        <v>17</v>
      </c>
      <c r="B883" t="str">
        <f>"600963"</f>
        <v>600963</v>
      </c>
      <c r="C883" t="s">
        <v>2003</v>
      </c>
      <c r="D883" t="s">
        <v>587</v>
      </c>
      <c r="E883">
        <v>16670715648</v>
      </c>
      <c r="F883">
        <v>16053684898</v>
      </c>
      <c r="G883">
        <v>15390958095</v>
      </c>
      <c r="H883">
        <v>15346661859</v>
      </c>
      <c r="I883">
        <v>15564207947</v>
      </c>
      <c r="J883">
        <v>14319337692</v>
      </c>
      <c r="K883">
        <v>15207117807</v>
      </c>
      <c r="L883">
        <v>16957555107</v>
      </c>
      <c r="M883">
        <v>17195966315</v>
      </c>
      <c r="N883">
        <v>17033999956</v>
      </c>
      <c r="O883">
        <v>17336819145</v>
      </c>
      <c r="P883">
        <v>201</v>
      </c>
      <c r="Q883" t="s">
        <v>2004</v>
      </c>
    </row>
    <row r="884" spans="1:17" x14ac:dyDescent="0.3">
      <c r="A884" t="s">
        <v>47</v>
      </c>
      <c r="B884" t="str">
        <f>"002841"</f>
        <v>002841</v>
      </c>
      <c r="C884" t="s">
        <v>2005</v>
      </c>
      <c r="D884" t="s">
        <v>2006</v>
      </c>
      <c r="E884">
        <v>16652847972</v>
      </c>
      <c r="F884">
        <v>14088865782</v>
      </c>
      <c r="G884">
        <v>10277163090</v>
      </c>
      <c r="H884">
        <v>7889814677</v>
      </c>
      <c r="I884">
        <v>5086505159</v>
      </c>
      <c r="J884">
        <v>3447778308</v>
      </c>
      <c r="P884">
        <v>3102</v>
      </c>
      <c r="Q884" t="s">
        <v>2007</v>
      </c>
    </row>
    <row r="885" spans="1:17" x14ac:dyDescent="0.3">
      <c r="A885" t="s">
        <v>47</v>
      </c>
      <c r="B885" t="str">
        <f>"200869"</f>
        <v>200869</v>
      </c>
      <c r="C885" t="s">
        <v>2008</v>
      </c>
      <c r="E885">
        <v>16591261491.337999</v>
      </c>
      <c r="F885">
        <v>15939310496.998501</v>
      </c>
      <c r="G885">
        <v>14697090794.829</v>
      </c>
      <c r="H885">
        <v>15569315450.4249</v>
      </c>
      <c r="I885">
        <v>16424121509.295</v>
      </c>
      <c r="J885">
        <v>13377983620.2456</v>
      </c>
      <c r="K885">
        <v>13335935280.555901</v>
      </c>
      <c r="L885">
        <v>12149075277.5</v>
      </c>
      <c r="M885">
        <v>10645768099.9512</v>
      </c>
      <c r="N885">
        <v>10645472485.5846</v>
      </c>
      <c r="O885">
        <v>9324813733.6140003</v>
      </c>
      <c r="P885">
        <v>348</v>
      </c>
      <c r="Q885" t="s">
        <v>2009</v>
      </c>
    </row>
    <row r="886" spans="1:17" x14ac:dyDescent="0.3">
      <c r="A886" t="s">
        <v>17</v>
      </c>
      <c r="B886" t="str">
        <f>"601366"</f>
        <v>601366</v>
      </c>
      <c r="C886" t="s">
        <v>2010</v>
      </c>
      <c r="D886" t="s">
        <v>780</v>
      </c>
      <c r="E886">
        <v>16582485752</v>
      </c>
      <c r="F886">
        <v>15338269846</v>
      </c>
      <c r="G886">
        <v>11921428163</v>
      </c>
      <c r="H886">
        <v>11730124354</v>
      </c>
      <c r="I886">
        <v>8074566504</v>
      </c>
      <c r="J886">
        <v>6856828865</v>
      </c>
      <c r="P886">
        <v>132</v>
      </c>
      <c r="Q886" t="s">
        <v>2011</v>
      </c>
    </row>
    <row r="887" spans="1:17" x14ac:dyDescent="0.3">
      <c r="A887" t="s">
        <v>17</v>
      </c>
      <c r="B887" t="str">
        <f>"600458"</f>
        <v>600458</v>
      </c>
      <c r="C887" t="s">
        <v>2012</v>
      </c>
      <c r="D887" t="s">
        <v>2013</v>
      </c>
      <c r="E887">
        <v>16505456944</v>
      </c>
      <c r="F887">
        <v>16167119199</v>
      </c>
      <c r="G887">
        <v>14508194369</v>
      </c>
      <c r="H887">
        <v>15165488264</v>
      </c>
      <c r="I887">
        <v>14903436577</v>
      </c>
      <c r="J887">
        <v>13276549136</v>
      </c>
      <c r="K887">
        <v>13019399967</v>
      </c>
      <c r="L887">
        <v>10403938955</v>
      </c>
      <c r="M887">
        <v>5900601853</v>
      </c>
      <c r="N887">
        <v>4438423434</v>
      </c>
      <c r="O887">
        <v>4033313821</v>
      </c>
      <c r="P887">
        <v>244</v>
      </c>
      <c r="Q887" t="s">
        <v>2014</v>
      </c>
    </row>
    <row r="888" spans="1:17" x14ac:dyDescent="0.3">
      <c r="A888" t="s">
        <v>17</v>
      </c>
      <c r="B888" t="str">
        <f>"603195"</f>
        <v>603195</v>
      </c>
      <c r="C888" t="s">
        <v>2015</v>
      </c>
      <c r="D888" t="s">
        <v>2016</v>
      </c>
      <c r="E888">
        <v>16453849113</v>
      </c>
      <c r="F888">
        <v>13377125790</v>
      </c>
      <c r="G888">
        <v>10534918514</v>
      </c>
      <c r="P888">
        <v>1473</v>
      </c>
      <c r="Q888" t="s">
        <v>2017</v>
      </c>
    </row>
    <row r="889" spans="1:17" x14ac:dyDescent="0.3">
      <c r="A889" t="s">
        <v>47</v>
      </c>
      <c r="B889" t="str">
        <f>"300308"</f>
        <v>300308</v>
      </c>
      <c r="C889" t="s">
        <v>2018</v>
      </c>
      <c r="D889" t="s">
        <v>367</v>
      </c>
      <c r="E889">
        <v>16425091373</v>
      </c>
      <c r="F889">
        <v>13155274835</v>
      </c>
      <c r="G889">
        <v>11016083474</v>
      </c>
      <c r="H889">
        <v>9484712742</v>
      </c>
      <c r="I889">
        <v>7608804535</v>
      </c>
      <c r="J889">
        <v>620436785</v>
      </c>
      <c r="K889">
        <v>624941057</v>
      </c>
      <c r="L889">
        <v>653114826</v>
      </c>
      <c r="M889">
        <v>730504739</v>
      </c>
      <c r="N889">
        <v>566541916</v>
      </c>
      <c r="O889">
        <v>596162242</v>
      </c>
      <c r="P889">
        <v>814</v>
      </c>
      <c r="Q889" t="s">
        <v>2019</v>
      </c>
    </row>
    <row r="890" spans="1:17" x14ac:dyDescent="0.3">
      <c r="A890" t="s">
        <v>17</v>
      </c>
      <c r="B890" t="str">
        <f>"688065"</f>
        <v>688065</v>
      </c>
      <c r="C890" t="s">
        <v>2020</v>
      </c>
      <c r="D890" t="s">
        <v>710</v>
      </c>
      <c r="E890">
        <v>16421778187</v>
      </c>
      <c r="F890">
        <v>12847723590</v>
      </c>
      <c r="G890">
        <v>5926631314</v>
      </c>
      <c r="P890">
        <v>107</v>
      </c>
      <c r="Q890" t="s">
        <v>2021</v>
      </c>
    </row>
    <row r="891" spans="1:17" x14ac:dyDescent="0.3">
      <c r="A891" t="s">
        <v>47</v>
      </c>
      <c r="B891" t="str">
        <f>"300979"</f>
        <v>300979</v>
      </c>
      <c r="C891" t="s">
        <v>2022</v>
      </c>
      <c r="D891" t="s">
        <v>2023</v>
      </c>
      <c r="E891">
        <v>16397021787</v>
      </c>
      <c r="F891">
        <v>10618261161</v>
      </c>
      <c r="P891">
        <v>95</v>
      </c>
      <c r="Q891" t="s">
        <v>2024</v>
      </c>
    </row>
    <row r="892" spans="1:17" x14ac:dyDescent="0.3">
      <c r="A892" t="s">
        <v>47</v>
      </c>
      <c r="B892" t="str">
        <f>"002821"</f>
        <v>002821</v>
      </c>
      <c r="C892" t="s">
        <v>2025</v>
      </c>
      <c r="D892" t="s">
        <v>777</v>
      </c>
      <c r="E892">
        <v>16389663098</v>
      </c>
      <c r="F892">
        <v>7284843219</v>
      </c>
      <c r="G892">
        <v>3839819412</v>
      </c>
      <c r="H892">
        <v>3205356195</v>
      </c>
      <c r="I892">
        <v>2699938862</v>
      </c>
      <c r="J892">
        <v>2454253167</v>
      </c>
      <c r="P892">
        <v>2412</v>
      </c>
      <c r="Q892" t="s">
        <v>2026</v>
      </c>
    </row>
    <row r="893" spans="1:17" x14ac:dyDescent="0.3">
      <c r="A893" t="s">
        <v>17</v>
      </c>
      <c r="B893" t="str">
        <f>"600535"</f>
        <v>600535</v>
      </c>
      <c r="C893" t="s">
        <v>2027</v>
      </c>
      <c r="D893" t="s">
        <v>695</v>
      </c>
      <c r="E893">
        <v>16379683752</v>
      </c>
      <c r="F893">
        <v>16434983886</v>
      </c>
      <c r="G893">
        <v>24383422151</v>
      </c>
      <c r="H893">
        <v>24583765445</v>
      </c>
      <c r="I893">
        <v>22767454163</v>
      </c>
      <c r="J893">
        <v>17967337105</v>
      </c>
      <c r="K893">
        <v>15368617085</v>
      </c>
      <c r="L893">
        <v>14020681373</v>
      </c>
      <c r="M893">
        <v>11299384211</v>
      </c>
      <c r="N893">
        <v>8013725308</v>
      </c>
      <c r="O893">
        <v>6663879492</v>
      </c>
      <c r="P893">
        <v>12549</v>
      </c>
      <c r="Q893" t="s">
        <v>2028</v>
      </c>
    </row>
    <row r="894" spans="1:17" x14ac:dyDescent="0.3">
      <c r="A894" t="s">
        <v>47</v>
      </c>
      <c r="B894" t="str">
        <f>"002430"</f>
        <v>002430</v>
      </c>
      <c r="C894" t="s">
        <v>2029</v>
      </c>
      <c r="D894" t="s">
        <v>1973</v>
      </c>
      <c r="E894">
        <v>16366062713</v>
      </c>
      <c r="F894">
        <v>15005260786</v>
      </c>
      <c r="G894">
        <v>13019902717</v>
      </c>
      <c r="H894">
        <v>11383880963</v>
      </c>
      <c r="I894">
        <v>11279796343</v>
      </c>
      <c r="J894">
        <v>10811104507</v>
      </c>
      <c r="K894">
        <v>9608203911</v>
      </c>
      <c r="L894">
        <v>9585849408</v>
      </c>
      <c r="M894">
        <v>10290764528</v>
      </c>
      <c r="N894">
        <v>9127438328</v>
      </c>
      <c r="O894">
        <v>6712211779</v>
      </c>
      <c r="P894">
        <v>395</v>
      </c>
      <c r="Q894" t="s">
        <v>2030</v>
      </c>
    </row>
    <row r="895" spans="1:17" x14ac:dyDescent="0.3">
      <c r="A895" t="s">
        <v>47</v>
      </c>
      <c r="B895" t="str">
        <f>"000975"</f>
        <v>000975</v>
      </c>
      <c r="C895" t="s">
        <v>2031</v>
      </c>
      <c r="D895" t="s">
        <v>600</v>
      </c>
      <c r="E895">
        <v>16363615751</v>
      </c>
      <c r="F895">
        <v>13385406913</v>
      </c>
      <c r="G895">
        <v>12423980014</v>
      </c>
      <c r="H895">
        <v>10890387696</v>
      </c>
      <c r="I895">
        <v>10836887488</v>
      </c>
      <c r="J895">
        <v>4713733820</v>
      </c>
      <c r="K895">
        <v>4480171544</v>
      </c>
      <c r="L895">
        <v>4915104560</v>
      </c>
      <c r="M895">
        <v>4435921800</v>
      </c>
      <c r="N895">
        <v>4852860691</v>
      </c>
      <c r="O895">
        <v>1233254498</v>
      </c>
      <c r="P895">
        <v>391</v>
      </c>
      <c r="Q895" t="s">
        <v>2032</v>
      </c>
    </row>
    <row r="896" spans="1:17" x14ac:dyDescent="0.3">
      <c r="A896" t="s">
        <v>47</v>
      </c>
      <c r="B896" t="str">
        <f>"002382"</f>
        <v>002382</v>
      </c>
      <c r="C896" t="s">
        <v>2033</v>
      </c>
      <c r="D896" t="s">
        <v>1650</v>
      </c>
      <c r="E896">
        <v>16321386732</v>
      </c>
      <c r="F896">
        <v>17738432153</v>
      </c>
      <c r="G896">
        <v>13365047246</v>
      </c>
      <c r="H896">
        <v>13178605512</v>
      </c>
      <c r="I896">
        <v>1940008970</v>
      </c>
      <c r="J896">
        <v>1693343796</v>
      </c>
      <c r="K896">
        <v>1504209562</v>
      </c>
      <c r="L896">
        <v>1723676388</v>
      </c>
      <c r="M896">
        <v>1950246621</v>
      </c>
      <c r="N896">
        <v>1863029554</v>
      </c>
      <c r="O896">
        <v>1415569317</v>
      </c>
      <c r="P896">
        <v>849</v>
      </c>
      <c r="Q896" t="s">
        <v>2034</v>
      </c>
    </row>
    <row r="897" spans="1:17" x14ac:dyDescent="0.3">
      <c r="A897" t="s">
        <v>17</v>
      </c>
      <c r="B897" t="str">
        <f>"603997"</f>
        <v>603997</v>
      </c>
      <c r="C897" t="s">
        <v>2035</v>
      </c>
      <c r="D897" t="s">
        <v>416</v>
      </c>
      <c r="E897">
        <v>16290018616</v>
      </c>
      <c r="F897">
        <v>17248708701</v>
      </c>
      <c r="G897">
        <v>16853437347</v>
      </c>
      <c r="H897">
        <v>2573700190</v>
      </c>
      <c r="I897">
        <v>2341645366</v>
      </c>
      <c r="J897">
        <v>1951535024</v>
      </c>
      <c r="K897">
        <v>1610092044</v>
      </c>
      <c r="L897">
        <v>1438871454</v>
      </c>
      <c r="P897">
        <v>248</v>
      </c>
      <c r="Q897" t="s">
        <v>2036</v>
      </c>
    </row>
    <row r="898" spans="1:17" x14ac:dyDescent="0.3">
      <c r="A898" t="s">
        <v>47</v>
      </c>
      <c r="B898" t="str">
        <f>"002709"</f>
        <v>002709</v>
      </c>
      <c r="C898" t="s">
        <v>2037</v>
      </c>
      <c r="D898" t="s">
        <v>1017</v>
      </c>
      <c r="E898">
        <v>16268458456</v>
      </c>
      <c r="F898">
        <v>6790476580</v>
      </c>
      <c r="G898">
        <v>5382598296</v>
      </c>
      <c r="H898">
        <v>5071049772</v>
      </c>
      <c r="I898">
        <v>4169793209</v>
      </c>
      <c r="J898">
        <v>2564639086</v>
      </c>
      <c r="K898">
        <v>1772677086</v>
      </c>
      <c r="L898">
        <v>1149953597</v>
      </c>
      <c r="M898">
        <v>998927365</v>
      </c>
      <c r="P898">
        <v>1069</v>
      </c>
      <c r="Q898" t="s">
        <v>2038</v>
      </c>
    </row>
    <row r="899" spans="1:17" x14ac:dyDescent="0.3">
      <c r="A899" t="s">
        <v>17</v>
      </c>
      <c r="B899" t="str">
        <f>"600075"</f>
        <v>600075</v>
      </c>
      <c r="C899" t="s">
        <v>2039</v>
      </c>
      <c r="D899" t="s">
        <v>625</v>
      </c>
      <c r="E899">
        <v>16204945331</v>
      </c>
      <c r="F899">
        <v>15703590815</v>
      </c>
      <c r="G899">
        <v>8204574404</v>
      </c>
      <c r="H899">
        <v>8826390575</v>
      </c>
      <c r="I899">
        <v>9161525029</v>
      </c>
      <c r="J899">
        <v>8672960699</v>
      </c>
      <c r="K899">
        <v>4084974740</v>
      </c>
      <c r="L899">
        <v>3689990649</v>
      </c>
      <c r="M899">
        <v>4790349403</v>
      </c>
      <c r="N899">
        <v>4778182335</v>
      </c>
      <c r="O899">
        <v>5421833382</v>
      </c>
      <c r="P899">
        <v>194</v>
      </c>
      <c r="Q899" t="s">
        <v>2040</v>
      </c>
    </row>
    <row r="900" spans="1:17" x14ac:dyDescent="0.3">
      <c r="A900" t="s">
        <v>17</v>
      </c>
      <c r="B900" t="str">
        <f>"600308"</f>
        <v>600308</v>
      </c>
      <c r="C900" t="s">
        <v>2041</v>
      </c>
      <c r="D900" t="s">
        <v>587</v>
      </c>
      <c r="E900">
        <v>16165000544</v>
      </c>
      <c r="F900">
        <v>16057216483</v>
      </c>
      <c r="G900">
        <v>14464885294</v>
      </c>
      <c r="H900">
        <v>14657632190</v>
      </c>
      <c r="I900">
        <v>14344393179</v>
      </c>
      <c r="J900">
        <v>15168587123</v>
      </c>
      <c r="K900">
        <v>16215440049</v>
      </c>
      <c r="L900">
        <v>17106555123</v>
      </c>
      <c r="M900">
        <v>16039964134</v>
      </c>
      <c r="N900">
        <v>17327819666</v>
      </c>
      <c r="O900">
        <v>17514520309</v>
      </c>
      <c r="P900">
        <v>644</v>
      </c>
      <c r="Q900" t="s">
        <v>2042</v>
      </c>
    </row>
    <row r="901" spans="1:17" x14ac:dyDescent="0.3">
      <c r="A901" t="s">
        <v>47</v>
      </c>
      <c r="B901" t="str">
        <f>"300073"</f>
        <v>300073</v>
      </c>
      <c r="C901" t="s">
        <v>2043</v>
      </c>
      <c r="D901" t="s">
        <v>1017</v>
      </c>
      <c r="E901">
        <v>16117332902</v>
      </c>
      <c r="F901">
        <v>5908483526</v>
      </c>
      <c r="G901">
        <v>4618674830</v>
      </c>
      <c r="H901">
        <v>4739280101</v>
      </c>
      <c r="I901">
        <v>4514950160</v>
      </c>
      <c r="J901">
        <v>2230460126</v>
      </c>
      <c r="K901">
        <v>1769396083</v>
      </c>
      <c r="L901">
        <v>1024216244</v>
      </c>
      <c r="M901">
        <v>1018823350</v>
      </c>
      <c r="N901">
        <v>977612534</v>
      </c>
      <c r="O901">
        <v>893534820</v>
      </c>
      <c r="P901">
        <v>826</v>
      </c>
      <c r="Q901" t="s">
        <v>2044</v>
      </c>
    </row>
    <row r="902" spans="1:17" x14ac:dyDescent="0.3">
      <c r="A902" t="s">
        <v>47</v>
      </c>
      <c r="B902" t="str">
        <f>"002135"</f>
        <v>002135</v>
      </c>
      <c r="C902" t="s">
        <v>2045</v>
      </c>
      <c r="D902" t="s">
        <v>1764</v>
      </c>
      <c r="E902">
        <v>16116986852</v>
      </c>
      <c r="F902">
        <v>13366263556</v>
      </c>
      <c r="G902">
        <v>12168044916</v>
      </c>
      <c r="H902">
        <v>10328340926</v>
      </c>
      <c r="I902">
        <v>9962963934</v>
      </c>
      <c r="J902">
        <v>8513380356</v>
      </c>
      <c r="K902">
        <v>8569522739</v>
      </c>
      <c r="L902">
        <v>8397278949</v>
      </c>
      <c r="M902">
        <v>6391188874</v>
      </c>
      <c r="N902">
        <v>6068851629</v>
      </c>
      <c r="O902">
        <v>5076083147</v>
      </c>
      <c r="P902">
        <v>163</v>
      </c>
      <c r="Q902" t="s">
        <v>2046</v>
      </c>
    </row>
    <row r="903" spans="1:17" x14ac:dyDescent="0.3">
      <c r="A903" t="s">
        <v>17</v>
      </c>
      <c r="B903" t="str">
        <f>"600037"</f>
        <v>600037</v>
      </c>
      <c r="C903" t="s">
        <v>2047</v>
      </c>
      <c r="D903" t="s">
        <v>973</v>
      </c>
      <c r="E903">
        <v>16093583009</v>
      </c>
      <c r="F903">
        <v>15750347083</v>
      </c>
      <c r="G903">
        <v>16463312062</v>
      </c>
      <c r="H903">
        <v>16208626508</v>
      </c>
      <c r="I903">
        <v>15463596540</v>
      </c>
      <c r="J903">
        <v>15152828182</v>
      </c>
      <c r="K903">
        <v>14162700741</v>
      </c>
      <c r="L903">
        <v>10460511931</v>
      </c>
      <c r="M903">
        <v>10262572647</v>
      </c>
      <c r="N903">
        <v>10370548676</v>
      </c>
      <c r="O903">
        <v>10776578282</v>
      </c>
      <c r="P903">
        <v>309</v>
      </c>
      <c r="Q903" t="s">
        <v>2048</v>
      </c>
    </row>
    <row r="904" spans="1:17" x14ac:dyDescent="0.3">
      <c r="A904" t="s">
        <v>47</v>
      </c>
      <c r="B904" t="str">
        <f>"000062"</f>
        <v>000062</v>
      </c>
      <c r="C904" t="s">
        <v>2049</v>
      </c>
      <c r="D904" t="s">
        <v>1609</v>
      </c>
      <c r="E904">
        <v>16032565723</v>
      </c>
      <c r="F904">
        <v>12714723544</v>
      </c>
      <c r="G904">
        <v>11278726793</v>
      </c>
      <c r="H904">
        <v>10091947927</v>
      </c>
      <c r="I904">
        <v>8486189762</v>
      </c>
      <c r="J904">
        <v>7197361140</v>
      </c>
      <c r="K904">
        <v>5904849514</v>
      </c>
      <c r="L904">
        <v>3993520829</v>
      </c>
      <c r="M904">
        <v>4805072541</v>
      </c>
      <c r="N904">
        <v>4754024205</v>
      </c>
      <c r="O904">
        <v>4974022252</v>
      </c>
      <c r="P904">
        <v>300</v>
      </c>
      <c r="Q904" t="s">
        <v>2050</v>
      </c>
    </row>
    <row r="905" spans="1:17" x14ac:dyDescent="0.3">
      <c r="A905" t="s">
        <v>47</v>
      </c>
      <c r="B905" t="str">
        <f>"000531"</f>
        <v>000531</v>
      </c>
      <c r="C905" t="s">
        <v>2051</v>
      </c>
      <c r="D905" t="s">
        <v>171</v>
      </c>
      <c r="E905">
        <v>16004111244</v>
      </c>
      <c r="F905">
        <v>13057563782</v>
      </c>
      <c r="G905">
        <v>11536502866</v>
      </c>
      <c r="H905">
        <v>9766234902</v>
      </c>
      <c r="I905">
        <v>9746999697</v>
      </c>
      <c r="J905">
        <v>9030632462</v>
      </c>
      <c r="K905">
        <v>8918668648</v>
      </c>
      <c r="L905">
        <v>7735652119</v>
      </c>
      <c r="M905">
        <v>8004155522</v>
      </c>
      <c r="N905">
        <v>8203974331</v>
      </c>
      <c r="O905">
        <v>7144846088</v>
      </c>
      <c r="P905">
        <v>277</v>
      </c>
      <c r="Q905" t="s">
        <v>2052</v>
      </c>
    </row>
    <row r="906" spans="1:17" x14ac:dyDescent="0.3">
      <c r="A906" t="s">
        <v>17</v>
      </c>
      <c r="B906" t="str">
        <f>"603693"</f>
        <v>603693</v>
      </c>
      <c r="C906" t="s">
        <v>2053</v>
      </c>
      <c r="D906" t="s">
        <v>298</v>
      </c>
      <c r="E906">
        <v>15989998523</v>
      </c>
      <c r="F906">
        <v>12223782098</v>
      </c>
      <c r="G906">
        <v>8680618120</v>
      </c>
      <c r="H906">
        <v>8188186497</v>
      </c>
      <c r="I906">
        <v>6973676505</v>
      </c>
      <c r="P906">
        <v>160</v>
      </c>
      <c r="Q906" t="s">
        <v>2054</v>
      </c>
    </row>
    <row r="907" spans="1:17" x14ac:dyDescent="0.3">
      <c r="A907" t="s">
        <v>47</v>
      </c>
      <c r="B907" t="str">
        <f>"000718"</f>
        <v>000718</v>
      </c>
      <c r="C907" t="s">
        <v>2055</v>
      </c>
      <c r="D907" t="s">
        <v>76</v>
      </c>
      <c r="E907">
        <v>15965937169</v>
      </c>
      <c r="F907">
        <v>16027923500</v>
      </c>
      <c r="G907">
        <v>17841449846</v>
      </c>
      <c r="H907">
        <v>19193303505</v>
      </c>
      <c r="I907">
        <v>19250864402</v>
      </c>
      <c r="J907">
        <v>21346547050</v>
      </c>
      <c r="K907">
        <v>24923806759</v>
      </c>
      <c r="L907">
        <v>22199650625</v>
      </c>
      <c r="M907">
        <v>22523886710</v>
      </c>
      <c r="N907">
        <v>19272796661</v>
      </c>
      <c r="O907">
        <v>18853817671</v>
      </c>
      <c r="P907">
        <v>659</v>
      </c>
      <c r="Q907" t="s">
        <v>2056</v>
      </c>
    </row>
    <row r="908" spans="1:17" x14ac:dyDescent="0.3">
      <c r="A908" t="s">
        <v>17</v>
      </c>
      <c r="B908" t="str">
        <f>"600521"</f>
        <v>600521</v>
      </c>
      <c r="C908" t="s">
        <v>2057</v>
      </c>
      <c r="D908" t="s">
        <v>550</v>
      </c>
      <c r="E908">
        <v>15920304327</v>
      </c>
      <c r="F908">
        <v>12945125162</v>
      </c>
      <c r="G908">
        <v>10565255086</v>
      </c>
      <c r="H908">
        <v>10924909415</v>
      </c>
      <c r="I908">
        <v>8813049488</v>
      </c>
      <c r="J908">
        <v>7065626278</v>
      </c>
      <c r="K908">
        <v>5881049679</v>
      </c>
      <c r="L908">
        <v>4767051511</v>
      </c>
      <c r="M908">
        <v>4707005946</v>
      </c>
      <c r="N908">
        <v>3571114379</v>
      </c>
      <c r="O908">
        <v>2611900345</v>
      </c>
      <c r="P908">
        <v>964</v>
      </c>
      <c r="Q908" t="s">
        <v>2058</v>
      </c>
    </row>
    <row r="909" spans="1:17" x14ac:dyDescent="0.3">
      <c r="A909" t="s">
        <v>17</v>
      </c>
      <c r="B909" t="str">
        <f>"600518"</f>
        <v>600518</v>
      </c>
      <c r="C909" t="s">
        <v>2059</v>
      </c>
      <c r="D909" t="s">
        <v>695</v>
      </c>
      <c r="E909">
        <v>15919718525</v>
      </c>
      <c r="F909">
        <v>36120468487</v>
      </c>
      <c r="G909">
        <v>63599124520</v>
      </c>
      <c r="H909">
        <v>73797094974</v>
      </c>
      <c r="I909">
        <v>72194873452</v>
      </c>
      <c r="J909">
        <v>58425800556</v>
      </c>
      <c r="K909">
        <v>39521943926</v>
      </c>
      <c r="L909">
        <v>31760675871</v>
      </c>
      <c r="M909">
        <v>24149464576</v>
      </c>
      <c r="N909">
        <v>19409533143</v>
      </c>
      <c r="O909">
        <v>16151509051</v>
      </c>
      <c r="P909">
        <v>1483</v>
      </c>
      <c r="Q909" t="s">
        <v>2060</v>
      </c>
    </row>
    <row r="910" spans="1:17" x14ac:dyDescent="0.3">
      <c r="A910" t="s">
        <v>47</v>
      </c>
      <c r="B910" t="str">
        <f>"002386"</f>
        <v>002386</v>
      </c>
      <c r="C910" t="s">
        <v>2061</v>
      </c>
      <c r="D910" t="s">
        <v>625</v>
      </c>
      <c r="E910">
        <v>15908590280</v>
      </c>
      <c r="F910">
        <v>14666083195</v>
      </c>
      <c r="G910">
        <v>15087888385</v>
      </c>
      <c r="H910">
        <v>14099946343</v>
      </c>
      <c r="I910">
        <v>14321498586</v>
      </c>
      <c r="J910">
        <v>14070406468</v>
      </c>
      <c r="K910">
        <v>13698816512</v>
      </c>
      <c r="L910">
        <v>14932920555</v>
      </c>
      <c r="M910">
        <v>13935233550</v>
      </c>
      <c r="N910">
        <v>13221804272</v>
      </c>
      <c r="O910">
        <v>12357645430</v>
      </c>
      <c r="P910">
        <v>143</v>
      </c>
      <c r="Q910" t="s">
        <v>2062</v>
      </c>
    </row>
    <row r="911" spans="1:17" x14ac:dyDescent="0.3">
      <c r="A911" t="s">
        <v>47</v>
      </c>
      <c r="B911" t="str">
        <f>"002531"</f>
        <v>002531</v>
      </c>
      <c r="C911" t="s">
        <v>2063</v>
      </c>
      <c r="D911" t="s">
        <v>2013</v>
      </c>
      <c r="E911">
        <v>15874607210</v>
      </c>
      <c r="F911">
        <v>15625821575</v>
      </c>
      <c r="G911">
        <v>13323869885</v>
      </c>
      <c r="H911">
        <v>13629154007</v>
      </c>
      <c r="I911">
        <v>10281060815</v>
      </c>
      <c r="J911">
        <v>8140967326</v>
      </c>
      <c r="K911">
        <v>4332009668</v>
      </c>
      <c r="L911">
        <v>2875903963</v>
      </c>
      <c r="M911">
        <v>2834779837</v>
      </c>
      <c r="N911">
        <v>2527486305</v>
      </c>
      <c r="O911">
        <v>2506143799</v>
      </c>
      <c r="P911">
        <v>599</v>
      </c>
      <c r="Q911" t="s">
        <v>2064</v>
      </c>
    </row>
    <row r="912" spans="1:17" x14ac:dyDescent="0.3">
      <c r="A912" t="s">
        <v>47</v>
      </c>
      <c r="B912" t="str">
        <f>"200726"</f>
        <v>200726</v>
      </c>
      <c r="C912" t="s">
        <v>2065</v>
      </c>
      <c r="E912">
        <v>15849258322.962</v>
      </c>
      <c r="F912">
        <v>14448237508.143499</v>
      </c>
      <c r="G912">
        <v>12948042260.0658</v>
      </c>
      <c r="H912">
        <v>12695016295.7127</v>
      </c>
      <c r="I912">
        <v>13026751093.240499</v>
      </c>
      <c r="J912">
        <v>10830288076.527399</v>
      </c>
      <c r="K912">
        <v>10882957704.308001</v>
      </c>
      <c r="L912">
        <v>10873717022.5</v>
      </c>
      <c r="M912">
        <v>10198838039.8668</v>
      </c>
      <c r="N912">
        <v>9795826998.1170006</v>
      </c>
      <c r="O912">
        <v>9330778442.6280003</v>
      </c>
      <c r="P912">
        <v>329</v>
      </c>
      <c r="Q912" t="s">
        <v>2066</v>
      </c>
    </row>
    <row r="913" spans="1:17" x14ac:dyDescent="0.3">
      <c r="A913" t="s">
        <v>17</v>
      </c>
      <c r="B913" t="str">
        <f>"603986"</f>
        <v>603986</v>
      </c>
      <c r="C913" t="s">
        <v>2067</v>
      </c>
      <c r="D913" t="s">
        <v>967</v>
      </c>
      <c r="E913">
        <v>15839585244</v>
      </c>
      <c r="F913">
        <v>12558583188</v>
      </c>
      <c r="G913">
        <v>6274160778</v>
      </c>
      <c r="H913">
        <v>2766910427</v>
      </c>
      <c r="I913">
        <v>2528431304</v>
      </c>
      <c r="J913">
        <v>1675138400</v>
      </c>
      <c r="K913">
        <v>895173600</v>
      </c>
      <c r="P913">
        <v>2706</v>
      </c>
      <c r="Q913" t="s">
        <v>2068</v>
      </c>
    </row>
    <row r="914" spans="1:17" x14ac:dyDescent="0.3">
      <c r="A914" t="s">
        <v>47</v>
      </c>
      <c r="B914" t="str">
        <f>"002075"</f>
        <v>002075</v>
      </c>
      <c r="C914" t="s">
        <v>2069</v>
      </c>
      <c r="D914" t="s">
        <v>555</v>
      </c>
      <c r="E914">
        <v>15798531152</v>
      </c>
      <c r="F914">
        <v>13787393978</v>
      </c>
      <c r="G914">
        <v>11896488737</v>
      </c>
      <c r="H914">
        <v>10990701655</v>
      </c>
      <c r="I914">
        <v>9736996572</v>
      </c>
      <c r="J914">
        <v>8402849529</v>
      </c>
      <c r="K914">
        <v>6778405631</v>
      </c>
      <c r="L914">
        <v>7393706995</v>
      </c>
      <c r="M914">
        <v>8342529817</v>
      </c>
      <c r="N914">
        <v>8162071569</v>
      </c>
      <c r="O914">
        <v>10189438696</v>
      </c>
      <c r="P914">
        <v>281</v>
      </c>
      <c r="Q914" t="s">
        <v>2070</v>
      </c>
    </row>
    <row r="915" spans="1:17" x14ac:dyDescent="0.3">
      <c r="A915" t="s">
        <v>17</v>
      </c>
      <c r="B915" t="str">
        <f>"600969"</f>
        <v>600969</v>
      </c>
      <c r="C915" t="s">
        <v>2071</v>
      </c>
      <c r="D915" t="s">
        <v>652</v>
      </c>
      <c r="E915">
        <v>15754335636</v>
      </c>
      <c r="F915">
        <v>14670796154</v>
      </c>
      <c r="G915">
        <v>13234265219</v>
      </c>
      <c r="H915">
        <v>12924404431</v>
      </c>
      <c r="I915">
        <v>12785006211</v>
      </c>
      <c r="J915">
        <v>11339996815</v>
      </c>
      <c r="K915">
        <v>9787432241</v>
      </c>
      <c r="L915">
        <v>7651621596</v>
      </c>
      <c r="M915">
        <v>5368624028</v>
      </c>
      <c r="N915">
        <v>4810976763</v>
      </c>
      <c r="O915">
        <v>4263133431</v>
      </c>
      <c r="P915">
        <v>77</v>
      </c>
      <c r="Q915" t="s">
        <v>2072</v>
      </c>
    </row>
    <row r="916" spans="1:17" x14ac:dyDescent="0.3">
      <c r="A916" t="s">
        <v>47</v>
      </c>
      <c r="B916" t="str">
        <f>"002928"</f>
        <v>002928</v>
      </c>
      <c r="C916" t="s">
        <v>2073</v>
      </c>
      <c r="D916" t="s">
        <v>243</v>
      </c>
      <c r="E916">
        <v>15722647125</v>
      </c>
      <c r="F916">
        <v>15201213629</v>
      </c>
      <c r="G916">
        <v>9913204698</v>
      </c>
      <c r="H916">
        <v>7973194860</v>
      </c>
      <c r="I916">
        <v>6774066079</v>
      </c>
      <c r="P916">
        <v>333</v>
      </c>
      <c r="Q916" t="s">
        <v>2074</v>
      </c>
    </row>
    <row r="917" spans="1:17" x14ac:dyDescent="0.3">
      <c r="A917" t="s">
        <v>47</v>
      </c>
      <c r="B917" t="str">
        <f>"000158"</f>
        <v>000158</v>
      </c>
      <c r="C917" t="s">
        <v>2075</v>
      </c>
      <c r="D917" t="s">
        <v>700</v>
      </c>
      <c r="E917">
        <v>15684694053</v>
      </c>
      <c r="F917">
        <v>14242918403</v>
      </c>
      <c r="G917">
        <v>13890643093</v>
      </c>
      <c r="H917">
        <v>13546583161</v>
      </c>
      <c r="I917">
        <v>12689733193</v>
      </c>
      <c r="J917">
        <v>11823175756</v>
      </c>
      <c r="K917">
        <v>11033361986</v>
      </c>
      <c r="L917">
        <v>5681334569</v>
      </c>
      <c r="M917">
        <v>5610797306</v>
      </c>
      <c r="N917">
        <v>5707125697</v>
      </c>
      <c r="O917">
        <v>6063937306</v>
      </c>
      <c r="P917">
        <v>295</v>
      </c>
      <c r="Q917" t="s">
        <v>2076</v>
      </c>
    </row>
    <row r="918" spans="1:17" x14ac:dyDescent="0.3">
      <c r="A918" t="s">
        <v>47</v>
      </c>
      <c r="B918" t="str">
        <f>"002249"</f>
        <v>002249</v>
      </c>
      <c r="C918" t="s">
        <v>2077</v>
      </c>
      <c r="D918" t="s">
        <v>1594</v>
      </c>
      <c r="E918">
        <v>15671786903</v>
      </c>
      <c r="F918">
        <v>14309320367</v>
      </c>
      <c r="G918">
        <v>12691091955</v>
      </c>
      <c r="H918">
        <v>14808456949</v>
      </c>
      <c r="I918">
        <v>17076150765</v>
      </c>
      <c r="J918">
        <v>14956652552</v>
      </c>
      <c r="K918">
        <v>12675639608</v>
      </c>
      <c r="L918">
        <v>6256295981</v>
      </c>
      <c r="M918">
        <v>5744626793</v>
      </c>
      <c r="N918">
        <v>3938885175</v>
      </c>
      <c r="O918">
        <v>3552363794</v>
      </c>
      <c r="P918">
        <v>338</v>
      </c>
      <c r="Q918" t="s">
        <v>2078</v>
      </c>
    </row>
    <row r="919" spans="1:17" x14ac:dyDescent="0.3">
      <c r="A919" t="s">
        <v>47</v>
      </c>
      <c r="B919" t="str">
        <f>"002277"</f>
        <v>002277</v>
      </c>
      <c r="C919" t="s">
        <v>2079</v>
      </c>
      <c r="D919" t="s">
        <v>1073</v>
      </c>
      <c r="E919">
        <v>15648225702</v>
      </c>
      <c r="F919">
        <v>17062623313</v>
      </c>
      <c r="G919">
        <v>16277814035</v>
      </c>
      <c r="H919">
        <v>15479992235</v>
      </c>
      <c r="I919">
        <v>12850673055</v>
      </c>
      <c r="J919">
        <v>11794010042</v>
      </c>
      <c r="K919">
        <v>11654602068</v>
      </c>
      <c r="L919">
        <v>8584453656</v>
      </c>
      <c r="M919">
        <v>5924372281</v>
      </c>
      <c r="N919">
        <v>5922619306</v>
      </c>
      <c r="O919">
        <v>4753290365</v>
      </c>
      <c r="P919">
        <v>145</v>
      </c>
      <c r="Q919" t="s">
        <v>2080</v>
      </c>
    </row>
    <row r="920" spans="1:17" x14ac:dyDescent="0.3">
      <c r="A920" t="s">
        <v>17</v>
      </c>
      <c r="B920" t="str">
        <f>"603816"</f>
        <v>603816</v>
      </c>
      <c r="C920" t="s">
        <v>2081</v>
      </c>
      <c r="D920" t="s">
        <v>2082</v>
      </c>
      <c r="E920">
        <v>15647612579</v>
      </c>
      <c r="F920">
        <v>12917206169</v>
      </c>
      <c r="G920">
        <v>11253865935</v>
      </c>
      <c r="H920">
        <v>10309067528</v>
      </c>
      <c r="I920">
        <v>6492551832</v>
      </c>
      <c r="J920">
        <v>5276778188</v>
      </c>
      <c r="P920">
        <v>1965</v>
      </c>
      <c r="Q920" t="s">
        <v>2083</v>
      </c>
    </row>
    <row r="921" spans="1:17" x14ac:dyDescent="0.3">
      <c r="A921" t="s">
        <v>47</v>
      </c>
      <c r="B921" t="str">
        <f>"002226"</f>
        <v>002226</v>
      </c>
      <c r="C921" t="s">
        <v>2084</v>
      </c>
      <c r="D921" t="s">
        <v>1995</v>
      </c>
      <c r="E921">
        <v>15599611513</v>
      </c>
      <c r="F921">
        <v>12241897057</v>
      </c>
      <c r="G921">
        <v>12034043699</v>
      </c>
      <c r="H921">
        <v>11916046698</v>
      </c>
      <c r="I921">
        <v>12476280136</v>
      </c>
      <c r="J921">
        <v>5240224254</v>
      </c>
      <c r="K921">
        <v>4209874519</v>
      </c>
      <c r="L921">
        <v>3928187025</v>
      </c>
      <c r="M921">
        <v>4111597435</v>
      </c>
      <c r="N921">
        <v>3384223691</v>
      </c>
      <c r="O921">
        <v>3098324176</v>
      </c>
      <c r="P921">
        <v>172</v>
      </c>
      <c r="Q921" t="s">
        <v>2085</v>
      </c>
    </row>
    <row r="922" spans="1:17" x14ac:dyDescent="0.3">
      <c r="A922" t="s">
        <v>47</v>
      </c>
      <c r="B922" t="str">
        <f>"000923"</f>
        <v>000923</v>
      </c>
      <c r="C922" t="s">
        <v>2086</v>
      </c>
      <c r="D922" t="s">
        <v>2087</v>
      </c>
      <c r="E922">
        <v>15597140594</v>
      </c>
      <c r="F922">
        <v>14243567390</v>
      </c>
      <c r="G922">
        <v>10977193488</v>
      </c>
      <c r="H922">
        <v>12412478393</v>
      </c>
      <c r="I922">
        <v>13589263765</v>
      </c>
      <c r="J922">
        <v>1356970331</v>
      </c>
      <c r="K922">
        <v>1490389193</v>
      </c>
      <c r="L922">
        <v>1521026252</v>
      </c>
      <c r="M922">
        <v>1591308697</v>
      </c>
      <c r="N922">
        <v>1487598756</v>
      </c>
      <c r="O922">
        <v>1274454986</v>
      </c>
      <c r="P922">
        <v>224</v>
      </c>
      <c r="Q922" t="s">
        <v>2088</v>
      </c>
    </row>
    <row r="923" spans="1:17" x14ac:dyDescent="0.3">
      <c r="A923" t="s">
        <v>47</v>
      </c>
      <c r="B923" t="str">
        <f>"002482"</f>
        <v>002482</v>
      </c>
      <c r="C923" t="s">
        <v>2089</v>
      </c>
      <c r="D923" t="s">
        <v>1163</v>
      </c>
      <c r="E923">
        <v>15573947101</v>
      </c>
      <c r="F923">
        <v>22249029692</v>
      </c>
      <c r="G923">
        <v>22922372499</v>
      </c>
      <c r="H923">
        <v>19842924938</v>
      </c>
      <c r="I923">
        <v>16339214358</v>
      </c>
      <c r="J923">
        <v>15007971549</v>
      </c>
      <c r="K923">
        <v>13584873753</v>
      </c>
      <c r="L923">
        <v>11160512692</v>
      </c>
      <c r="M923">
        <v>8867986979</v>
      </c>
      <c r="N923">
        <v>6731838166</v>
      </c>
      <c r="O923">
        <v>5173718566</v>
      </c>
      <c r="P923">
        <v>112</v>
      </c>
      <c r="Q923" t="s">
        <v>2090</v>
      </c>
    </row>
    <row r="924" spans="1:17" x14ac:dyDescent="0.3">
      <c r="A924" t="s">
        <v>17</v>
      </c>
      <c r="B924" t="str">
        <f>"601339"</f>
        <v>601339</v>
      </c>
      <c r="C924" t="s">
        <v>2091</v>
      </c>
      <c r="D924" t="s">
        <v>1682</v>
      </c>
      <c r="E924">
        <v>15471479838</v>
      </c>
      <c r="F924">
        <v>13973014263</v>
      </c>
      <c r="G924">
        <v>14034940716</v>
      </c>
      <c r="H924">
        <v>15578243185</v>
      </c>
      <c r="I924">
        <v>12008939626</v>
      </c>
      <c r="J924">
        <v>11571674350</v>
      </c>
      <c r="K924">
        <v>10585749023</v>
      </c>
      <c r="L924">
        <v>10366575329</v>
      </c>
      <c r="M924">
        <v>9290397581</v>
      </c>
      <c r="N924">
        <v>8364032556</v>
      </c>
      <c r="P924">
        <v>207</v>
      </c>
      <c r="Q924" t="s">
        <v>2092</v>
      </c>
    </row>
    <row r="925" spans="1:17" x14ac:dyDescent="0.3">
      <c r="A925" t="s">
        <v>17</v>
      </c>
      <c r="B925" t="str">
        <f>"600073"</f>
        <v>600073</v>
      </c>
      <c r="C925" t="s">
        <v>2093</v>
      </c>
      <c r="D925" t="s">
        <v>1078</v>
      </c>
      <c r="E925">
        <v>15439266717</v>
      </c>
      <c r="F925">
        <v>15446007217</v>
      </c>
      <c r="G925">
        <v>14352487061</v>
      </c>
      <c r="H925">
        <v>11868275485</v>
      </c>
      <c r="I925">
        <v>11266015732</v>
      </c>
      <c r="J925">
        <v>11810176860</v>
      </c>
      <c r="K925">
        <v>7722998969</v>
      </c>
      <c r="L925">
        <v>6308722250</v>
      </c>
      <c r="M925">
        <v>5450923839</v>
      </c>
      <c r="N925">
        <v>5272593126</v>
      </c>
      <c r="O925">
        <v>3869300714</v>
      </c>
      <c r="P925">
        <v>442</v>
      </c>
      <c r="Q925" t="s">
        <v>2094</v>
      </c>
    </row>
    <row r="926" spans="1:17" x14ac:dyDescent="0.3">
      <c r="A926" t="s">
        <v>17</v>
      </c>
      <c r="B926" t="str">
        <f>"603056"</f>
        <v>603056</v>
      </c>
      <c r="C926" t="s">
        <v>2095</v>
      </c>
      <c r="D926" t="s">
        <v>1035</v>
      </c>
      <c r="E926">
        <v>15390464387</v>
      </c>
      <c r="F926">
        <v>12516817947</v>
      </c>
      <c r="G926">
        <v>9162478446</v>
      </c>
      <c r="H926">
        <v>8491273524</v>
      </c>
      <c r="I926">
        <v>7254574365</v>
      </c>
      <c r="P926">
        <v>412</v>
      </c>
      <c r="Q926" t="s">
        <v>2096</v>
      </c>
    </row>
    <row r="927" spans="1:17" x14ac:dyDescent="0.3">
      <c r="A927" t="s">
        <v>47</v>
      </c>
      <c r="B927" t="str">
        <f>"000521"</f>
        <v>000521</v>
      </c>
      <c r="C927" t="s">
        <v>2097</v>
      </c>
      <c r="D927" t="s">
        <v>323</v>
      </c>
      <c r="E927">
        <v>15379389911</v>
      </c>
      <c r="F927">
        <v>16470662000</v>
      </c>
      <c r="G927">
        <v>13792441370</v>
      </c>
      <c r="H927">
        <v>15122914651</v>
      </c>
      <c r="I927">
        <v>16634614645</v>
      </c>
      <c r="J927">
        <v>14635416631</v>
      </c>
      <c r="K927">
        <v>9896368388</v>
      </c>
      <c r="L927">
        <v>9946292775</v>
      </c>
      <c r="M927">
        <v>9366978350</v>
      </c>
      <c r="N927">
        <v>8362773656</v>
      </c>
      <c r="O927">
        <v>7713392031</v>
      </c>
      <c r="P927">
        <v>181</v>
      </c>
      <c r="Q927" t="s">
        <v>2098</v>
      </c>
    </row>
    <row r="928" spans="1:17" x14ac:dyDescent="0.3">
      <c r="A928" t="s">
        <v>47</v>
      </c>
      <c r="B928" t="str">
        <f>"300355"</f>
        <v>300355</v>
      </c>
      <c r="C928" t="s">
        <v>2099</v>
      </c>
      <c r="D928" t="s">
        <v>952</v>
      </c>
      <c r="E928">
        <v>15343421949</v>
      </c>
      <c r="F928">
        <v>14917408175</v>
      </c>
      <c r="G928">
        <v>15767017113</v>
      </c>
      <c r="H928">
        <v>14314256292</v>
      </c>
      <c r="I928">
        <v>11793798046</v>
      </c>
      <c r="J928">
        <v>6576264135</v>
      </c>
      <c r="K928">
        <v>4364138878</v>
      </c>
      <c r="L928">
        <v>3326382080</v>
      </c>
      <c r="M928">
        <v>2529095674</v>
      </c>
      <c r="N928">
        <v>1253046768</v>
      </c>
      <c r="P928">
        <v>406</v>
      </c>
      <c r="Q928" t="s">
        <v>2100</v>
      </c>
    </row>
    <row r="929" spans="1:17" x14ac:dyDescent="0.3">
      <c r="A929" t="s">
        <v>47</v>
      </c>
      <c r="B929" t="str">
        <f>"002462"</f>
        <v>002462</v>
      </c>
      <c r="C929" t="s">
        <v>2101</v>
      </c>
      <c r="D929" t="s">
        <v>362</v>
      </c>
      <c r="E929">
        <v>15337191398</v>
      </c>
      <c r="F929">
        <v>14051071265</v>
      </c>
      <c r="G929">
        <v>12555887801</v>
      </c>
      <c r="H929">
        <v>11797198848</v>
      </c>
      <c r="I929">
        <v>10041611477</v>
      </c>
      <c r="J929">
        <v>7799183114</v>
      </c>
      <c r="K929">
        <v>6201497142</v>
      </c>
      <c r="L929">
        <v>4779587454</v>
      </c>
      <c r="M929">
        <v>2830992007</v>
      </c>
      <c r="N929">
        <v>1965871601</v>
      </c>
      <c r="O929">
        <v>1633725446</v>
      </c>
      <c r="P929">
        <v>258</v>
      </c>
      <c r="Q929" t="s">
        <v>2102</v>
      </c>
    </row>
    <row r="930" spans="1:17" x14ac:dyDescent="0.3">
      <c r="A930" t="s">
        <v>47</v>
      </c>
      <c r="B930" t="str">
        <f>"002567"</f>
        <v>002567</v>
      </c>
      <c r="C930" t="s">
        <v>2103</v>
      </c>
      <c r="D930" t="s">
        <v>1390</v>
      </c>
      <c r="E930">
        <v>15302900790</v>
      </c>
      <c r="F930">
        <v>13158901397</v>
      </c>
      <c r="G930">
        <v>8755864994</v>
      </c>
      <c r="H930">
        <v>6788504633</v>
      </c>
      <c r="I930">
        <v>6169519410</v>
      </c>
      <c r="J930">
        <v>5460690504</v>
      </c>
      <c r="K930">
        <v>3796613922</v>
      </c>
      <c r="L930">
        <v>3770208315</v>
      </c>
      <c r="M930">
        <v>3757188718</v>
      </c>
      <c r="N930">
        <v>2524056449</v>
      </c>
      <c r="O930">
        <v>2126322867</v>
      </c>
      <c r="P930">
        <v>451</v>
      </c>
      <c r="Q930" t="s">
        <v>2104</v>
      </c>
    </row>
    <row r="931" spans="1:17" x14ac:dyDescent="0.3">
      <c r="A931" t="s">
        <v>47</v>
      </c>
      <c r="B931" t="str">
        <f>"000672"</f>
        <v>000672</v>
      </c>
      <c r="C931" t="s">
        <v>2105</v>
      </c>
      <c r="D931" t="s">
        <v>253</v>
      </c>
      <c r="E931">
        <v>15281661344</v>
      </c>
      <c r="F931">
        <v>11546682220</v>
      </c>
      <c r="G931">
        <v>9762279800</v>
      </c>
      <c r="H931">
        <v>7487981372</v>
      </c>
      <c r="I931">
        <v>6315651300</v>
      </c>
      <c r="J931">
        <v>5874602556</v>
      </c>
      <c r="K931">
        <v>4520661065</v>
      </c>
      <c r="L931">
        <v>3776212397</v>
      </c>
      <c r="M931">
        <v>3182608899</v>
      </c>
      <c r="N931">
        <v>29105206</v>
      </c>
      <c r="O931">
        <v>95572100</v>
      </c>
      <c r="P931">
        <v>1263</v>
      </c>
      <c r="Q931" t="s">
        <v>2106</v>
      </c>
    </row>
    <row r="932" spans="1:17" x14ac:dyDescent="0.3">
      <c r="A932" t="s">
        <v>47</v>
      </c>
      <c r="B932" t="str">
        <f>"002056"</f>
        <v>002056</v>
      </c>
      <c r="C932" t="s">
        <v>2107</v>
      </c>
      <c r="D932" t="s">
        <v>2108</v>
      </c>
      <c r="E932">
        <v>15226937026</v>
      </c>
      <c r="F932">
        <v>10990026070</v>
      </c>
      <c r="G932">
        <v>8728060918</v>
      </c>
      <c r="H932">
        <v>7211140055</v>
      </c>
      <c r="I932">
        <v>6501834841</v>
      </c>
      <c r="J932">
        <v>5329289717</v>
      </c>
      <c r="K932">
        <v>5228059919</v>
      </c>
      <c r="L932">
        <v>4721674897</v>
      </c>
      <c r="M932">
        <v>4441207022</v>
      </c>
      <c r="N932">
        <v>4215314730</v>
      </c>
      <c r="O932">
        <v>4553003214</v>
      </c>
      <c r="P932">
        <v>783</v>
      </c>
      <c r="Q932" t="s">
        <v>2109</v>
      </c>
    </row>
    <row r="933" spans="1:17" x14ac:dyDescent="0.3">
      <c r="A933" t="s">
        <v>17</v>
      </c>
      <c r="B933" t="str">
        <f>"600167"</f>
        <v>600167</v>
      </c>
      <c r="C933" t="s">
        <v>2110</v>
      </c>
      <c r="D933" t="s">
        <v>1293</v>
      </c>
      <c r="E933">
        <v>15213258280</v>
      </c>
      <c r="F933">
        <v>13025543854</v>
      </c>
      <c r="G933">
        <v>11757358454</v>
      </c>
      <c r="H933">
        <v>10567639305</v>
      </c>
      <c r="I933">
        <v>10809382602</v>
      </c>
      <c r="J933">
        <v>6108393946</v>
      </c>
      <c r="K933">
        <v>3073451259</v>
      </c>
      <c r="L933">
        <v>2745785231</v>
      </c>
      <c r="M933">
        <v>2591107657</v>
      </c>
      <c r="N933">
        <v>2167359503</v>
      </c>
      <c r="O933">
        <v>1720452004</v>
      </c>
      <c r="P933">
        <v>39750</v>
      </c>
      <c r="Q933" t="s">
        <v>2111</v>
      </c>
    </row>
    <row r="934" spans="1:17" x14ac:dyDescent="0.3">
      <c r="A934" t="s">
        <v>47</v>
      </c>
      <c r="B934" t="str">
        <f>"002555"</f>
        <v>002555</v>
      </c>
      <c r="C934" t="s">
        <v>2112</v>
      </c>
      <c r="D934" t="s">
        <v>1032</v>
      </c>
      <c r="E934">
        <v>15175490351</v>
      </c>
      <c r="F934">
        <v>13646622737</v>
      </c>
      <c r="G934">
        <v>12507924660</v>
      </c>
      <c r="H934">
        <v>8705320519</v>
      </c>
      <c r="I934">
        <v>9022982741</v>
      </c>
      <c r="J934">
        <v>7029019481</v>
      </c>
      <c r="K934">
        <v>4912536409</v>
      </c>
      <c r="L934">
        <v>3632014833</v>
      </c>
      <c r="M934">
        <v>790289556</v>
      </c>
      <c r="N934">
        <v>832908811</v>
      </c>
      <c r="O934">
        <v>829671198</v>
      </c>
      <c r="P934">
        <v>2918</v>
      </c>
      <c r="Q934" t="s">
        <v>2113</v>
      </c>
    </row>
    <row r="935" spans="1:17" x14ac:dyDescent="0.3">
      <c r="A935" t="s">
        <v>47</v>
      </c>
      <c r="B935" t="str">
        <f>"300296"</f>
        <v>300296</v>
      </c>
      <c r="C935" t="s">
        <v>2114</v>
      </c>
      <c r="D935" t="s">
        <v>862</v>
      </c>
      <c r="E935">
        <v>15165140569</v>
      </c>
      <c r="F935">
        <v>13543738420</v>
      </c>
      <c r="G935">
        <v>14244408654</v>
      </c>
      <c r="H935">
        <v>14791625211</v>
      </c>
      <c r="I935">
        <v>11948354729</v>
      </c>
      <c r="J935">
        <v>10869009612</v>
      </c>
      <c r="K935">
        <v>5343971870</v>
      </c>
      <c r="L935">
        <v>1919533253</v>
      </c>
      <c r="M935">
        <v>1181366857</v>
      </c>
      <c r="N935">
        <v>925477570</v>
      </c>
      <c r="O935">
        <v>818638179</v>
      </c>
      <c r="P935">
        <v>1699</v>
      </c>
      <c r="Q935" t="s">
        <v>2115</v>
      </c>
    </row>
    <row r="936" spans="1:17" x14ac:dyDescent="0.3">
      <c r="A936" t="s">
        <v>47</v>
      </c>
      <c r="B936" t="str">
        <f>"000048"</f>
        <v>000048</v>
      </c>
      <c r="C936" t="s">
        <v>2116</v>
      </c>
      <c r="D936" t="s">
        <v>76</v>
      </c>
      <c r="E936">
        <v>15160052207</v>
      </c>
      <c r="F936">
        <v>9099152320</v>
      </c>
      <c r="G936">
        <v>6918027245</v>
      </c>
      <c r="H936">
        <v>5804758385</v>
      </c>
      <c r="I936">
        <v>3671789299</v>
      </c>
      <c r="J936">
        <v>2182158177</v>
      </c>
      <c r="K936">
        <v>1890997263</v>
      </c>
      <c r="L936">
        <v>2130802316</v>
      </c>
      <c r="M936">
        <v>1435472828</v>
      </c>
      <c r="N936">
        <v>1201431621</v>
      </c>
      <c r="O936">
        <v>1200057138</v>
      </c>
      <c r="P936">
        <v>588</v>
      </c>
      <c r="Q936" t="s">
        <v>2117</v>
      </c>
    </row>
    <row r="937" spans="1:17" x14ac:dyDescent="0.3">
      <c r="A937" t="s">
        <v>47</v>
      </c>
      <c r="B937" t="str">
        <f>"300428"</f>
        <v>300428</v>
      </c>
      <c r="C937" t="s">
        <v>2118</v>
      </c>
      <c r="D937" t="s">
        <v>1102</v>
      </c>
      <c r="E937">
        <v>15155198094</v>
      </c>
      <c r="F937">
        <v>11861668349</v>
      </c>
      <c r="G937">
        <v>6779964526</v>
      </c>
      <c r="H937">
        <v>6907883419</v>
      </c>
      <c r="I937">
        <v>959079035</v>
      </c>
      <c r="J937">
        <v>824536491</v>
      </c>
      <c r="K937">
        <v>700291600</v>
      </c>
      <c r="L937">
        <v>794434646</v>
      </c>
      <c r="P937">
        <v>171</v>
      </c>
      <c r="Q937" t="s">
        <v>2119</v>
      </c>
    </row>
    <row r="938" spans="1:17" x14ac:dyDescent="0.3">
      <c r="A938" t="s">
        <v>17</v>
      </c>
      <c r="B938" t="str">
        <f>"600603"</f>
        <v>600603</v>
      </c>
      <c r="C938" t="s">
        <v>2120</v>
      </c>
      <c r="D938" t="s">
        <v>76</v>
      </c>
      <c r="E938">
        <v>15100806111</v>
      </c>
      <c r="F938">
        <v>17236297893</v>
      </c>
      <c r="G938">
        <v>16819508620</v>
      </c>
      <c r="H938">
        <v>14027028080</v>
      </c>
      <c r="I938">
        <v>9689804904</v>
      </c>
      <c r="J938">
        <v>6517382072</v>
      </c>
      <c r="K938">
        <v>257198708</v>
      </c>
      <c r="L938">
        <v>380432870</v>
      </c>
      <c r="M938">
        <v>365969470</v>
      </c>
      <c r="N938">
        <v>39674606</v>
      </c>
      <c r="O938">
        <v>33112723</v>
      </c>
      <c r="P938">
        <v>510</v>
      </c>
      <c r="Q938" t="s">
        <v>2121</v>
      </c>
    </row>
    <row r="939" spans="1:17" x14ac:dyDescent="0.3">
      <c r="A939" t="s">
        <v>47</v>
      </c>
      <c r="B939" t="str">
        <f>"300072"</f>
        <v>300072</v>
      </c>
      <c r="C939" t="s">
        <v>2122</v>
      </c>
      <c r="D939" t="s">
        <v>1426</v>
      </c>
      <c r="E939">
        <v>15083869179</v>
      </c>
      <c r="F939">
        <v>18553042265</v>
      </c>
      <c r="G939">
        <v>20424193445</v>
      </c>
      <c r="H939">
        <v>25361862041</v>
      </c>
      <c r="I939">
        <v>25616579130</v>
      </c>
      <c r="J939">
        <v>19431566962</v>
      </c>
      <c r="K939">
        <v>11566784639</v>
      </c>
      <c r="L939">
        <v>5468087706</v>
      </c>
      <c r="M939">
        <v>3965617004</v>
      </c>
      <c r="N939">
        <v>2657059045</v>
      </c>
      <c r="O939">
        <v>1984165642</v>
      </c>
      <c r="P939">
        <v>1138</v>
      </c>
      <c r="Q939" t="s">
        <v>2123</v>
      </c>
    </row>
    <row r="940" spans="1:17" x14ac:dyDescent="0.3">
      <c r="A940" t="s">
        <v>17</v>
      </c>
      <c r="B940" t="str">
        <f>"600486"</f>
        <v>600486</v>
      </c>
      <c r="C940" t="s">
        <v>2124</v>
      </c>
      <c r="D940" t="s">
        <v>819</v>
      </c>
      <c r="E940">
        <v>15071094009</v>
      </c>
      <c r="F940">
        <v>12048496791</v>
      </c>
      <c r="G940">
        <v>10877791472</v>
      </c>
      <c r="H940">
        <v>7616636901</v>
      </c>
      <c r="I940">
        <v>6864378298</v>
      </c>
      <c r="J940">
        <v>6076271491</v>
      </c>
      <c r="K940">
        <v>4853023984</v>
      </c>
      <c r="L940">
        <v>4425238431</v>
      </c>
      <c r="M940">
        <v>3834284685</v>
      </c>
      <c r="N940">
        <v>3497954146</v>
      </c>
      <c r="O940">
        <v>2986045727</v>
      </c>
      <c r="P940">
        <v>1252</v>
      </c>
      <c r="Q940" t="s">
        <v>2125</v>
      </c>
    </row>
    <row r="941" spans="1:17" x14ac:dyDescent="0.3">
      <c r="A941" t="s">
        <v>47</v>
      </c>
      <c r="B941" t="str">
        <f>"300476"</f>
        <v>300476</v>
      </c>
      <c r="C941" t="s">
        <v>2126</v>
      </c>
      <c r="D941" t="s">
        <v>1115</v>
      </c>
      <c r="E941">
        <v>15071000169</v>
      </c>
      <c r="F941">
        <v>10598842364</v>
      </c>
      <c r="G941">
        <v>7026020286</v>
      </c>
      <c r="H941">
        <v>5543907748</v>
      </c>
      <c r="I941">
        <v>4211766040</v>
      </c>
      <c r="J941">
        <v>2327130651</v>
      </c>
      <c r="K941">
        <v>2070108182</v>
      </c>
      <c r="L941">
        <v>1278947400</v>
      </c>
      <c r="P941">
        <v>633</v>
      </c>
      <c r="Q941" t="s">
        <v>2127</v>
      </c>
    </row>
    <row r="942" spans="1:17" x14ac:dyDescent="0.3">
      <c r="A942" t="s">
        <v>47</v>
      </c>
      <c r="B942" t="str">
        <f>"000719"</f>
        <v>000719</v>
      </c>
      <c r="C942" t="s">
        <v>2128</v>
      </c>
      <c r="D942" t="s">
        <v>1288</v>
      </c>
      <c r="E942">
        <v>14991416045</v>
      </c>
      <c r="F942">
        <v>13649145838</v>
      </c>
      <c r="G942">
        <v>12524100155</v>
      </c>
      <c r="H942">
        <v>11856637410</v>
      </c>
      <c r="I942">
        <v>11471474744</v>
      </c>
      <c r="J942">
        <v>10480522595</v>
      </c>
      <c r="K942">
        <v>9502930530</v>
      </c>
      <c r="L942">
        <v>8786952723</v>
      </c>
      <c r="M942">
        <v>3021325259</v>
      </c>
      <c r="N942">
        <v>2665756645</v>
      </c>
      <c r="O942">
        <v>2186213672</v>
      </c>
      <c r="P942">
        <v>695</v>
      </c>
      <c r="Q942" t="s">
        <v>2129</v>
      </c>
    </row>
    <row r="943" spans="1:17" x14ac:dyDescent="0.3">
      <c r="A943" t="s">
        <v>47</v>
      </c>
      <c r="B943" t="str">
        <f>"002911"</f>
        <v>002911</v>
      </c>
      <c r="C943" t="s">
        <v>2130</v>
      </c>
      <c r="D943" t="s">
        <v>476</v>
      </c>
      <c r="E943">
        <v>14990979473</v>
      </c>
      <c r="F943">
        <v>11694423537</v>
      </c>
      <c r="G943">
        <v>7193299923</v>
      </c>
      <c r="H943">
        <v>5862390256</v>
      </c>
      <c r="I943">
        <v>5222987306</v>
      </c>
      <c r="P943">
        <v>183</v>
      </c>
      <c r="Q943" t="s">
        <v>2131</v>
      </c>
    </row>
    <row r="944" spans="1:17" x14ac:dyDescent="0.3">
      <c r="A944" t="s">
        <v>47</v>
      </c>
      <c r="B944" t="str">
        <f>"300388"</f>
        <v>300388</v>
      </c>
      <c r="C944" t="s">
        <v>2132</v>
      </c>
      <c r="D944" t="s">
        <v>520</v>
      </c>
      <c r="E944">
        <v>14980589074</v>
      </c>
      <c r="F944">
        <v>14165562269</v>
      </c>
      <c r="G944">
        <v>14218084030</v>
      </c>
      <c r="H944">
        <v>10731983273</v>
      </c>
      <c r="I944">
        <v>8191020307</v>
      </c>
      <c r="J944">
        <v>5653932513</v>
      </c>
      <c r="K944">
        <v>4315511227</v>
      </c>
      <c r="L944">
        <v>2758529915</v>
      </c>
      <c r="M944">
        <v>2164473707</v>
      </c>
      <c r="P944">
        <v>225</v>
      </c>
      <c r="Q944" t="s">
        <v>2133</v>
      </c>
    </row>
    <row r="945" spans="1:17" x14ac:dyDescent="0.3">
      <c r="A945" t="s">
        <v>47</v>
      </c>
      <c r="B945" t="str">
        <f>"301236"</f>
        <v>301236</v>
      </c>
      <c r="C945" t="s">
        <v>2134</v>
      </c>
      <c r="E945">
        <v>14898050074</v>
      </c>
      <c r="P945">
        <v>4</v>
      </c>
      <c r="Q945" t="s">
        <v>2135</v>
      </c>
    </row>
    <row r="946" spans="1:17" x14ac:dyDescent="0.3">
      <c r="A946" t="s">
        <v>17</v>
      </c>
      <c r="B946" t="str">
        <f>"601929"</f>
        <v>601929</v>
      </c>
      <c r="C946" t="s">
        <v>2136</v>
      </c>
      <c r="D946" t="s">
        <v>973</v>
      </c>
      <c r="E946">
        <v>14862437614</v>
      </c>
      <c r="F946">
        <v>14608540591</v>
      </c>
      <c r="G946">
        <v>13960029263</v>
      </c>
      <c r="H946">
        <v>13179511045</v>
      </c>
      <c r="I946">
        <v>13045659423</v>
      </c>
      <c r="J946">
        <v>9727077807</v>
      </c>
      <c r="K946">
        <v>9528252075</v>
      </c>
      <c r="L946">
        <v>9240130142</v>
      </c>
      <c r="M946">
        <v>6350345959</v>
      </c>
      <c r="N946">
        <v>5473583803</v>
      </c>
      <c r="O946">
        <v>5810090452</v>
      </c>
      <c r="P946">
        <v>159</v>
      </c>
      <c r="Q946" t="s">
        <v>2137</v>
      </c>
    </row>
    <row r="947" spans="1:17" x14ac:dyDescent="0.3">
      <c r="A947" t="s">
        <v>17</v>
      </c>
      <c r="B947" t="str">
        <f>"600773"</f>
        <v>600773</v>
      </c>
      <c r="C947" t="s">
        <v>2138</v>
      </c>
      <c r="D947" t="s">
        <v>76</v>
      </c>
      <c r="E947">
        <v>14800677713</v>
      </c>
      <c r="F947">
        <v>14642093504</v>
      </c>
      <c r="G947">
        <v>13252521552</v>
      </c>
      <c r="H947">
        <v>11647669940</v>
      </c>
      <c r="I947">
        <v>11780033296</v>
      </c>
      <c r="J947">
        <v>9447978467</v>
      </c>
      <c r="K947">
        <v>11186942247</v>
      </c>
      <c r="L947">
        <v>10572011322</v>
      </c>
      <c r="M947">
        <v>8826230554</v>
      </c>
      <c r="N947">
        <v>8880240601</v>
      </c>
      <c r="O947">
        <v>8477166148</v>
      </c>
      <c r="P947">
        <v>143</v>
      </c>
      <c r="Q947" t="s">
        <v>2139</v>
      </c>
    </row>
    <row r="948" spans="1:17" x14ac:dyDescent="0.3">
      <c r="A948" t="s">
        <v>47</v>
      </c>
      <c r="B948" t="str">
        <f>"002465"</f>
        <v>002465</v>
      </c>
      <c r="C948" t="s">
        <v>2140</v>
      </c>
      <c r="D948" t="s">
        <v>1385</v>
      </c>
      <c r="E948">
        <v>14761190308</v>
      </c>
      <c r="F948">
        <v>14176256907</v>
      </c>
      <c r="G948">
        <v>12893220696</v>
      </c>
      <c r="H948">
        <v>11385199483</v>
      </c>
      <c r="I948">
        <v>11585849121</v>
      </c>
      <c r="J948">
        <v>10729663353</v>
      </c>
      <c r="K948">
        <v>9868716771</v>
      </c>
      <c r="L948">
        <v>8332821634</v>
      </c>
      <c r="M948">
        <v>6736050411</v>
      </c>
      <c r="N948">
        <v>5083390860</v>
      </c>
      <c r="O948">
        <v>4751762968</v>
      </c>
      <c r="P948">
        <v>544</v>
      </c>
      <c r="Q948" t="s">
        <v>2141</v>
      </c>
    </row>
    <row r="949" spans="1:17" x14ac:dyDescent="0.3">
      <c r="A949" t="s">
        <v>17</v>
      </c>
      <c r="B949" t="str">
        <f>"603369"</f>
        <v>603369</v>
      </c>
      <c r="C949" t="s">
        <v>2142</v>
      </c>
      <c r="D949" t="s">
        <v>286</v>
      </c>
      <c r="E949">
        <v>14750826789</v>
      </c>
      <c r="F949">
        <v>11860155460</v>
      </c>
      <c r="G949">
        <v>9581043146</v>
      </c>
      <c r="H949">
        <v>8339887403</v>
      </c>
      <c r="I949">
        <v>7229899420</v>
      </c>
      <c r="J949">
        <v>6111528721</v>
      </c>
      <c r="K949">
        <v>5626623169</v>
      </c>
      <c r="L949">
        <v>4667436016</v>
      </c>
      <c r="M949">
        <v>3294419800</v>
      </c>
      <c r="P949">
        <v>35436</v>
      </c>
      <c r="Q949" t="s">
        <v>2143</v>
      </c>
    </row>
    <row r="950" spans="1:17" x14ac:dyDescent="0.3">
      <c r="A950" t="s">
        <v>17</v>
      </c>
      <c r="B950" t="str">
        <f>"601958"</f>
        <v>601958</v>
      </c>
      <c r="C950" t="s">
        <v>2144</v>
      </c>
      <c r="D950" t="s">
        <v>388</v>
      </c>
      <c r="E950">
        <v>14739157365</v>
      </c>
      <c r="F950">
        <v>14456208867</v>
      </c>
      <c r="G950">
        <v>15322706587</v>
      </c>
      <c r="H950">
        <v>15712463153</v>
      </c>
      <c r="I950">
        <v>15991449996</v>
      </c>
      <c r="J950">
        <v>16250252689</v>
      </c>
      <c r="K950">
        <v>15807823519</v>
      </c>
      <c r="L950">
        <v>15893379290</v>
      </c>
      <c r="M950">
        <v>15668432963</v>
      </c>
      <c r="N950">
        <v>15182154505</v>
      </c>
      <c r="O950">
        <v>15079818634</v>
      </c>
      <c r="P950">
        <v>244</v>
      </c>
      <c r="Q950" t="s">
        <v>2145</v>
      </c>
    </row>
    <row r="951" spans="1:17" x14ac:dyDescent="0.3">
      <c r="A951" t="s">
        <v>17</v>
      </c>
      <c r="B951" t="str">
        <f>"688728"</f>
        <v>688728</v>
      </c>
      <c r="C951" t="s">
        <v>2146</v>
      </c>
      <c r="D951" t="s">
        <v>967</v>
      </c>
      <c r="E951">
        <v>14731694999</v>
      </c>
      <c r="F951">
        <v>6465515073</v>
      </c>
      <c r="G951">
        <v>5085937060</v>
      </c>
      <c r="P951">
        <v>58</v>
      </c>
      <c r="Q951" t="s">
        <v>2147</v>
      </c>
    </row>
    <row r="952" spans="1:17" x14ac:dyDescent="0.3">
      <c r="A952" t="s">
        <v>17</v>
      </c>
      <c r="B952" t="str">
        <f>"600693"</f>
        <v>600693</v>
      </c>
      <c r="C952" t="s">
        <v>2148</v>
      </c>
      <c r="D952" t="s">
        <v>1073</v>
      </c>
      <c r="E952">
        <v>14730823217</v>
      </c>
      <c r="F952">
        <v>13768182468</v>
      </c>
      <c r="G952">
        <v>9850526959</v>
      </c>
      <c r="H952">
        <v>8397986024</v>
      </c>
      <c r="I952">
        <v>7194774005</v>
      </c>
      <c r="J952">
        <v>6207580836</v>
      </c>
      <c r="K952">
        <v>5525800008</v>
      </c>
      <c r="L952">
        <v>4853488395</v>
      </c>
      <c r="M952">
        <v>3457528413</v>
      </c>
      <c r="N952">
        <v>2261796700</v>
      </c>
      <c r="O952">
        <v>1564093030</v>
      </c>
      <c r="P952">
        <v>103</v>
      </c>
      <c r="Q952" t="s">
        <v>2149</v>
      </c>
    </row>
    <row r="953" spans="1:17" x14ac:dyDescent="0.3">
      <c r="A953" t="s">
        <v>47</v>
      </c>
      <c r="B953" t="str">
        <f>"000552"</f>
        <v>000552</v>
      </c>
      <c r="C953" t="s">
        <v>2150</v>
      </c>
      <c r="D953" t="s">
        <v>141</v>
      </c>
      <c r="E953">
        <v>14701987061</v>
      </c>
      <c r="F953">
        <v>13609412811</v>
      </c>
      <c r="G953">
        <v>10960732526</v>
      </c>
      <c r="H953">
        <v>9997275579</v>
      </c>
      <c r="I953">
        <v>9924269775</v>
      </c>
      <c r="J953">
        <v>9735443269</v>
      </c>
      <c r="K953">
        <v>9703510505</v>
      </c>
      <c r="L953">
        <v>8594029843</v>
      </c>
      <c r="M953">
        <v>5552656456</v>
      </c>
      <c r="N953">
        <v>5127384416</v>
      </c>
      <c r="O953">
        <v>866374066</v>
      </c>
      <c r="P953">
        <v>263</v>
      </c>
      <c r="Q953" t="s">
        <v>2151</v>
      </c>
    </row>
    <row r="954" spans="1:17" x14ac:dyDescent="0.3">
      <c r="A954" t="s">
        <v>17</v>
      </c>
      <c r="B954" t="str">
        <f>"603708"</f>
        <v>603708</v>
      </c>
      <c r="C954" t="s">
        <v>2152</v>
      </c>
      <c r="D954" t="s">
        <v>692</v>
      </c>
      <c r="E954">
        <v>14701161716</v>
      </c>
      <c r="F954">
        <v>13675801099</v>
      </c>
      <c r="G954">
        <v>9035176022</v>
      </c>
      <c r="H954">
        <v>7827679336</v>
      </c>
      <c r="I954">
        <v>7510641432</v>
      </c>
      <c r="J954">
        <v>6047795292</v>
      </c>
      <c r="P954">
        <v>702</v>
      </c>
      <c r="Q954" t="s">
        <v>2153</v>
      </c>
    </row>
    <row r="955" spans="1:17" x14ac:dyDescent="0.3">
      <c r="A955" t="s">
        <v>47</v>
      </c>
      <c r="B955" t="str">
        <f>"000903"</f>
        <v>000903</v>
      </c>
      <c r="C955" t="s">
        <v>2154</v>
      </c>
      <c r="D955" t="s">
        <v>274</v>
      </c>
      <c r="E955">
        <v>14684548859</v>
      </c>
      <c r="F955">
        <v>15571635367</v>
      </c>
      <c r="G955">
        <v>13582224841</v>
      </c>
      <c r="H955">
        <v>12502162034</v>
      </c>
      <c r="I955">
        <v>12118115401</v>
      </c>
      <c r="J955">
        <v>9431957067</v>
      </c>
      <c r="K955">
        <v>7915248057</v>
      </c>
      <c r="L955">
        <v>6799761260</v>
      </c>
      <c r="M955">
        <v>5645264117</v>
      </c>
      <c r="N955">
        <v>5811979582</v>
      </c>
      <c r="O955">
        <v>4416716588</v>
      </c>
      <c r="P955">
        <v>155</v>
      </c>
      <c r="Q955" t="s">
        <v>2155</v>
      </c>
    </row>
    <row r="956" spans="1:17" x14ac:dyDescent="0.3">
      <c r="A956" t="s">
        <v>17</v>
      </c>
      <c r="B956" t="str">
        <f>"603156"</f>
        <v>603156</v>
      </c>
      <c r="C956" t="s">
        <v>2156</v>
      </c>
      <c r="D956" t="s">
        <v>2157</v>
      </c>
      <c r="E956">
        <v>14669522666</v>
      </c>
      <c r="F956">
        <v>14067213621</v>
      </c>
      <c r="G956">
        <v>14303208271</v>
      </c>
      <c r="H956">
        <v>14216027921</v>
      </c>
      <c r="I956">
        <v>13527564195</v>
      </c>
      <c r="P956">
        <v>1235</v>
      </c>
      <c r="Q956" t="s">
        <v>2158</v>
      </c>
    </row>
    <row r="957" spans="1:17" x14ac:dyDescent="0.3">
      <c r="A957" t="s">
        <v>47</v>
      </c>
      <c r="B957" t="str">
        <f>"002036"</f>
        <v>002036</v>
      </c>
      <c r="C957" t="s">
        <v>2159</v>
      </c>
      <c r="D957" t="s">
        <v>1487</v>
      </c>
      <c r="E957">
        <v>14632472842</v>
      </c>
      <c r="F957">
        <v>12608252506</v>
      </c>
      <c r="G957">
        <v>9572079668</v>
      </c>
      <c r="H957">
        <v>7432161368</v>
      </c>
      <c r="I957">
        <v>5360985225</v>
      </c>
      <c r="J957">
        <v>3961615686</v>
      </c>
      <c r="K957">
        <v>2779116993</v>
      </c>
      <c r="L957">
        <v>947347308</v>
      </c>
      <c r="M957">
        <v>722141741</v>
      </c>
      <c r="N957">
        <v>714766119</v>
      </c>
      <c r="O957">
        <v>724183125</v>
      </c>
      <c r="P957">
        <v>548</v>
      </c>
      <c r="Q957" t="s">
        <v>2160</v>
      </c>
    </row>
    <row r="958" spans="1:17" x14ac:dyDescent="0.3">
      <c r="A958" t="s">
        <v>17</v>
      </c>
      <c r="B958" t="str">
        <f>"600758"</f>
        <v>600758</v>
      </c>
      <c r="C958" t="s">
        <v>2161</v>
      </c>
      <c r="D958" t="s">
        <v>530</v>
      </c>
      <c r="E958">
        <v>14624206230</v>
      </c>
      <c r="F958">
        <v>14625701880</v>
      </c>
      <c r="G958">
        <v>16147817965</v>
      </c>
      <c r="H958">
        <v>15153614296</v>
      </c>
      <c r="I958">
        <v>16160723128</v>
      </c>
      <c r="J958">
        <v>17252719062</v>
      </c>
      <c r="K958">
        <v>17488796648</v>
      </c>
      <c r="L958">
        <v>749685975</v>
      </c>
      <c r="M958">
        <v>712058210</v>
      </c>
      <c r="N958">
        <v>561629080</v>
      </c>
      <c r="O958">
        <v>535071732</v>
      </c>
      <c r="P958">
        <v>126</v>
      </c>
      <c r="Q958" t="s">
        <v>2162</v>
      </c>
    </row>
    <row r="959" spans="1:17" x14ac:dyDescent="0.3">
      <c r="A959" t="s">
        <v>47</v>
      </c>
      <c r="B959" t="str">
        <f>"002416"</f>
        <v>002416</v>
      </c>
      <c r="C959" t="s">
        <v>2163</v>
      </c>
      <c r="D959" t="s">
        <v>1904</v>
      </c>
      <c r="E959">
        <v>14619674393</v>
      </c>
      <c r="F959">
        <v>11531174380</v>
      </c>
      <c r="G959">
        <v>11850697294</v>
      </c>
      <c r="H959">
        <v>11516849055</v>
      </c>
      <c r="I959">
        <v>12247716472</v>
      </c>
      <c r="J959">
        <v>10583457205</v>
      </c>
      <c r="K959">
        <v>9812159699</v>
      </c>
      <c r="L959">
        <v>8514235186</v>
      </c>
      <c r="M959">
        <v>14697807760</v>
      </c>
      <c r="N959">
        <v>7827056453</v>
      </c>
      <c r="O959">
        <v>5550676897</v>
      </c>
      <c r="P959">
        <v>251</v>
      </c>
      <c r="Q959" t="s">
        <v>2164</v>
      </c>
    </row>
    <row r="960" spans="1:17" x14ac:dyDescent="0.3">
      <c r="A960" t="s">
        <v>47</v>
      </c>
      <c r="B960" t="str">
        <f>"000988"</f>
        <v>000988</v>
      </c>
      <c r="C960" t="s">
        <v>2165</v>
      </c>
      <c r="D960" t="s">
        <v>1296</v>
      </c>
      <c r="E960">
        <v>14607073099</v>
      </c>
      <c r="F960">
        <v>11394724605</v>
      </c>
      <c r="G960">
        <v>9326476243</v>
      </c>
      <c r="H960">
        <v>8565453929</v>
      </c>
      <c r="I960">
        <v>8863755597</v>
      </c>
      <c r="J960">
        <v>5962809684</v>
      </c>
      <c r="K960">
        <v>5319041555</v>
      </c>
      <c r="L960">
        <v>4729742076</v>
      </c>
      <c r="M960">
        <v>4514238668</v>
      </c>
      <c r="N960">
        <v>4010892621</v>
      </c>
      <c r="O960">
        <v>3686994383</v>
      </c>
      <c r="P960">
        <v>710</v>
      </c>
      <c r="Q960" t="s">
        <v>2166</v>
      </c>
    </row>
    <row r="961" spans="1:17" x14ac:dyDescent="0.3">
      <c r="A961" t="s">
        <v>47</v>
      </c>
      <c r="B961" t="str">
        <f>"300212"</f>
        <v>300212</v>
      </c>
      <c r="C961" t="s">
        <v>2167</v>
      </c>
      <c r="D961" t="s">
        <v>700</v>
      </c>
      <c r="E961">
        <v>14604008498</v>
      </c>
      <c r="F961">
        <v>15378462415</v>
      </c>
      <c r="G961">
        <v>13323444742</v>
      </c>
      <c r="H961">
        <v>10773827420</v>
      </c>
      <c r="I961">
        <v>8807004470</v>
      </c>
      <c r="J961">
        <v>6978868202</v>
      </c>
      <c r="K961">
        <v>4570314883</v>
      </c>
      <c r="L961">
        <v>3385510760</v>
      </c>
      <c r="M961">
        <v>2208345851</v>
      </c>
      <c r="N961">
        <v>1486369352</v>
      </c>
      <c r="O961">
        <v>1250660546</v>
      </c>
      <c r="P961">
        <v>389</v>
      </c>
      <c r="Q961" t="s">
        <v>2168</v>
      </c>
    </row>
    <row r="962" spans="1:17" x14ac:dyDescent="0.3">
      <c r="A962" t="s">
        <v>47</v>
      </c>
      <c r="B962" t="str">
        <f>"000541"</f>
        <v>000541</v>
      </c>
      <c r="C962" t="s">
        <v>2169</v>
      </c>
      <c r="D962" t="s">
        <v>2170</v>
      </c>
      <c r="E962">
        <v>14585911497</v>
      </c>
      <c r="F962">
        <v>7851627429</v>
      </c>
      <c r="G962">
        <v>6196213409</v>
      </c>
      <c r="H962">
        <v>5799151823</v>
      </c>
      <c r="I962">
        <v>5832891425</v>
      </c>
      <c r="J962">
        <v>6239727777</v>
      </c>
      <c r="K962">
        <v>6150115956</v>
      </c>
      <c r="L962">
        <v>3834616630</v>
      </c>
      <c r="M962">
        <v>3547194730</v>
      </c>
      <c r="N962">
        <v>3612469577</v>
      </c>
      <c r="O962">
        <v>3298622971</v>
      </c>
      <c r="P962">
        <v>437</v>
      </c>
      <c r="Q962" t="s">
        <v>2171</v>
      </c>
    </row>
    <row r="963" spans="1:17" x14ac:dyDescent="0.3">
      <c r="A963" t="s">
        <v>17</v>
      </c>
      <c r="B963" t="str">
        <f>"900948"</f>
        <v>900948</v>
      </c>
      <c r="C963" t="s">
        <v>2172</v>
      </c>
      <c r="E963">
        <v>14584151061.266701</v>
      </c>
      <c r="F963">
        <v>13193566288.709999</v>
      </c>
      <c r="G963">
        <v>13095606653.5562</v>
      </c>
      <c r="H963">
        <v>13839179746.169001</v>
      </c>
      <c r="I963">
        <v>13617467866.566799</v>
      </c>
      <c r="J963">
        <v>10272984834.697201</v>
      </c>
      <c r="K963">
        <v>11034328005.713499</v>
      </c>
      <c r="L963">
        <v>10001690293.962099</v>
      </c>
      <c r="M963">
        <v>8193773548.9320002</v>
      </c>
      <c r="N963">
        <v>6560231302.1140003</v>
      </c>
      <c r="O963">
        <v>4973952910.0799999</v>
      </c>
      <c r="P963">
        <v>225</v>
      </c>
      <c r="Q963" t="s">
        <v>2173</v>
      </c>
    </row>
    <row r="964" spans="1:17" x14ac:dyDescent="0.3">
      <c r="A964" t="s">
        <v>47</v>
      </c>
      <c r="B964" t="str">
        <f>"002470"</f>
        <v>002470</v>
      </c>
      <c r="C964" t="s">
        <v>2174</v>
      </c>
      <c r="D964" t="s">
        <v>2175</v>
      </c>
      <c r="E964">
        <v>14580453757</v>
      </c>
      <c r="F964">
        <v>18348366001</v>
      </c>
      <c r="G964">
        <v>21822008921</v>
      </c>
      <c r="H964">
        <v>26795223245</v>
      </c>
      <c r="I964">
        <v>21086785401</v>
      </c>
      <c r="J964">
        <v>17389359487</v>
      </c>
      <c r="K964">
        <v>12441266078</v>
      </c>
      <c r="L964">
        <v>12065030225</v>
      </c>
      <c r="M964">
        <v>8410863441</v>
      </c>
      <c r="N964">
        <v>6889771624</v>
      </c>
      <c r="O964">
        <v>5929411169</v>
      </c>
      <c r="P964">
        <v>4918</v>
      </c>
      <c r="Q964" t="s">
        <v>2176</v>
      </c>
    </row>
    <row r="965" spans="1:17" x14ac:dyDescent="0.3">
      <c r="A965" t="s">
        <v>47</v>
      </c>
      <c r="B965" t="str">
        <f>"300284"</f>
        <v>300284</v>
      </c>
      <c r="C965" t="s">
        <v>2177</v>
      </c>
      <c r="D965" t="s">
        <v>2178</v>
      </c>
      <c r="E965">
        <v>14580415987</v>
      </c>
      <c r="F965">
        <v>13982873627</v>
      </c>
      <c r="G965">
        <v>12598114809</v>
      </c>
      <c r="H965">
        <v>11818938687</v>
      </c>
      <c r="I965">
        <v>10432014826</v>
      </c>
      <c r="J965">
        <v>8653607302</v>
      </c>
      <c r="K965">
        <v>5554873138</v>
      </c>
      <c r="L965">
        <v>4027150613</v>
      </c>
      <c r="M965">
        <v>3063524314</v>
      </c>
      <c r="N965">
        <v>2798029322</v>
      </c>
      <c r="O965">
        <v>2542147193</v>
      </c>
      <c r="P965">
        <v>274</v>
      </c>
      <c r="Q965" t="s">
        <v>2179</v>
      </c>
    </row>
    <row r="966" spans="1:17" x14ac:dyDescent="0.3">
      <c r="A966" t="s">
        <v>47</v>
      </c>
      <c r="B966" t="str">
        <f>"002534"</f>
        <v>002534</v>
      </c>
      <c r="C966" t="s">
        <v>2180</v>
      </c>
      <c r="D966" t="s">
        <v>2181</v>
      </c>
      <c r="E966">
        <v>14565255348</v>
      </c>
      <c r="F966">
        <v>10375017142</v>
      </c>
      <c r="G966">
        <v>9717826258</v>
      </c>
      <c r="H966">
        <v>8365155488</v>
      </c>
      <c r="I966">
        <v>8022095043</v>
      </c>
      <c r="J966">
        <v>7396954912</v>
      </c>
      <c r="K966">
        <v>7381249634</v>
      </c>
      <c r="L966">
        <v>6982452478</v>
      </c>
      <c r="M966">
        <v>6715043521</v>
      </c>
      <c r="N966">
        <v>7429011623</v>
      </c>
      <c r="O966">
        <v>7643031339</v>
      </c>
      <c r="P966">
        <v>191</v>
      </c>
      <c r="Q966" t="s">
        <v>2182</v>
      </c>
    </row>
    <row r="967" spans="1:17" x14ac:dyDescent="0.3">
      <c r="A967" t="s">
        <v>47</v>
      </c>
      <c r="B967" t="str">
        <f>"000011"</f>
        <v>000011</v>
      </c>
      <c r="C967" t="s">
        <v>2183</v>
      </c>
      <c r="D967" t="s">
        <v>76</v>
      </c>
      <c r="E967">
        <v>14548051290</v>
      </c>
      <c r="F967">
        <v>12455805632</v>
      </c>
      <c r="G967">
        <v>11287993362</v>
      </c>
      <c r="H967">
        <v>8714873624</v>
      </c>
      <c r="I967">
        <v>4952479503</v>
      </c>
      <c r="J967">
        <v>6336091748</v>
      </c>
      <c r="K967">
        <v>5330901566</v>
      </c>
      <c r="L967">
        <v>3816825943</v>
      </c>
      <c r="M967">
        <v>3768575907</v>
      </c>
      <c r="N967">
        <v>3630287596</v>
      </c>
      <c r="O967">
        <v>3553098048</v>
      </c>
      <c r="P967">
        <v>479</v>
      </c>
      <c r="Q967" t="s">
        <v>2184</v>
      </c>
    </row>
    <row r="968" spans="1:17" x14ac:dyDescent="0.3">
      <c r="A968" t="s">
        <v>47</v>
      </c>
      <c r="B968" t="str">
        <f>"002727"</f>
        <v>002727</v>
      </c>
      <c r="C968" t="s">
        <v>2185</v>
      </c>
      <c r="D968" t="s">
        <v>1852</v>
      </c>
      <c r="E968">
        <v>14498046678</v>
      </c>
      <c r="F968">
        <v>12029037420</v>
      </c>
      <c r="G968">
        <v>8395186432</v>
      </c>
      <c r="H968">
        <v>7243610388</v>
      </c>
      <c r="I968">
        <v>7178331685</v>
      </c>
      <c r="J968">
        <v>5664891116</v>
      </c>
      <c r="K968">
        <v>4507191685</v>
      </c>
      <c r="L968">
        <v>3177240711</v>
      </c>
      <c r="M968">
        <v>2222044836</v>
      </c>
      <c r="P968">
        <v>1246</v>
      </c>
      <c r="Q968" t="s">
        <v>2186</v>
      </c>
    </row>
    <row r="969" spans="1:17" x14ac:dyDescent="0.3">
      <c r="A969" t="s">
        <v>47</v>
      </c>
      <c r="B969" t="str">
        <f>"000030"</f>
        <v>000030</v>
      </c>
      <c r="C969" t="s">
        <v>2187</v>
      </c>
      <c r="D969" t="s">
        <v>274</v>
      </c>
      <c r="E969">
        <v>14471787807</v>
      </c>
      <c r="F969">
        <v>15030790364</v>
      </c>
      <c r="G969">
        <v>12593442742</v>
      </c>
      <c r="H969">
        <v>12040767518</v>
      </c>
      <c r="I969">
        <v>10747974073</v>
      </c>
      <c r="J969">
        <v>9415591987</v>
      </c>
      <c r="K969">
        <v>8277357267</v>
      </c>
      <c r="L969">
        <v>7424632332</v>
      </c>
      <c r="M969">
        <v>7220051739</v>
      </c>
      <c r="N969">
        <v>6580808994</v>
      </c>
      <c r="O969">
        <v>65443969</v>
      </c>
      <c r="P969">
        <v>330</v>
      </c>
      <c r="Q969" t="s">
        <v>2188</v>
      </c>
    </row>
    <row r="970" spans="1:17" x14ac:dyDescent="0.3">
      <c r="A970" t="s">
        <v>47</v>
      </c>
      <c r="B970" t="str">
        <f>"300601"</f>
        <v>300601</v>
      </c>
      <c r="C970" t="s">
        <v>2189</v>
      </c>
      <c r="D970" t="s">
        <v>894</v>
      </c>
      <c r="E970">
        <v>14459430496</v>
      </c>
      <c r="F970">
        <v>9971595071</v>
      </c>
      <c r="G970">
        <v>3889664863</v>
      </c>
      <c r="H970">
        <v>3396099844</v>
      </c>
      <c r="I970">
        <v>2790757028</v>
      </c>
      <c r="J970">
        <v>1736972005</v>
      </c>
      <c r="P970">
        <v>1384</v>
      </c>
      <c r="Q970" t="s">
        <v>2190</v>
      </c>
    </row>
    <row r="971" spans="1:17" x14ac:dyDescent="0.3">
      <c r="A971" t="s">
        <v>17</v>
      </c>
      <c r="B971" t="str">
        <f>"603113"</f>
        <v>603113</v>
      </c>
      <c r="C971" t="s">
        <v>2191</v>
      </c>
      <c r="D971" t="s">
        <v>1279</v>
      </c>
      <c r="E971">
        <v>14453414827</v>
      </c>
      <c r="F971">
        <v>12277606479</v>
      </c>
      <c r="G971">
        <v>8750386057</v>
      </c>
      <c r="H971">
        <v>6470854176</v>
      </c>
      <c r="I971">
        <v>5493418517</v>
      </c>
      <c r="J971">
        <v>3578856936</v>
      </c>
      <c r="P971">
        <v>302</v>
      </c>
      <c r="Q971" t="s">
        <v>2192</v>
      </c>
    </row>
    <row r="972" spans="1:17" x14ac:dyDescent="0.3">
      <c r="A972" t="s">
        <v>17</v>
      </c>
      <c r="B972" t="str">
        <f>"601038"</f>
        <v>601038</v>
      </c>
      <c r="C972" t="s">
        <v>2193</v>
      </c>
      <c r="D972" t="s">
        <v>2194</v>
      </c>
      <c r="E972">
        <v>14443026542</v>
      </c>
      <c r="F972">
        <v>12855950614</v>
      </c>
      <c r="G972">
        <v>11675503447</v>
      </c>
      <c r="H972">
        <v>13958019007</v>
      </c>
      <c r="I972">
        <v>13954389522</v>
      </c>
      <c r="J972">
        <v>13845173938</v>
      </c>
      <c r="K972">
        <v>13787529271</v>
      </c>
      <c r="L972">
        <v>13059194182</v>
      </c>
      <c r="M972">
        <v>12353319407</v>
      </c>
      <c r="N972">
        <v>11235114751</v>
      </c>
      <c r="P972">
        <v>179</v>
      </c>
      <c r="Q972" t="s">
        <v>2195</v>
      </c>
    </row>
    <row r="973" spans="1:17" x14ac:dyDescent="0.3">
      <c r="A973" t="s">
        <v>17</v>
      </c>
      <c r="B973" t="str">
        <f>"601567"</f>
        <v>601567</v>
      </c>
      <c r="C973" t="s">
        <v>2196</v>
      </c>
      <c r="D973" t="s">
        <v>2197</v>
      </c>
      <c r="E973">
        <v>14421124389</v>
      </c>
      <c r="F973">
        <v>13925244951</v>
      </c>
      <c r="G973">
        <v>13519118162</v>
      </c>
      <c r="H973">
        <v>15254119065</v>
      </c>
      <c r="I973">
        <v>13832883112</v>
      </c>
      <c r="J973">
        <v>11384573894</v>
      </c>
      <c r="K973">
        <v>8221381616</v>
      </c>
      <c r="L973">
        <v>6532174363</v>
      </c>
      <c r="M973">
        <v>3849031149</v>
      </c>
      <c r="N973">
        <v>3465470645</v>
      </c>
      <c r="O973">
        <v>3052114104</v>
      </c>
      <c r="P973">
        <v>325</v>
      </c>
      <c r="Q973" t="s">
        <v>2198</v>
      </c>
    </row>
    <row r="974" spans="1:17" x14ac:dyDescent="0.3">
      <c r="A974" t="s">
        <v>47</v>
      </c>
      <c r="B974" t="str">
        <f>"002405"</f>
        <v>002405</v>
      </c>
      <c r="C974" t="s">
        <v>2199</v>
      </c>
      <c r="D974" t="s">
        <v>1859</v>
      </c>
      <c r="E974">
        <v>14337006188</v>
      </c>
      <c r="F974">
        <v>12976913519</v>
      </c>
      <c r="G974">
        <v>8825815206</v>
      </c>
      <c r="H974">
        <v>9024567634</v>
      </c>
      <c r="I974">
        <v>9643869537</v>
      </c>
      <c r="J974">
        <v>11466548573</v>
      </c>
      <c r="K974">
        <v>3730977618</v>
      </c>
      <c r="L974">
        <v>3170197954</v>
      </c>
      <c r="M974">
        <v>2967482756</v>
      </c>
      <c r="N974">
        <v>2885447904</v>
      </c>
      <c r="O974">
        <v>2697951825</v>
      </c>
      <c r="P974">
        <v>3861</v>
      </c>
      <c r="Q974" t="s">
        <v>2200</v>
      </c>
    </row>
    <row r="975" spans="1:17" x14ac:dyDescent="0.3">
      <c r="A975" t="s">
        <v>17</v>
      </c>
      <c r="B975" t="str">
        <f>"600888"</f>
        <v>600888</v>
      </c>
      <c r="C975" t="s">
        <v>2201</v>
      </c>
      <c r="D975" t="s">
        <v>346</v>
      </c>
      <c r="E975">
        <v>14312865504</v>
      </c>
      <c r="F975">
        <v>11807865038</v>
      </c>
      <c r="G975">
        <v>11789173157</v>
      </c>
      <c r="H975">
        <v>11175954670</v>
      </c>
      <c r="I975">
        <v>10537762068</v>
      </c>
      <c r="J975">
        <v>9327849177</v>
      </c>
      <c r="K975">
        <v>9280289460</v>
      </c>
      <c r="L975">
        <v>8497181488</v>
      </c>
      <c r="M975">
        <v>7965037488</v>
      </c>
      <c r="N975">
        <v>7871909426</v>
      </c>
      <c r="O975">
        <v>7045833672</v>
      </c>
      <c r="P975">
        <v>183</v>
      </c>
      <c r="Q975" t="s">
        <v>2202</v>
      </c>
    </row>
    <row r="976" spans="1:17" x14ac:dyDescent="0.3">
      <c r="A976" t="s">
        <v>47</v>
      </c>
      <c r="B976" t="str">
        <f>"000738"</f>
        <v>000738</v>
      </c>
      <c r="C976" t="s">
        <v>2203</v>
      </c>
      <c r="D976" t="s">
        <v>570</v>
      </c>
      <c r="E976">
        <v>14309863394</v>
      </c>
      <c r="F976">
        <v>9039440944</v>
      </c>
      <c r="G976">
        <v>8024249536</v>
      </c>
      <c r="H976">
        <v>7470396781</v>
      </c>
      <c r="I976">
        <v>7101940977</v>
      </c>
      <c r="J976">
        <v>6836706086</v>
      </c>
      <c r="K976">
        <v>6864668101</v>
      </c>
      <c r="L976">
        <v>6556560767</v>
      </c>
      <c r="M976">
        <v>6353483615</v>
      </c>
      <c r="N976">
        <v>4767631559</v>
      </c>
      <c r="O976">
        <v>4649953954</v>
      </c>
      <c r="P976">
        <v>324</v>
      </c>
      <c r="Q976" t="s">
        <v>2204</v>
      </c>
    </row>
    <row r="977" spans="1:17" x14ac:dyDescent="0.3">
      <c r="A977" t="s">
        <v>17</v>
      </c>
      <c r="B977" t="str">
        <f>"603806"</f>
        <v>603806</v>
      </c>
      <c r="C977" t="s">
        <v>2205</v>
      </c>
      <c r="D977" t="s">
        <v>1555</v>
      </c>
      <c r="E977">
        <v>14308660240</v>
      </c>
      <c r="F977">
        <v>12179460883</v>
      </c>
      <c r="G977">
        <v>8410023762</v>
      </c>
      <c r="H977">
        <v>6671544714</v>
      </c>
      <c r="I977">
        <v>6104876484</v>
      </c>
      <c r="J977">
        <v>5609533066</v>
      </c>
      <c r="K977">
        <v>4929424208</v>
      </c>
      <c r="L977">
        <v>4240616677</v>
      </c>
      <c r="P977">
        <v>1029</v>
      </c>
      <c r="Q977" t="s">
        <v>2206</v>
      </c>
    </row>
    <row r="978" spans="1:17" x14ac:dyDescent="0.3">
      <c r="A978" t="s">
        <v>47</v>
      </c>
      <c r="B978" t="str">
        <f>"000421"</f>
        <v>000421</v>
      </c>
      <c r="C978" t="s">
        <v>2207</v>
      </c>
      <c r="D978" t="s">
        <v>476</v>
      </c>
      <c r="E978">
        <v>14306280880</v>
      </c>
      <c r="F978">
        <v>10994700918</v>
      </c>
      <c r="G978">
        <v>12418929755</v>
      </c>
      <c r="H978">
        <v>10916351440</v>
      </c>
      <c r="I978">
        <v>10919051403</v>
      </c>
      <c r="J978">
        <v>7583716930</v>
      </c>
      <c r="K978">
        <v>7034139741</v>
      </c>
      <c r="L978">
        <v>5864511114</v>
      </c>
      <c r="M978">
        <v>2294436752</v>
      </c>
      <c r="N978">
        <v>2567339625</v>
      </c>
      <c r="O978">
        <v>2805109867</v>
      </c>
      <c r="P978">
        <v>159</v>
      </c>
      <c r="Q978" t="s">
        <v>2208</v>
      </c>
    </row>
    <row r="979" spans="1:17" x14ac:dyDescent="0.3">
      <c r="A979" t="s">
        <v>17</v>
      </c>
      <c r="B979" t="str">
        <f>"603529"</f>
        <v>603529</v>
      </c>
      <c r="C979" t="s">
        <v>2209</v>
      </c>
      <c r="D979" t="s">
        <v>2210</v>
      </c>
      <c r="E979">
        <v>14294025916</v>
      </c>
      <c r="F979">
        <v>9892551293</v>
      </c>
      <c r="P979">
        <v>73</v>
      </c>
      <c r="Q979" t="s">
        <v>2211</v>
      </c>
    </row>
    <row r="980" spans="1:17" x14ac:dyDescent="0.3">
      <c r="A980" t="s">
        <v>17</v>
      </c>
      <c r="B980" t="str">
        <f>"600460"</f>
        <v>600460</v>
      </c>
      <c r="C980" t="s">
        <v>2212</v>
      </c>
      <c r="D980" t="s">
        <v>2213</v>
      </c>
      <c r="E980">
        <v>14268784204</v>
      </c>
      <c r="F980">
        <v>10129794646</v>
      </c>
      <c r="G980">
        <v>9147355649</v>
      </c>
      <c r="H980">
        <v>8216933344</v>
      </c>
      <c r="I980">
        <v>7177081560</v>
      </c>
      <c r="J980">
        <v>5229476573</v>
      </c>
      <c r="K980">
        <v>4642971286</v>
      </c>
      <c r="L980">
        <v>3967422153</v>
      </c>
      <c r="M980">
        <v>4190948116</v>
      </c>
      <c r="N980">
        <v>3374326407</v>
      </c>
      <c r="O980">
        <v>3261037556</v>
      </c>
      <c r="P980">
        <v>1167</v>
      </c>
      <c r="Q980" t="s">
        <v>2214</v>
      </c>
    </row>
    <row r="981" spans="1:17" x14ac:dyDescent="0.3">
      <c r="A981" t="s">
        <v>17</v>
      </c>
      <c r="B981" t="str">
        <f>"605358"</f>
        <v>605358</v>
      </c>
      <c r="C981" t="s">
        <v>2215</v>
      </c>
      <c r="D981" t="s">
        <v>567</v>
      </c>
      <c r="E981">
        <v>14252558935</v>
      </c>
      <c r="F981">
        <v>6884500963</v>
      </c>
      <c r="G981">
        <v>4876486759</v>
      </c>
      <c r="P981">
        <v>289</v>
      </c>
      <c r="Q981" t="s">
        <v>2216</v>
      </c>
    </row>
    <row r="982" spans="1:17" x14ac:dyDescent="0.3">
      <c r="A982" t="s">
        <v>17</v>
      </c>
      <c r="B982" t="str">
        <f>"603228"</f>
        <v>603228</v>
      </c>
      <c r="C982" t="s">
        <v>2217</v>
      </c>
      <c r="D982" t="s">
        <v>1115</v>
      </c>
      <c r="E982">
        <v>14228148204</v>
      </c>
      <c r="F982">
        <v>12968824982</v>
      </c>
      <c r="G982">
        <v>9011881512</v>
      </c>
      <c r="H982">
        <v>7785911227</v>
      </c>
      <c r="I982">
        <v>4959155815</v>
      </c>
      <c r="J982">
        <v>4578579798</v>
      </c>
      <c r="P982">
        <v>1624</v>
      </c>
      <c r="Q982" t="s">
        <v>2218</v>
      </c>
    </row>
    <row r="983" spans="1:17" x14ac:dyDescent="0.3">
      <c r="A983" t="s">
        <v>17</v>
      </c>
      <c r="B983" t="str">
        <f>"600118"</f>
        <v>600118</v>
      </c>
      <c r="C983" t="s">
        <v>2219</v>
      </c>
      <c r="D983" t="s">
        <v>1180</v>
      </c>
      <c r="E983">
        <v>14207299606</v>
      </c>
      <c r="F983">
        <v>12807461605</v>
      </c>
      <c r="G983">
        <v>11789275695</v>
      </c>
      <c r="H983">
        <v>10945357103</v>
      </c>
      <c r="I983">
        <v>10186058925</v>
      </c>
      <c r="J983">
        <v>11191590033</v>
      </c>
      <c r="K983">
        <v>10057084260</v>
      </c>
      <c r="L983">
        <v>9170825076</v>
      </c>
      <c r="M983">
        <v>8263594253</v>
      </c>
      <c r="N983">
        <v>5872367841</v>
      </c>
      <c r="O983">
        <v>4726637961</v>
      </c>
      <c r="P983">
        <v>3372</v>
      </c>
      <c r="Q983" t="s">
        <v>2220</v>
      </c>
    </row>
    <row r="984" spans="1:17" x14ac:dyDescent="0.3">
      <c r="A984" t="s">
        <v>17</v>
      </c>
      <c r="B984" t="str">
        <f>"600885"</f>
        <v>600885</v>
      </c>
      <c r="C984" t="s">
        <v>2221</v>
      </c>
      <c r="D984" t="s">
        <v>679</v>
      </c>
      <c r="E984">
        <v>14198908864</v>
      </c>
      <c r="F984">
        <v>11049939423</v>
      </c>
      <c r="G984">
        <v>10405737794</v>
      </c>
      <c r="H984">
        <v>9317939937</v>
      </c>
      <c r="I984">
        <v>7827024865</v>
      </c>
      <c r="J984">
        <v>6669281676</v>
      </c>
      <c r="K984">
        <v>5758065401</v>
      </c>
      <c r="L984">
        <v>4754370339</v>
      </c>
      <c r="M984">
        <v>4490109375</v>
      </c>
      <c r="N984">
        <v>2953565273</v>
      </c>
      <c r="O984">
        <v>611179946</v>
      </c>
      <c r="P984">
        <v>13105</v>
      </c>
      <c r="Q984" t="s">
        <v>2222</v>
      </c>
    </row>
    <row r="985" spans="1:17" x14ac:dyDescent="0.3">
      <c r="A985" t="s">
        <v>17</v>
      </c>
      <c r="B985" t="str">
        <f>"603345"</f>
        <v>603345</v>
      </c>
      <c r="C985" t="s">
        <v>2223</v>
      </c>
      <c r="D985" t="s">
        <v>2224</v>
      </c>
      <c r="E985">
        <v>14197033365</v>
      </c>
      <c r="F985">
        <v>7281196938</v>
      </c>
      <c r="G985">
        <v>5327528387</v>
      </c>
      <c r="H985">
        <v>4623312259</v>
      </c>
      <c r="I985">
        <v>3462639891</v>
      </c>
      <c r="J985">
        <v>3192655637</v>
      </c>
      <c r="P985">
        <v>1174</v>
      </c>
      <c r="Q985" t="s">
        <v>2225</v>
      </c>
    </row>
    <row r="986" spans="1:17" x14ac:dyDescent="0.3">
      <c r="A986" t="s">
        <v>47</v>
      </c>
      <c r="B986" t="str">
        <f>"000547"</f>
        <v>000547</v>
      </c>
      <c r="C986" t="s">
        <v>2226</v>
      </c>
      <c r="D986" t="s">
        <v>1385</v>
      </c>
      <c r="E986">
        <v>14190415218</v>
      </c>
      <c r="F986">
        <v>12561977698</v>
      </c>
      <c r="G986">
        <v>10996267168</v>
      </c>
      <c r="H986">
        <v>9980382798</v>
      </c>
      <c r="I986">
        <v>7442313874</v>
      </c>
      <c r="J986">
        <v>6741736876</v>
      </c>
      <c r="K986">
        <v>6807354846</v>
      </c>
      <c r="L986">
        <v>3727446807</v>
      </c>
      <c r="M986">
        <v>2838700922</v>
      </c>
      <c r="N986">
        <v>2683930815</v>
      </c>
      <c r="O986">
        <v>2189893481</v>
      </c>
      <c r="P986">
        <v>612</v>
      </c>
      <c r="Q986" t="s">
        <v>2227</v>
      </c>
    </row>
    <row r="987" spans="1:17" x14ac:dyDescent="0.3">
      <c r="A987" t="s">
        <v>47</v>
      </c>
      <c r="B987" t="str">
        <f>"300769"</f>
        <v>300769</v>
      </c>
      <c r="C987" t="s">
        <v>2228</v>
      </c>
      <c r="D987" t="s">
        <v>1017</v>
      </c>
      <c r="E987">
        <v>14146534901</v>
      </c>
      <c r="F987">
        <v>4151252125</v>
      </c>
      <c r="G987">
        <v>1926900334</v>
      </c>
      <c r="H987">
        <v>974935865</v>
      </c>
      <c r="P987">
        <v>325</v>
      </c>
      <c r="Q987" t="s">
        <v>2229</v>
      </c>
    </row>
    <row r="988" spans="1:17" x14ac:dyDescent="0.3">
      <c r="A988" t="s">
        <v>47</v>
      </c>
      <c r="B988" t="str">
        <f>"300185"</f>
        <v>300185</v>
      </c>
      <c r="C988" t="s">
        <v>2230</v>
      </c>
      <c r="D988" t="s">
        <v>2013</v>
      </c>
      <c r="E988">
        <v>14143785586</v>
      </c>
      <c r="F988">
        <v>12218913382</v>
      </c>
      <c r="G988">
        <v>12448787991</v>
      </c>
      <c r="H988">
        <v>10956794939</v>
      </c>
      <c r="I988">
        <v>10020619249</v>
      </c>
      <c r="J988">
        <v>9147863038</v>
      </c>
      <c r="K988">
        <v>7984685750</v>
      </c>
      <c r="L988">
        <v>7581422369</v>
      </c>
      <c r="M988">
        <v>6808536399</v>
      </c>
      <c r="N988">
        <v>6714936134</v>
      </c>
      <c r="O988">
        <v>6059483360</v>
      </c>
      <c r="P988">
        <v>201</v>
      </c>
      <c r="Q988" t="s">
        <v>2231</v>
      </c>
    </row>
    <row r="989" spans="1:17" x14ac:dyDescent="0.3">
      <c r="A989" t="s">
        <v>47</v>
      </c>
      <c r="B989" t="str">
        <f>"002171"</f>
        <v>002171</v>
      </c>
      <c r="C989" t="s">
        <v>2232</v>
      </c>
      <c r="D989" t="s">
        <v>301</v>
      </c>
      <c r="E989">
        <v>14137419872</v>
      </c>
      <c r="F989">
        <v>11957861965</v>
      </c>
      <c r="G989">
        <v>8930857705</v>
      </c>
      <c r="H989">
        <v>6868773649</v>
      </c>
      <c r="I989">
        <v>4944144848</v>
      </c>
      <c r="J989">
        <v>4190872766</v>
      </c>
      <c r="K989">
        <v>2644059492</v>
      </c>
      <c r="L989">
        <v>2190603411</v>
      </c>
      <c r="M989">
        <v>1320115680</v>
      </c>
      <c r="N989">
        <v>1339093985</v>
      </c>
      <c r="O989">
        <v>1236733973</v>
      </c>
      <c r="P989">
        <v>237</v>
      </c>
      <c r="Q989" t="s">
        <v>2233</v>
      </c>
    </row>
    <row r="990" spans="1:17" x14ac:dyDescent="0.3">
      <c r="A990" t="s">
        <v>47</v>
      </c>
      <c r="B990" t="str">
        <f>"000998"</f>
        <v>000998</v>
      </c>
      <c r="C990" t="s">
        <v>2234</v>
      </c>
      <c r="D990" t="s">
        <v>2235</v>
      </c>
      <c r="E990">
        <v>14115785529</v>
      </c>
      <c r="F990">
        <v>13774745161</v>
      </c>
      <c r="G990">
        <v>15154617887</v>
      </c>
      <c r="H990">
        <v>15291213490</v>
      </c>
      <c r="I990">
        <v>13043410984</v>
      </c>
      <c r="J990">
        <v>7932431051</v>
      </c>
      <c r="K990">
        <v>7133189414</v>
      </c>
      <c r="L990">
        <v>3999248283</v>
      </c>
      <c r="M990">
        <v>3714666142</v>
      </c>
      <c r="N990">
        <v>3413713069</v>
      </c>
      <c r="O990">
        <v>3198407137</v>
      </c>
      <c r="P990">
        <v>649</v>
      </c>
      <c r="Q990" t="s">
        <v>2236</v>
      </c>
    </row>
    <row r="991" spans="1:17" x14ac:dyDescent="0.3">
      <c r="A991" t="s">
        <v>47</v>
      </c>
      <c r="B991" t="str">
        <f>"000088"</f>
        <v>000088</v>
      </c>
      <c r="C991" t="s">
        <v>2237</v>
      </c>
      <c r="D991" t="s">
        <v>357</v>
      </c>
      <c r="E991">
        <v>14020475260</v>
      </c>
      <c r="F991">
        <v>13155951082</v>
      </c>
      <c r="G991">
        <v>11053677019</v>
      </c>
      <c r="H991">
        <v>10432531461</v>
      </c>
      <c r="I991">
        <v>9414925517</v>
      </c>
      <c r="J991">
        <v>8362184949</v>
      </c>
      <c r="K991">
        <v>7876101525</v>
      </c>
      <c r="L991">
        <v>7109435225</v>
      </c>
      <c r="M991">
        <v>5880697138</v>
      </c>
      <c r="N991">
        <v>5373202336</v>
      </c>
      <c r="O991">
        <v>5522754938</v>
      </c>
      <c r="P991">
        <v>170</v>
      </c>
      <c r="Q991" t="s">
        <v>2238</v>
      </c>
    </row>
    <row r="992" spans="1:17" x14ac:dyDescent="0.3">
      <c r="A992" t="s">
        <v>47</v>
      </c>
      <c r="B992" t="str">
        <f>"000902"</f>
        <v>000902</v>
      </c>
      <c r="C992" t="s">
        <v>2239</v>
      </c>
      <c r="D992" t="s">
        <v>2175</v>
      </c>
      <c r="E992">
        <v>14020152342</v>
      </c>
      <c r="F992">
        <v>12079287164</v>
      </c>
      <c r="G992">
        <v>10003251328</v>
      </c>
      <c r="H992">
        <v>8683785822</v>
      </c>
      <c r="I992">
        <v>8565842476</v>
      </c>
      <c r="J992">
        <v>8012418765</v>
      </c>
      <c r="K992">
        <v>6880824731</v>
      </c>
      <c r="L992">
        <v>4917886191</v>
      </c>
      <c r="M992">
        <v>4899141484</v>
      </c>
      <c r="N992">
        <v>1125508834</v>
      </c>
      <c r="O992">
        <v>1171957053</v>
      </c>
      <c r="P992">
        <v>406</v>
      </c>
      <c r="Q992" t="s">
        <v>2240</v>
      </c>
    </row>
    <row r="993" spans="1:17" x14ac:dyDescent="0.3">
      <c r="A993" t="s">
        <v>17</v>
      </c>
      <c r="B993" t="str">
        <f>"600298"</f>
        <v>600298</v>
      </c>
      <c r="C993" t="s">
        <v>2241</v>
      </c>
      <c r="D993" t="s">
        <v>1241</v>
      </c>
      <c r="E993">
        <v>14018807643</v>
      </c>
      <c r="F993">
        <v>11372153480</v>
      </c>
      <c r="G993">
        <v>10162181631</v>
      </c>
      <c r="H993">
        <v>9209207437</v>
      </c>
      <c r="I993">
        <v>8169576576</v>
      </c>
      <c r="J993">
        <v>7296074707</v>
      </c>
      <c r="K993">
        <v>6620063935</v>
      </c>
      <c r="L993">
        <v>6176227231</v>
      </c>
      <c r="M993">
        <v>6510902677</v>
      </c>
      <c r="N993">
        <v>6000663375</v>
      </c>
      <c r="O993">
        <v>4494546183</v>
      </c>
      <c r="P993">
        <v>4513</v>
      </c>
      <c r="Q993" t="s">
        <v>2242</v>
      </c>
    </row>
    <row r="994" spans="1:17" x14ac:dyDescent="0.3">
      <c r="A994" t="s">
        <v>47</v>
      </c>
      <c r="B994" t="str">
        <f>"000597"</f>
        <v>000597</v>
      </c>
      <c r="C994" t="s">
        <v>2243</v>
      </c>
      <c r="D994" t="s">
        <v>550</v>
      </c>
      <c r="E994">
        <v>14013479412</v>
      </c>
      <c r="F994">
        <v>13359287232</v>
      </c>
      <c r="G994">
        <v>14053296575</v>
      </c>
      <c r="H994">
        <v>12353380883</v>
      </c>
      <c r="I994">
        <v>11327435892</v>
      </c>
      <c r="J994">
        <v>9962173506</v>
      </c>
      <c r="K994">
        <v>9133974134</v>
      </c>
      <c r="L994">
        <v>8926028445</v>
      </c>
      <c r="M994">
        <v>7688276941</v>
      </c>
      <c r="N994">
        <v>6273649097</v>
      </c>
      <c r="O994">
        <v>5974890904</v>
      </c>
      <c r="P994">
        <v>131</v>
      </c>
      <c r="Q994" t="s">
        <v>2244</v>
      </c>
    </row>
    <row r="995" spans="1:17" x14ac:dyDescent="0.3">
      <c r="A995" t="s">
        <v>47</v>
      </c>
      <c r="B995" t="str">
        <f>"300142"</f>
        <v>300142</v>
      </c>
      <c r="C995" t="s">
        <v>2245</v>
      </c>
      <c r="D995" t="s">
        <v>894</v>
      </c>
      <c r="E995">
        <v>14008442344</v>
      </c>
      <c r="F995">
        <v>10290567870</v>
      </c>
      <c r="G995">
        <v>6914392515</v>
      </c>
      <c r="H995">
        <v>6967052201</v>
      </c>
      <c r="I995">
        <v>6045876690</v>
      </c>
      <c r="J995">
        <v>5945703079</v>
      </c>
      <c r="K995">
        <v>6954902135</v>
      </c>
      <c r="L995">
        <v>5825904158</v>
      </c>
      <c r="M995">
        <v>6488736219</v>
      </c>
      <c r="N995">
        <v>4457349132</v>
      </c>
      <c r="O995">
        <v>2978581980</v>
      </c>
      <c r="P995">
        <v>1230</v>
      </c>
      <c r="Q995" t="s">
        <v>2246</v>
      </c>
    </row>
    <row r="996" spans="1:17" x14ac:dyDescent="0.3">
      <c r="A996" t="s">
        <v>47</v>
      </c>
      <c r="B996" t="str">
        <f>"002007"</f>
        <v>002007</v>
      </c>
      <c r="C996" t="s">
        <v>2247</v>
      </c>
      <c r="D996" t="s">
        <v>1393</v>
      </c>
      <c r="E996">
        <v>13996040987</v>
      </c>
      <c r="F996">
        <v>10368193065</v>
      </c>
      <c r="G996">
        <v>7791312701</v>
      </c>
      <c r="H996">
        <v>6722015605</v>
      </c>
      <c r="I996">
        <v>5387828924</v>
      </c>
      <c r="J996">
        <v>4908877169</v>
      </c>
      <c r="K996">
        <v>4253552346</v>
      </c>
      <c r="L996">
        <v>3934186082</v>
      </c>
      <c r="M996">
        <v>3711645711</v>
      </c>
      <c r="N996">
        <v>3260932278</v>
      </c>
      <c r="O996">
        <v>2920581875</v>
      </c>
      <c r="P996">
        <v>13194</v>
      </c>
      <c r="Q996" t="s">
        <v>2248</v>
      </c>
    </row>
    <row r="997" spans="1:17" x14ac:dyDescent="0.3">
      <c r="A997" t="s">
        <v>47</v>
      </c>
      <c r="B997" t="str">
        <f>"003035"</f>
        <v>003035</v>
      </c>
      <c r="C997" t="s">
        <v>2249</v>
      </c>
      <c r="D997" t="s">
        <v>652</v>
      </c>
      <c r="E997">
        <v>13996008639</v>
      </c>
      <c r="F997">
        <v>12109056080</v>
      </c>
      <c r="P997">
        <v>278</v>
      </c>
      <c r="Q997" t="s">
        <v>2250</v>
      </c>
    </row>
    <row r="998" spans="1:17" x14ac:dyDescent="0.3">
      <c r="A998" t="s">
        <v>17</v>
      </c>
      <c r="B998" t="str">
        <f>"601949"</f>
        <v>601949</v>
      </c>
      <c r="C998" t="s">
        <v>2251</v>
      </c>
      <c r="D998" t="s">
        <v>1288</v>
      </c>
      <c r="E998">
        <v>13961440214</v>
      </c>
      <c r="F998">
        <v>13790217483</v>
      </c>
      <c r="G998">
        <v>12868914671</v>
      </c>
      <c r="H998">
        <v>11788056494</v>
      </c>
      <c r="I998">
        <v>10924446816</v>
      </c>
      <c r="J998">
        <v>8752308600</v>
      </c>
      <c r="P998">
        <v>160</v>
      </c>
      <c r="Q998" t="s">
        <v>2252</v>
      </c>
    </row>
    <row r="999" spans="1:17" x14ac:dyDescent="0.3">
      <c r="A999" t="s">
        <v>47</v>
      </c>
      <c r="B999" t="str">
        <f>"002539"</f>
        <v>002539</v>
      </c>
      <c r="C999" t="s">
        <v>2253</v>
      </c>
      <c r="D999" t="s">
        <v>2175</v>
      </c>
      <c r="E999">
        <v>13961438167</v>
      </c>
      <c r="F999">
        <v>11230018791</v>
      </c>
      <c r="G999">
        <v>10090995438</v>
      </c>
      <c r="H999">
        <v>10292795646</v>
      </c>
      <c r="I999">
        <v>9255787079</v>
      </c>
      <c r="J999">
        <v>9173703277</v>
      </c>
      <c r="K999">
        <v>8917896724</v>
      </c>
      <c r="L999">
        <v>7408440515</v>
      </c>
      <c r="M999">
        <v>6005206004</v>
      </c>
      <c r="N999">
        <v>4693206416</v>
      </c>
      <c r="O999">
        <v>5211882077</v>
      </c>
      <c r="P999">
        <v>240</v>
      </c>
      <c r="Q999" t="s">
        <v>2254</v>
      </c>
    </row>
    <row r="1000" spans="1:17" x14ac:dyDescent="0.3">
      <c r="A1000" t="s">
        <v>47</v>
      </c>
      <c r="B1000" t="str">
        <f>"300376"</f>
        <v>300376</v>
      </c>
      <c r="C1000" t="s">
        <v>2255</v>
      </c>
      <c r="D1000" t="s">
        <v>2256</v>
      </c>
      <c r="E1000">
        <v>13934915192</v>
      </c>
      <c r="F1000">
        <v>13386631410</v>
      </c>
      <c r="G1000">
        <v>13060535556</v>
      </c>
      <c r="H1000">
        <v>12336772360</v>
      </c>
      <c r="I1000">
        <v>10334601473</v>
      </c>
      <c r="J1000">
        <v>9328050778</v>
      </c>
      <c r="K1000">
        <v>4642050823</v>
      </c>
      <c r="L1000">
        <v>2781318488</v>
      </c>
      <c r="M1000">
        <v>1924788340</v>
      </c>
      <c r="P1000">
        <v>849</v>
      </c>
      <c r="Q1000" t="s">
        <v>2257</v>
      </c>
    </row>
    <row r="1001" spans="1:17" x14ac:dyDescent="0.3">
      <c r="A1001" t="s">
        <v>17</v>
      </c>
      <c r="B1001" t="str">
        <f>"600393"</f>
        <v>600393</v>
      </c>
      <c r="C1001" t="s">
        <v>2258</v>
      </c>
      <c r="D1001" t="s">
        <v>76</v>
      </c>
      <c r="E1001">
        <v>13917086704</v>
      </c>
      <c r="F1001">
        <v>14157075279</v>
      </c>
      <c r="G1001">
        <v>14484729883</v>
      </c>
      <c r="H1001">
        <v>20094727778</v>
      </c>
      <c r="I1001">
        <v>19215763062</v>
      </c>
      <c r="J1001">
        <v>13984775880</v>
      </c>
      <c r="K1001">
        <v>11639112815</v>
      </c>
      <c r="L1001">
        <v>3373504459</v>
      </c>
      <c r="M1001">
        <v>3457019023</v>
      </c>
      <c r="N1001">
        <v>3746936148</v>
      </c>
      <c r="O1001">
        <v>3091830526</v>
      </c>
      <c r="P1001">
        <v>131</v>
      </c>
      <c r="Q1001" t="s">
        <v>2259</v>
      </c>
    </row>
    <row r="1002" spans="1:17" x14ac:dyDescent="0.3">
      <c r="A1002" t="s">
        <v>47</v>
      </c>
      <c r="B1002" t="str">
        <f>"002508"</f>
        <v>002508</v>
      </c>
      <c r="C1002" t="s">
        <v>2260</v>
      </c>
      <c r="D1002" t="s">
        <v>2261</v>
      </c>
      <c r="E1002">
        <v>13912391504</v>
      </c>
      <c r="F1002">
        <v>12657772627</v>
      </c>
      <c r="G1002">
        <v>10338115904</v>
      </c>
      <c r="H1002">
        <v>9566725542</v>
      </c>
      <c r="I1002">
        <v>8423361838</v>
      </c>
      <c r="J1002">
        <v>6856456190</v>
      </c>
      <c r="K1002">
        <v>5251135877</v>
      </c>
      <c r="L1002">
        <v>3782093117</v>
      </c>
      <c r="M1002">
        <v>2974010712</v>
      </c>
      <c r="N1002">
        <v>2332712519</v>
      </c>
      <c r="O1002">
        <v>1985869528</v>
      </c>
      <c r="P1002">
        <v>40627</v>
      </c>
      <c r="Q1002" t="s">
        <v>2262</v>
      </c>
    </row>
    <row r="1003" spans="1:17" x14ac:dyDescent="0.3">
      <c r="A1003" t="s">
        <v>47</v>
      </c>
      <c r="B1003" t="str">
        <f>"002683"</f>
        <v>002683</v>
      </c>
      <c r="C1003" t="s">
        <v>2263</v>
      </c>
      <c r="D1003" t="s">
        <v>1995</v>
      </c>
      <c r="E1003">
        <v>13870823731</v>
      </c>
      <c r="F1003">
        <v>11257623541</v>
      </c>
      <c r="G1003">
        <v>7505665704</v>
      </c>
      <c r="H1003">
        <v>6656344221</v>
      </c>
      <c r="I1003">
        <v>6095616546</v>
      </c>
      <c r="J1003">
        <v>5558265136</v>
      </c>
      <c r="K1003">
        <v>4117982751</v>
      </c>
      <c r="L1003">
        <v>3683388367</v>
      </c>
      <c r="M1003">
        <v>2870688968</v>
      </c>
      <c r="N1003">
        <v>2313905164</v>
      </c>
      <c r="O1003">
        <v>1219007500</v>
      </c>
      <c r="P1003">
        <v>270</v>
      </c>
      <c r="Q1003" t="s">
        <v>2264</v>
      </c>
    </row>
    <row r="1004" spans="1:17" x14ac:dyDescent="0.3">
      <c r="A1004" t="s">
        <v>47</v>
      </c>
      <c r="B1004" t="str">
        <f>"002603"</f>
        <v>002603</v>
      </c>
      <c r="C1004" t="s">
        <v>2265</v>
      </c>
      <c r="D1004" t="s">
        <v>695</v>
      </c>
      <c r="E1004">
        <v>13852192731</v>
      </c>
      <c r="F1004">
        <v>13510002090</v>
      </c>
      <c r="G1004">
        <v>9826188628</v>
      </c>
      <c r="H1004">
        <v>8818640991</v>
      </c>
      <c r="I1004">
        <v>8191149490</v>
      </c>
      <c r="J1004">
        <v>7954985142</v>
      </c>
      <c r="K1004">
        <v>5847342647</v>
      </c>
      <c r="L1004">
        <v>5173086504</v>
      </c>
      <c r="M1004">
        <v>4821362200</v>
      </c>
      <c r="N1004">
        <v>4324281580</v>
      </c>
      <c r="O1004">
        <v>4273219030</v>
      </c>
      <c r="P1004">
        <v>833</v>
      </c>
      <c r="Q1004" t="s">
        <v>2266</v>
      </c>
    </row>
    <row r="1005" spans="1:17" x14ac:dyDescent="0.3">
      <c r="A1005" t="s">
        <v>47</v>
      </c>
      <c r="B1005" t="str">
        <f>"000519"</f>
        <v>000519</v>
      </c>
      <c r="C1005" t="s">
        <v>2267</v>
      </c>
      <c r="D1005" t="s">
        <v>1344</v>
      </c>
      <c r="E1005">
        <v>13833014731</v>
      </c>
      <c r="F1005">
        <v>12347683665</v>
      </c>
      <c r="G1005">
        <v>10839752935</v>
      </c>
      <c r="H1005">
        <v>10366568773</v>
      </c>
      <c r="I1005">
        <v>9617921839</v>
      </c>
      <c r="J1005">
        <v>9682816661</v>
      </c>
      <c r="K1005">
        <v>5104175391</v>
      </c>
      <c r="L1005">
        <v>4930059323</v>
      </c>
      <c r="M1005">
        <v>4761456339</v>
      </c>
      <c r="N1005">
        <v>492875194</v>
      </c>
      <c r="O1005">
        <v>471491248</v>
      </c>
      <c r="P1005">
        <v>336</v>
      </c>
      <c r="Q1005" t="s">
        <v>2268</v>
      </c>
    </row>
    <row r="1006" spans="1:17" x14ac:dyDescent="0.3">
      <c r="A1006" t="s">
        <v>17</v>
      </c>
      <c r="B1006" t="str">
        <f>"600121"</f>
        <v>600121</v>
      </c>
      <c r="C1006" t="s">
        <v>2269</v>
      </c>
      <c r="D1006" t="s">
        <v>141</v>
      </c>
      <c r="E1006">
        <v>13822347494</v>
      </c>
      <c r="F1006">
        <v>13016558295</v>
      </c>
      <c r="G1006">
        <v>15020670235</v>
      </c>
      <c r="H1006">
        <v>13995730206</v>
      </c>
      <c r="I1006">
        <v>11457537998</v>
      </c>
      <c r="J1006">
        <v>11076458994</v>
      </c>
      <c r="K1006">
        <v>11510078374</v>
      </c>
      <c r="L1006">
        <v>11101514737</v>
      </c>
      <c r="M1006">
        <v>11871174930</v>
      </c>
      <c r="N1006">
        <v>10575827897</v>
      </c>
      <c r="O1006">
        <v>7437235431</v>
      </c>
      <c r="P1006">
        <v>180</v>
      </c>
      <c r="Q1006" t="s">
        <v>2270</v>
      </c>
    </row>
    <row r="1007" spans="1:17" x14ac:dyDescent="0.3">
      <c r="A1007" t="s">
        <v>17</v>
      </c>
      <c r="B1007" t="str">
        <f>"601952"</f>
        <v>601952</v>
      </c>
      <c r="C1007" t="s">
        <v>2271</v>
      </c>
      <c r="D1007" t="s">
        <v>2272</v>
      </c>
      <c r="E1007">
        <v>13800726974</v>
      </c>
      <c r="F1007">
        <v>13517082752</v>
      </c>
      <c r="G1007">
        <v>8087405671</v>
      </c>
      <c r="H1007">
        <v>7501626489</v>
      </c>
      <c r="I1007">
        <v>6594050376</v>
      </c>
      <c r="J1007">
        <v>4013629740</v>
      </c>
      <c r="P1007">
        <v>313</v>
      </c>
      <c r="Q1007" t="s">
        <v>2273</v>
      </c>
    </row>
    <row r="1008" spans="1:17" x14ac:dyDescent="0.3">
      <c r="A1008" t="s">
        <v>17</v>
      </c>
      <c r="B1008" t="str">
        <f>"600129"</f>
        <v>600129</v>
      </c>
      <c r="C1008" t="s">
        <v>2274</v>
      </c>
      <c r="D1008" t="s">
        <v>695</v>
      </c>
      <c r="E1008">
        <v>13797112940</v>
      </c>
      <c r="F1008">
        <v>13617401351</v>
      </c>
      <c r="G1008">
        <v>14633133840</v>
      </c>
      <c r="H1008">
        <v>13256416323</v>
      </c>
      <c r="I1008">
        <v>12056514883</v>
      </c>
      <c r="J1008">
        <v>9431009357</v>
      </c>
      <c r="K1008">
        <v>9995887004</v>
      </c>
      <c r="L1008">
        <v>10601541993</v>
      </c>
      <c r="M1008">
        <v>9401263284</v>
      </c>
      <c r="N1008">
        <v>8303230228</v>
      </c>
      <c r="O1008">
        <v>8075358037</v>
      </c>
      <c r="P1008">
        <v>283</v>
      </c>
      <c r="Q1008" t="s">
        <v>2275</v>
      </c>
    </row>
    <row r="1009" spans="1:17" x14ac:dyDescent="0.3">
      <c r="A1009" t="s">
        <v>47</v>
      </c>
      <c r="B1009" t="str">
        <f>"002407"</f>
        <v>002407</v>
      </c>
      <c r="C1009" t="s">
        <v>2276</v>
      </c>
      <c r="D1009" t="s">
        <v>1796</v>
      </c>
      <c r="E1009">
        <v>13758822212</v>
      </c>
      <c r="F1009">
        <v>9703942485</v>
      </c>
      <c r="G1009">
        <v>9584643386</v>
      </c>
      <c r="H1009">
        <v>8850887801</v>
      </c>
      <c r="I1009">
        <v>7344481608</v>
      </c>
      <c r="J1009">
        <v>5634030799</v>
      </c>
      <c r="K1009">
        <v>4261979396</v>
      </c>
      <c r="L1009">
        <v>3079608124</v>
      </c>
      <c r="M1009">
        <v>2748583039</v>
      </c>
      <c r="N1009">
        <v>2618162301</v>
      </c>
      <c r="O1009">
        <v>2342141201</v>
      </c>
      <c r="P1009">
        <v>566</v>
      </c>
      <c r="Q1009" t="s">
        <v>2277</v>
      </c>
    </row>
    <row r="1010" spans="1:17" x14ac:dyDescent="0.3">
      <c r="A1010" t="s">
        <v>17</v>
      </c>
      <c r="B1010" t="str">
        <f>"600531"</f>
        <v>600531</v>
      </c>
      <c r="C1010" t="s">
        <v>2278</v>
      </c>
      <c r="D1010" t="s">
        <v>1299</v>
      </c>
      <c r="E1010">
        <v>13752593971</v>
      </c>
      <c r="F1010">
        <v>14082492479</v>
      </c>
      <c r="G1010">
        <v>11278838512</v>
      </c>
      <c r="H1010">
        <v>11150919396</v>
      </c>
      <c r="I1010">
        <v>11459546999</v>
      </c>
      <c r="J1010">
        <v>11466143494</v>
      </c>
      <c r="K1010">
        <v>7524678176</v>
      </c>
      <c r="L1010">
        <v>8490372710</v>
      </c>
      <c r="M1010">
        <v>8794631832</v>
      </c>
      <c r="N1010">
        <v>7061267205</v>
      </c>
      <c r="O1010">
        <v>6774417931</v>
      </c>
      <c r="P1010">
        <v>148</v>
      </c>
      <c r="Q1010" t="s">
        <v>2279</v>
      </c>
    </row>
    <row r="1011" spans="1:17" x14ac:dyDescent="0.3">
      <c r="A1011" t="s">
        <v>17</v>
      </c>
      <c r="B1011" t="str">
        <f>"600062"</f>
        <v>600062</v>
      </c>
      <c r="C1011" t="s">
        <v>2280</v>
      </c>
      <c r="D1011" t="s">
        <v>550</v>
      </c>
      <c r="E1011">
        <v>13713457609</v>
      </c>
      <c r="F1011">
        <v>13245136617</v>
      </c>
      <c r="G1011">
        <v>11560742003</v>
      </c>
      <c r="H1011">
        <v>10950122928</v>
      </c>
      <c r="I1011">
        <v>9955512400</v>
      </c>
      <c r="J1011">
        <v>9529960417</v>
      </c>
      <c r="K1011">
        <v>7851641191</v>
      </c>
      <c r="L1011">
        <v>6726340109</v>
      </c>
      <c r="M1011">
        <v>6394979427</v>
      </c>
      <c r="N1011">
        <v>7015153662</v>
      </c>
      <c r="O1011">
        <v>6429779618</v>
      </c>
      <c r="P1011">
        <v>635</v>
      </c>
      <c r="Q1011" t="s">
        <v>2281</v>
      </c>
    </row>
    <row r="1012" spans="1:17" x14ac:dyDescent="0.3">
      <c r="A1012" t="s">
        <v>47</v>
      </c>
      <c r="B1012" t="str">
        <f>"000411"</f>
        <v>000411</v>
      </c>
      <c r="C1012" t="s">
        <v>2282</v>
      </c>
      <c r="D1012" t="s">
        <v>362</v>
      </c>
      <c r="E1012">
        <v>13708099857</v>
      </c>
      <c r="F1012">
        <v>12664322711</v>
      </c>
      <c r="G1012">
        <v>11713917048</v>
      </c>
      <c r="H1012">
        <v>10025585299</v>
      </c>
      <c r="I1012">
        <v>9786609158</v>
      </c>
      <c r="J1012">
        <v>8151507355</v>
      </c>
      <c r="K1012">
        <v>6938208987</v>
      </c>
      <c r="L1012">
        <v>6192432681</v>
      </c>
      <c r="M1012">
        <v>5322145054</v>
      </c>
      <c r="N1012">
        <v>5101535915</v>
      </c>
      <c r="O1012">
        <v>4156028314</v>
      </c>
      <c r="P1012">
        <v>236</v>
      </c>
      <c r="Q1012" t="s">
        <v>2283</v>
      </c>
    </row>
    <row r="1013" spans="1:17" x14ac:dyDescent="0.3">
      <c r="A1013" t="s">
        <v>47</v>
      </c>
      <c r="B1013" t="str">
        <f>"002032"</f>
        <v>002032</v>
      </c>
      <c r="C1013" t="s">
        <v>2284</v>
      </c>
      <c r="D1013" t="s">
        <v>2285</v>
      </c>
      <c r="E1013">
        <v>13696510374</v>
      </c>
      <c r="F1013">
        <v>12323490473</v>
      </c>
      <c r="G1013">
        <v>10740867791</v>
      </c>
      <c r="H1013">
        <v>9885157342</v>
      </c>
      <c r="I1013">
        <v>9094234189</v>
      </c>
      <c r="J1013">
        <v>7804555212</v>
      </c>
      <c r="K1013">
        <v>7393660595</v>
      </c>
      <c r="L1013">
        <v>6612560170</v>
      </c>
      <c r="M1013">
        <v>5654392636</v>
      </c>
      <c r="N1013">
        <v>4890876723</v>
      </c>
      <c r="O1013">
        <v>4349300519</v>
      </c>
      <c r="P1013">
        <v>52892</v>
      </c>
      <c r="Q1013" t="s">
        <v>2286</v>
      </c>
    </row>
    <row r="1014" spans="1:17" x14ac:dyDescent="0.3">
      <c r="A1014" t="s">
        <v>47</v>
      </c>
      <c r="B1014" t="str">
        <f>"000838"</f>
        <v>000838</v>
      </c>
      <c r="C1014" t="s">
        <v>2287</v>
      </c>
      <c r="D1014" t="s">
        <v>76</v>
      </c>
      <c r="E1014">
        <v>13693898571</v>
      </c>
      <c r="F1014">
        <v>18254097146</v>
      </c>
      <c r="G1014">
        <v>18591329790</v>
      </c>
      <c r="H1014">
        <v>14425647684</v>
      </c>
      <c r="I1014">
        <v>9669283758</v>
      </c>
      <c r="J1014">
        <v>5723414513</v>
      </c>
      <c r="K1014">
        <v>4715201395</v>
      </c>
      <c r="L1014">
        <v>2891589172</v>
      </c>
      <c r="M1014">
        <v>2182837177</v>
      </c>
      <c r="N1014">
        <v>1629142721</v>
      </c>
      <c r="O1014">
        <v>1224160174</v>
      </c>
      <c r="P1014">
        <v>98</v>
      </c>
      <c r="Q1014" t="s">
        <v>2288</v>
      </c>
    </row>
    <row r="1015" spans="1:17" x14ac:dyDescent="0.3">
      <c r="A1015" t="s">
        <v>17</v>
      </c>
      <c r="B1015" t="str">
        <f>"605589"</f>
        <v>605589</v>
      </c>
      <c r="C1015" t="s">
        <v>2289</v>
      </c>
      <c r="D1015" t="s">
        <v>2290</v>
      </c>
      <c r="E1015">
        <v>13683544976</v>
      </c>
      <c r="F1015">
        <v>11606246159</v>
      </c>
      <c r="P1015">
        <v>40</v>
      </c>
      <c r="Q1015" t="s">
        <v>2291</v>
      </c>
    </row>
    <row r="1016" spans="1:17" x14ac:dyDescent="0.3">
      <c r="A1016" t="s">
        <v>17</v>
      </c>
      <c r="B1016" t="str">
        <f>"600326"</f>
        <v>600326</v>
      </c>
      <c r="C1016" t="s">
        <v>2292</v>
      </c>
      <c r="D1016" t="s">
        <v>253</v>
      </c>
      <c r="E1016">
        <v>13640578561</v>
      </c>
      <c r="F1016">
        <v>12566023858</v>
      </c>
      <c r="G1016">
        <v>11371633147</v>
      </c>
      <c r="H1016">
        <v>8314241576</v>
      </c>
      <c r="I1016">
        <v>7770492347</v>
      </c>
      <c r="J1016">
        <v>7030347037</v>
      </c>
      <c r="K1016">
        <v>4847060843</v>
      </c>
      <c r="L1016">
        <v>3279512572</v>
      </c>
      <c r="M1016">
        <v>2930516001</v>
      </c>
      <c r="N1016">
        <v>2641130162</v>
      </c>
      <c r="O1016">
        <v>2276595921</v>
      </c>
      <c r="P1016">
        <v>275</v>
      </c>
      <c r="Q1016" t="s">
        <v>2293</v>
      </c>
    </row>
    <row r="1017" spans="1:17" x14ac:dyDescent="0.3">
      <c r="A1017" t="s">
        <v>17</v>
      </c>
      <c r="B1017" t="str">
        <f>"601900"</f>
        <v>601900</v>
      </c>
      <c r="C1017" t="s">
        <v>2294</v>
      </c>
      <c r="D1017" t="s">
        <v>1352</v>
      </c>
      <c r="E1017">
        <v>13632546821</v>
      </c>
      <c r="F1017">
        <v>12528659371</v>
      </c>
      <c r="G1017">
        <v>11178377916</v>
      </c>
      <c r="H1017">
        <v>9958331150</v>
      </c>
      <c r="I1017">
        <v>9399338934</v>
      </c>
      <c r="J1017">
        <v>8572321152</v>
      </c>
      <c r="K1017">
        <v>8089873226</v>
      </c>
      <c r="P1017">
        <v>244</v>
      </c>
      <c r="Q1017" t="s">
        <v>2295</v>
      </c>
    </row>
    <row r="1018" spans="1:17" x14ac:dyDescent="0.3">
      <c r="A1018" t="s">
        <v>17</v>
      </c>
      <c r="B1018" t="str">
        <f>"603612"</f>
        <v>603612</v>
      </c>
      <c r="C1018" t="s">
        <v>2296</v>
      </c>
      <c r="D1018" t="s">
        <v>1197</v>
      </c>
      <c r="E1018">
        <v>13630489379</v>
      </c>
      <c r="F1018">
        <v>9631443853</v>
      </c>
      <c r="G1018">
        <v>8072794551</v>
      </c>
      <c r="H1018">
        <v>6865114053</v>
      </c>
      <c r="I1018">
        <v>4820543816</v>
      </c>
      <c r="P1018">
        <v>162</v>
      </c>
      <c r="Q1018" t="s">
        <v>2297</v>
      </c>
    </row>
    <row r="1019" spans="1:17" x14ac:dyDescent="0.3">
      <c r="A1019" t="s">
        <v>47</v>
      </c>
      <c r="B1019" t="str">
        <f>"300888"</f>
        <v>300888</v>
      </c>
      <c r="C1019" t="s">
        <v>2298</v>
      </c>
      <c r="D1019" t="s">
        <v>2299</v>
      </c>
      <c r="E1019">
        <v>13627200963</v>
      </c>
      <c r="F1019">
        <v>13550059545</v>
      </c>
      <c r="P1019">
        <v>457</v>
      </c>
      <c r="Q1019" t="s">
        <v>2300</v>
      </c>
    </row>
    <row r="1020" spans="1:17" x14ac:dyDescent="0.3">
      <c r="A1020" t="s">
        <v>47</v>
      </c>
      <c r="B1020" t="str">
        <f>"002243"</f>
        <v>002243</v>
      </c>
      <c r="C1020" t="s">
        <v>2301</v>
      </c>
      <c r="D1020" t="s">
        <v>2302</v>
      </c>
      <c r="E1020">
        <v>13573521022</v>
      </c>
      <c r="F1020">
        <v>11033932788</v>
      </c>
      <c r="G1020">
        <v>8852715665</v>
      </c>
      <c r="H1020">
        <v>1953103238</v>
      </c>
      <c r="I1020">
        <v>1879148556</v>
      </c>
      <c r="J1020">
        <v>1807994593</v>
      </c>
      <c r="K1020">
        <v>1743417188</v>
      </c>
      <c r="L1020">
        <v>1903523889</v>
      </c>
      <c r="M1020">
        <v>1999123030</v>
      </c>
      <c r="N1020">
        <v>1372702828</v>
      </c>
      <c r="O1020">
        <v>1225081762</v>
      </c>
      <c r="P1020">
        <v>155</v>
      </c>
      <c r="Q1020" t="s">
        <v>2303</v>
      </c>
    </row>
    <row r="1021" spans="1:17" x14ac:dyDescent="0.3">
      <c r="A1021" t="s">
        <v>17</v>
      </c>
      <c r="B1021" t="str">
        <f>"600662"</f>
        <v>600662</v>
      </c>
      <c r="C1021" t="s">
        <v>2304</v>
      </c>
      <c r="D1021" t="s">
        <v>1773</v>
      </c>
      <c r="E1021">
        <v>13568524337</v>
      </c>
      <c r="F1021">
        <v>5844163444</v>
      </c>
      <c r="G1021">
        <v>6773699381</v>
      </c>
      <c r="H1021">
        <v>7313622352</v>
      </c>
      <c r="I1021">
        <v>6174628726</v>
      </c>
      <c r="J1021">
        <v>6434370859</v>
      </c>
      <c r="K1021">
        <v>6807137055</v>
      </c>
      <c r="L1021">
        <v>6043721739</v>
      </c>
      <c r="M1021">
        <v>6225298497</v>
      </c>
      <c r="N1021">
        <v>6435357959</v>
      </c>
      <c r="O1021">
        <v>5992820345</v>
      </c>
      <c r="P1021">
        <v>130</v>
      </c>
      <c r="Q1021" t="s">
        <v>2305</v>
      </c>
    </row>
    <row r="1022" spans="1:17" x14ac:dyDescent="0.3">
      <c r="A1022" t="s">
        <v>47</v>
      </c>
      <c r="B1022" t="str">
        <f>"300068"</f>
        <v>300068</v>
      </c>
      <c r="C1022" t="s">
        <v>2306</v>
      </c>
      <c r="D1022" t="s">
        <v>1357</v>
      </c>
      <c r="E1022">
        <v>13549464590</v>
      </c>
      <c r="F1022">
        <v>14479461749</v>
      </c>
      <c r="G1022">
        <v>13509166931</v>
      </c>
      <c r="H1022">
        <v>13273359192</v>
      </c>
      <c r="I1022">
        <v>12312732882</v>
      </c>
      <c r="J1022">
        <v>9231572923</v>
      </c>
      <c r="K1022">
        <v>7109380573</v>
      </c>
      <c r="L1022">
        <v>4857964031</v>
      </c>
      <c r="M1022">
        <v>4162746756</v>
      </c>
      <c r="N1022">
        <v>3980892250</v>
      </c>
      <c r="O1022">
        <v>3309677697</v>
      </c>
      <c r="P1022">
        <v>305</v>
      </c>
      <c r="Q1022" t="s">
        <v>2307</v>
      </c>
    </row>
    <row r="1023" spans="1:17" x14ac:dyDescent="0.3">
      <c r="A1023" t="s">
        <v>47</v>
      </c>
      <c r="B1023" t="str">
        <f>"002028"</f>
        <v>002028</v>
      </c>
      <c r="C1023" t="s">
        <v>2308</v>
      </c>
      <c r="D1023" t="s">
        <v>459</v>
      </c>
      <c r="E1023">
        <v>13542571079</v>
      </c>
      <c r="F1023">
        <v>10870539399</v>
      </c>
      <c r="G1023">
        <v>8553130600</v>
      </c>
      <c r="H1023">
        <v>7191301808</v>
      </c>
      <c r="I1023">
        <v>6239994154</v>
      </c>
      <c r="J1023">
        <v>6161837979</v>
      </c>
      <c r="K1023">
        <v>5834629145</v>
      </c>
      <c r="L1023">
        <v>5277149294</v>
      </c>
      <c r="M1023">
        <v>4659732614</v>
      </c>
      <c r="N1023">
        <v>4157153553</v>
      </c>
      <c r="O1023">
        <v>3660212399</v>
      </c>
      <c r="P1023">
        <v>603</v>
      </c>
      <c r="Q1023" t="s">
        <v>2309</v>
      </c>
    </row>
    <row r="1024" spans="1:17" x14ac:dyDescent="0.3">
      <c r="A1024" t="s">
        <v>47</v>
      </c>
      <c r="B1024" t="str">
        <f>"000755"</f>
        <v>000755</v>
      </c>
      <c r="C1024" t="s">
        <v>2310</v>
      </c>
      <c r="D1024" t="s">
        <v>471</v>
      </c>
      <c r="E1024">
        <v>13517885014</v>
      </c>
      <c r="F1024">
        <v>8093413626</v>
      </c>
      <c r="G1024">
        <v>8388011871</v>
      </c>
      <c r="H1024">
        <v>9055225046</v>
      </c>
      <c r="I1024">
        <v>1670939045</v>
      </c>
      <c r="J1024">
        <v>5310734502</v>
      </c>
      <c r="K1024">
        <v>5642928127</v>
      </c>
      <c r="L1024">
        <v>6055143385</v>
      </c>
      <c r="M1024">
        <v>5870055019</v>
      </c>
      <c r="N1024">
        <v>7159483419</v>
      </c>
      <c r="O1024">
        <v>7446641210</v>
      </c>
      <c r="P1024">
        <v>96</v>
      </c>
      <c r="Q1024" t="s">
        <v>2311</v>
      </c>
    </row>
    <row r="1025" spans="1:17" x14ac:dyDescent="0.3">
      <c r="A1025" t="s">
        <v>47</v>
      </c>
      <c r="B1025" t="str">
        <f>"002461"</f>
        <v>002461</v>
      </c>
      <c r="C1025" t="s">
        <v>2312</v>
      </c>
      <c r="D1025" t="s">
        <v>908</v>
      </c>
      <c r="E1025">
        <v>13497968416</v>
      </c>
      <c r="F1025">
        <v>12976484338</v>
      </c>
      <c r="G1025">
        <v>11830302041</v>
      </c>
      <c r="H1025">
        <v>11934791962</v>
      </c>
      <c r="I1025">
        <v>11345447762</v>
      </c>
      <c r="J1025">
        <v>10622884291</v>
      </c>
      <c r="K1025">
        <v>6137792285</v>
      </c>
      <c r="L1025">
        <v>6058652235</v>
      </c>
      <c r="M1025">
        <v>5613277371</v>
      </c>
      <c r="N1025">
        <v>5699839041</v>
      </c>
      <c r="O1025">
        <v>5688279137</v>
      </c>
      <c r="P1025">
        <v>461</v>
      </c>
      <c r="Q1025" t="s">
        <v>2313</v>
      </c>
    </row>
    <row r="1026" spans="1:17" x14ac:dyDescent="0.3">
      <c r="A1026" t="s">
        <v>17</v>
      </c>
      <c r="B1026" t="str">
        <f>"600759"</f>
        <v>600759</v>
      </c>
      <c r="C1026" t="s">
        <v>2314</v>
      </c>
      <c r="D1026" t="s">
        <v>1444</v>
      </c>
      <c r="E1026">
        <v>13480827700</v>
      </c>
      <c r="F1026">
        <v>14199631891</v>
      </c>
      <c r="G1026">
        <v>13703739681</v>
      </c>
      <c r="H1026">
        <v>14559049615</v>
      </c>
      <c r="I1026">
        <v>16025914919</v>
      </c>
      <c r="J1026">
        <v>17701506656</v>
      </c>
      <c r="K1026">
        <v>14214067937</v>
      </c>
      <c r="L1026">
        <v>10681686283</v>
      </c>
      <c r="M1026">
        <v>6443686331</v>
      </c>
      <c r="N1026">
        <v>5923496376</v>
      </c>
      <c r="O1026">
        <v>4550659992</v>
      </c>
      <c r="P1026">
        <v>125</v>
      </c>
      <c r="Q1026" t="s">
        <v>2315</v>
      </c>
    </row>
    <row r="1027" spans="1:17" x14ac:dyDescent="0.3">
      <c r="A1027" t="s">
        <v>47</v>
      </c>
      <c r="B1027" t="str">
        <f>"002233"</f>
        <v>002233</v>
      </c>
      <c r="C1027" t="s">
        <v>2316</v>
      </c>
      <c r="D1027" t="s">
        <v>253</v>
      </c>
      <c r="E1027">
        <v>13467514716</v>
      </c>
      <c r="F1027">
        <v>12424250523</v>
      </c>
      <c r="G1027">
        <v>11640679556</v>
      </c>
      <c r="H1027">
        <v>10717064259</v>
      </c>
      <c r="I1027">
        <v>9895313154</v>
      </c>
      <c r="J1027">
        <v>6558970708</v>
      </c>
      <c r="K1027">
        <v>5847379534</v>
      </c>
      <c r="L1027">
        <v>5329110237</v>
      </c>
      <c r="M1027">
        <v>5543389784</v>
      </c>
      <c r="N1027">
        <v>5056477105</v>
      </c>
      <c r="O1027">
        <v>5240730595</v>
      </c>
      <c r="P1027">
        <v>1388</v>
      </c>
      <c r="Q1027" t="s">
        <v>2317</v>
      </c>
    </row>
    <row r="1028" spans="1:17" x14ac:dyDescent="0.3">
      <c r="A1028" t="s">
        <v>47</v>
      </c>
      <c r="B1028" t="str">
        <f>"000869"</f>
        <v>000869</v>
      </c>
      <c r="C1028" t="s">
        <v>2318</v>
      </c>
      <c r="D1028" t="s">
        <v>2319</v>
      </c>
      <c r="E1028">
        <v>13445106557</v>
      </c>
      <c r="F1028">
        <v>13456572813</v>
      </c>
      <c r="G1028">
        <v>13447791010</v>
      </c>
      <c r="H1028">
        <v>13317351339</v>
      </c>
      <c r="I1028">
        <v>13134043590</v>
      </c>
      <c r="J1028">
        <v>11857812108</v>
      </c>
      <c r="K1028">
        <v>11101253043</v>
      </c>
      <c r="L1028">
        <v>9719260222</v>
      </c>
      <c r="M1028">
        <v>8527529718</v>
      </c>
      <c r="N1028">
        <v>8517740827</v>
      </c>
      <c r="O1028">
        <v>7562703758</v>
      </c>
      <c r="P1028">
        <v>833</v>
      </c>
      <c r="Q1028" t="s">
        <v>2320</v>
      </c>
    </row>
    <row r="1029" spans="1:17" x14ac:dyDescent="0.3">
      <c r="A1029" t="s">
        <v>47</v>
      </c>
      <c r="B1029" t="str">
        <f>"300676"</f>
        <v>300676</v>
      </c>
      <c r="C1029" t="s">
        <v>2321</v>
      </c>
      <c r="D1029" t="s">
        <v>2322</v>
      </c>
      <c r="E1029">
        <v>13425986097</v>
      </c>
      <c r="F1029">
        <v>13452171774</v>
      </c>
      <c r="G1029">
        <v>7102551946</v>
      </c>
      <c r="H1029">
        <v>5308511454</v>
      </c>
      <c r="I1029">
        <v>5049886362</v>
      </c>
      <c r="J1029">
        <v>4160099622</v>
      </c>
      <c r="P1029">
        <v>1481</v>
      </c>
      <c r="Q1029" t="s">
        <v>2323</v>
      </c>
    </row>
    <row r="1030" spans="1:17" x14ac:dyDescent="0.3">
      <c r="A1030" t="s">
        <v>17</v>
      </c>
      <c r="B1030" t="str">
        <f>"601311"</f>
        <v>601311</v>
      </c>
      <c r="C1030" t="s">
        <v>2324</v>
      </c>
      <c r="D1030" t="s">
        <v>1357</v>
      </c>
      <c r="E1030">
        <v>13405531050</v>
      </c>
      <c r="F1030">
        <v>12761359968</v>
      </c>
      <c r="G1030">
        <v>11827733123</v>
      </c>
      <c r="H1030">
        <v>10812009141</v>
      </c>
      <c r="I1030">
        <v>9878369904</v>
      </c>
      <c r="J1030">
        <v>8265048871</v>
      </c>
      <c r="K1030">
        <v>6502865882</v>
      </c>
      <c r="L1030">
        <v>5934131730</v>
      </c>
      <c r="M1030">
        <v>5430678834</v>
      </c>
      <c r="N1030">
        <v>4871341253</v>
      </c>
      <c r="O1030">
        <v>3860311869</v>
      </c>
      <c r="P1030">
        <v>339</v>
      </c>
      <c r="Q1030" t="s">
        <v>2325</v>
      </c>
    </row>
    <row r="1031" spans="1:17" x14ac:dyDescent="0.3">
      <c r="A1031" t="s">
        <v>47</v>
      </c>
      <c r="B1031" t="str">
        <f>"000589"</f>
        <v>000589</v>
      </c>
      <c r="C1031" t="s">
        <v>2326</v>
      </c>
      <c r="D1031" t="s">
        <v>1102</v>
      </c>
      <c r="E1031">
        <v>13394697349</v>
      </c>
      <c r="F1031">
        <v>12574767500</v>
      </c>
      <c r="G1031">
        <v>10050678042</v>
      </c>
      <c r="H1031">
        <v>10273297180</v>
      </c>
      <c r="I1031">
        <v>10040275284</v>
      </c>
      <c r="J1031">
        <v>10448882950</v>
      </c>
      <c r="K1031">
        <v>11750476533</v>
      </c>
      <c r="L1031">
        <v>10083780361</v>
      </c>
      <c r="M1031">
        <v>8870054324</v>
      </c>
      <c r="N1031">
        <v>6988037418</v>
      </c>
      <c r="O1031">
        <v>7324687757</v>
      </c>
      <c r="P1031">
        <v>208</v>
      </c>
      <c r="Q1031" t="s">
        <v>2327</v>
      </c>
    </row>
    <row r="1032" spans="1:17" x14ac:dyDescent="0.3">
      <c r="A1032" t="s">
        <v>47</v>
      </c>
      <c r="B1032" t="str">
        <f>"300393"</f>
        <v>300393</v>
      </c>
      <c r="C1032" t="s">
        <v>2328</v>
      </c>
      <c r="D1032" t="s">
        <v>664</v>
      </c>
      <c r="E1032">
        <v>13331737869</v>
      </c>
      <c r="F1032">
        <v>9632280130</v>
      </c>
      <c r="G1032">
        <v>8702811109</v>
      </c>
      <c r="H1032">
        <v>7145572232</v>
      </c>
      <c r="I1032">
        <v>5760728907</v>
      </c>
      <c r="J1032">
        <v>3701180213</v>
      </c>
      <c r="K1032">
        <v>1702670841</v>
      </c>
      <c r="L1032">
        <v>1084050577</v>
      </c>
      <c r="P1032">
        <v>304</v>
      </c>
      <c r="Q1032" t="s">
        <v>2329</v>
      </c>
    </row>
    <row r="1033" spans="1:17" x14ac:dyDescent="0.3">
      <c r="A1033" t="s">
        <v>47</v>
      </c>
      <c r="B1033" t="str">
        <f>"300457"</f>
        <v>300457</v>
      </c>
      <c r="C1033" t="s">
        <v>2330</v>
      </c>
      <c r="D1033" t="s">
        <v>1490</v>
      </c>
      <c r="E1033">
        <v>13285104487</v>
      </c>
      <c r="F1033">
        <v>9085979479</v>
      </c>
      <c r="G1033">
        <v>6622685172</v>
      </c>
      <c r="H1033">
        <v>5479573318</v>
      </c>
      <c r="I1033">
        <v>3662517623</v>
      </c>
      <c r="J1033">
        <v>2721047251</v>
      </c>
      <c r="K1033">
        <v>1232040593</v>
      </c>
      <c r="L1033">
        <v>539860800</v>
      </c>
      <c r="P1033">
        <v>359</v>
      </c>
      <c r="Q1033" t="s">
        <v>2331</v>
      </c>
    </row>
    <row r="1034" spans="1:17" x14ac:dyDescent="0.3">
      <c r="A1034" t="s">
        <v>17</v>
      </c>
      <c r="B1034" t="str">
        <f>"603609"</f>
        <v>603609</v>
      </c>
      <c r="C1034" t="s">
        <v>2332</v>
      </c>
      <c r="D1034" t="s">
        <v>1390</v>
      </c>
      <c r="E1034">
        <v>13239246062</v>
      </c>
      <c r="F1034">
        <v>12790487099</v>
      </c>
      <c r="G1034">
        <v>10042767919</v>
      </c>
      <c r="H1034">
        <v>7183258755</v>
      </c>
      <c r="I1034">
        <v>6414154493</v>
      </c>
      <c r="J1034">
        <v>5645347219</v>
      </c>
      <c r="K1034">
        <v>4282097214</v>
      </c>
      <c r="L1034">
        <v>4127279744</v>
      </c>
      <c r="M1034">
        <v>3477469400</v>
      </c>
      <c r="P1034">
        <v>507</v>
      </c>
      <c r="Q1034" t="s">
        <v>2333</v>
      </c>
    </row>
    <row r="1035" spans="1:17" x14ac:dyDescent="0.3">
      <c r="A1035" t="s">
        <v>17</v>
      </c>
      <c r="B1035" t="str">
        <f>"600280"</f>
        <v>600280</v>
      </c>
      <c r="C1035" t="s">
        <v>2334</v>
      </c>
      <c r="D1035" t="s">
        <v>1073</v>
      </c>
      <c r="E1035">
        <v>13238919898</v>
      </c>
      <c r="F1035">
        <v>13201937008</v>
      </c>
      <c r="G1035">
        <v>15068436413</v>
      </c>
      <c r="H1035">
        <v>16008175499</v>
      </c>
      <c r="I1035">
        <v>17757547377</v>
      </c>
      <c r="J1035">
        <v>16611566364</v>
      </c>
      <c r="K1035">
        <v>16200669750</v>
      </c>
      <c r="L1035">
        <v>14798424080</v>
      </c>
      <c r="M1035">
        <v>11568551589</v>
      </c>
      <c r="N1035">
        <v>9287828821</v>
      </c>
      <c r="O1035">
        <v>7052140993</v>
      </c>
      <c r="P1035">
        <v>81</v>
      </c>
      <c r="Q1035" t="s">
        <v>2335</v>
      </c>
    </row>
    <row r="1036" spans="1:17" x14ac:dyDescent="0.3">
      <c r="A1036" t="s">
        <v>17</v>
      </c>
      <c r="B1036" t="str">
        <f>"603766"</f>
        <v>603766</v>
      </c>
      <c r="C1036" t="s">
        <v>2336</v>
      </c>
      <c r="D1036" t="s">
        <v>1847</v>
      </c>
      <c r="E1036">
        <v>13223631641</v>
      </c>
      <c r="F1036">
        <v>13117818597</v>
      </c>
      <c r="G1036">
        <v>12350696054</v>
      </c>
      <c r="H1036">
        <v>12264041946</v>
      </c>
      <c r="I1036">
        <v>11331157854</v>
      </c>
      <c r="J1036">
        <v>10692303406</v>
      </c>
      <c r="K1036">
        <v>8709069699</v>
      </c>
      <c r="L1036">
        <v>6047425879</v>
      </c>
      <c r="M1036">
        <v>5593752344</v>
      </c>
      <c r="N1036">
        <v>5295825876</v>
      </c>
      <c r="P1036">
        <v>460</v>
      </c>
      <c r="Q1036" t="s">
        <v>2337</v>
      </c>
    </row>
    <row r="1037" spans="1:17" x14ac:dyDescent="0.3">
      <c r="A1037" t="s">
        <v>47</v>
      </c>
      <c r="B1037" t="str">
        <f>"000601"</f>
        <v>000601</v>
      </c>
      <c r="C1037" t="s">
        <v>2338</v>
      </c>
      <c r="D1037" t="s">
        <v>238</v>
      </c>
      <c r="E1037">
        <v>13214413353</v>
      </c>
      <c r="F1037">
        <v>12522764295</v>
      </c>
      <c r="G1037">
        <v>11553529811</v>
      </c>
      <c r="H1037">
        <v>10196359578</v>
      </c>
      <c r="I1037">
        <v>9627532682</v>
      </c>
      <c r="J1037">
        <v>8897429509</v>
      </c>
      <c r="K1037">
        <v>8628626191</v>
      </c>
      <c r="L1037">
        <v>8564773566</v>
      </c>
      <c r="M1037">
        <v>8971961123</v>
      </c>
      <c r="N1037">
        <v>9024082978</v>
      </c>
      <c r="O1037">
        <v>8396387373</v>
      </c>
      <c r="P1037">
        <v>215</v>
      </c>
      <c r="Q1037" t="s">
        <v>2339</v>
      </c>
    </row>
    <row r="1038" spans="1:17" x14ac:dyDescent="0.3">
      <c r="A1038" t="s">
        <v>47</v>
      </c>
      <c r="B1038" t="str">
        <f>"002267"</f>
        <v>002267</v>
      </c>
      <c r="C1038" t="s">
        <v>2340</v>
      </c>
      <c r="D1038" t="s">
        <v>476</v>
      </c>
      <c r="E1038">
        <v>13172404972</v>
      </c>
      <c r="F1038">
        <v>13319827997</v>
      </c>
      <c r="G1038">
        <v>11903303474</v>
      </c>
      <c r="H1038">
        <v>12192402658</v>
      </c>
      <c r="I1038">
        <v>11912398807</v>
      </c>
      <c r="J1038">
        <v>10751952297</v>
      </c>
      <c r="K1038">
        <v>10504749700</v>
      </c>
      <c r="L1038">
        <v>9863191402</v>
      </c>
      <c r="M1038">
        <v>8761525267</v>
      </c>
      <c r="N1038">
        <v>7856644484</v>
      </c>
      <c r="O1038">
        <v>6605533317</v>
      </c>
      <c r="P1038">
        <v>202</v>
      </c>
      <c r="Q1038" t="s">
        <v>2341</v>
      </c>
    </row>
    <row r="1039" spans="1:17" x14ac:dyDescent="0.3">
      <c r="A1039" t="s">
        <v>47</v>
      </c>
      <c r="B1039" t="str">
        <f>"002034"</f>
        <v>002034</v>
      </c>
      <c r="C1039" t="s">
        <v>2342</v>
      </c>
      <c r="D1039" t="s">
        <v>1310</v>
      </c>
      <c r="E1039">
        <v>13130094927</v>
      </c>
      <c r="F1039">
        <v>12104473155</v>
      </c>
      <c r="G1039">
        <v>9235419864</v>
      </c>
      <c r="H1039">
        <v>6841345944</v>
      </c>
      <c r="I1039">
        <v>5118673614</v>
      </c>
      <c r="J1039">
        <v>1093935552</v>
      </c>
      <c r="K1039">
        <v>771162789</v>
      </c>
      <c r="L1039">
        <v>759573899</v>
      </c>
      <c r="M1039">
        <v>1467898255</v>
      </c>
      <c r="N1039">
        <v>1556633669</v>
      </c>
      <c r="O1039">
        <v>1495270866</v>
      </c>
      <c r="P1039">
        <v>244</v>
      </c>
      <c r="Q1039" t="s">
        <v>2343</v>
      </c>
    </row>
    <row r="1040" spans="1:17" x14ac:dyDescent="0.3">
      <c r="A1040" t="s">
        <v>17</v>
      </c>
      <c r="B1040" t="str">
        <f>"600590"</f>
        <v>600590</v>
      </c>
      <c r="C1040" t="s">
        <v>2344</v>
      </c>
      <c r="D1040" t="s">
        <v>679</v>
      </c>
      <c r="E1040">
        <v>13109032780</v>
      </c>
      <c r="F1040">
        <v>12479798288</v>
      </c>
      <c r="G1040">
        <v>13243492341</v>
      </c>
      <c r="H1040">
        <v>12287339582</v>
      </c>
      <c r="I1040">
        <v>10014250104</v>
      </c>
      <c r="J1040">
        <v>8292115874</v>
      </c>
      <c r="K1040">
        <v>7987604101</v>
      </c>
      <c r="L1040">
        <v>5635734686</v>
      </c>
      <c r="M1040">
        <v>6018654369</v>
      </c>
      <c r="N1040">
        <v>5890985289</v>
      </c>
      <c r="O1040">
        <v>4879446659</v>
      </c>
      <c r="P1040">
        <v>168</v>
      </c>
      <c r="Q1040" t="s">
        <v>2345</v>
      </c>
    </row>
    <row r="1041" spans="1:17" x14ac:dyDescent="0.3">
      <c r="A1041" t="s">
        <v>17</v>
      </c>
      <c r="B1041" t="str">
        <f>"600988"</f>
        <v>600988</v>
      </c>
      <c r="C1041" t="s">
        <v>2346</v>
      </c>
      <c r="D1041" t="s">
        <v>600</v>
      </c>
      <c r="E1041">
        <v>13099626783</v>
      </c>
      <c r="F1041">
        <v>6672605513</v>
      </c>
      <c r="G1041">
        <v>7788497587</v>
      </c>
      <c r="H1041">
        <v>7905705979</v>
      </c>
      <c r="I1041">
        <v>5056823463</v>
      </c>
      <c r="J1041">
        <v>4507250565</v>
      </c>
      <c r="K1041">
        <v>3734731491</v>
      </c>
      <c r="L1041">
        <v>2969685304</v>
      </c>
      <c r="M1041">
        <v>1453860137</v>
      </c>
      <c r="N1041">
        <v>425843934</v>
      </c>
      <c r="O1041">
        <v>91537510</v>
      </c>
      <c r="P1041">
        <v>487</v>
      </c>
      <c r="Q1041" t="s">
        <v>2347</v>
      </c>
    </row>
    <row r="1042" spans="1:17" x14ac:dyDescent="0.3">
      <c r="A1042" t="s">
        <v>47</v>
      </c>
      <c r="B1042" t="str">
        <f>"000881"</f>
        <v>000881</v>
      </c>
      <c r="C1042" t="s">
        <v>2348</v>
      </c>
      <c r="D1042" t="s">
        <v>710</v>
      </c>
      <c r="E1042">
        <v>13092686712</v>
      </c>
      <c r="F1042">
        <v>12407498341</v>
      </c>
      <c r="G1042">
        <v>11252278817</v>
      </c>
      <c r="H1042">
        <v>11828688170</v>
      </c>
      <c r="I1042">
        <v>11196459206</v>
      </c>
      <c r="J1042">
        <v>11513834790</v>
      </c>
      <c r="K1042">
        <v>4993506270</v>
      </c>
      <c r="L1042">
        <v>6118346336</v>
      </c>
      <c r="M1042">
        <v>6128854245</v>
      </c>
      <c r="N1042">
        <v>5870048784</v>
      </c>
      <c r="O1042">
        <v>6377374113</v>
      </c>
      <c r="P1042">
        <v>169</v>
      </c>
      <c r="Q1042" t="s">
        <v>2349</v>
      </c>
    </row>
    <row r="1043" spans="1:17" x14ac:dyDescent="0.3">
      <c r="A1043" t="s">
        <v>17</v>
      </c>
      <c r="B1043" t="str">
        <f>"600007"</f>
        <v>600007</v>
      </c>
      <c r="C1043" t="s">
        <v>2350</v>
      </c>
      <c r="D1043" t="s">
        <v>117</v>
      </c>
      <c r="E1043">
        <v>13088487328</v>
      </c>
      <c r="F1043">
        <v>12368382496</v>
      </c>
      <c r="G1043">
        <v>11967518193</v>
      </c>
      <c r="H1043">
        <v>11438292443</v>
      </c>
      <c r="I1043">
        <v>11318044152</v>
      </c>
      <c r="J1043">
        <v>11560517900</v>
      </c>
      <c r="K1043">
        <v>10557224282</v>
      </c>
      <c r="L1043">
        <v>9913868189</v>
      </c>
      <c r="M1043">
        <v>9432051994</v>
      </c>
      <c r="N1043">
        <v>9406160847</v>
      </c>
      <c r="O1043">
        <v>9548462033</v>
      </c>
      <c r="P1043">
        <v>328</v>
      </c>
      <c r="Q1043" t="s">
        <v>2351</v>
      </c>
    </row>
    <row r="1044" spans="1:17" x14ac:dyDescent="0.3">
      <c r="A1044" t="s">
        <v>17</v>
      </c>
      <c r="B1044" t="str">
        <f>"601011"</f>
        <v>601011</v>
      </c>
      <c r="C1044" t="s">
        <v>2352</v>
      </c>
      <c r="D1044" t="s">
        <v>1279</v>
      </c>
      <c r="E1044">
        <v>13065863333</v>
      </c>
      <c r="F1044">
        <v>11534738339</v>
      </c>
      <c r="G1044">
        <v>10612698067</v>
      </c>
      <c r="H1044">
        <v>10689190740</v>
      </c>
      <c r="I1044">
        <v>10062615084</v>
      </c>
      <c r="J1044">
        <v>9207003177</v>
      </c>
      <c r="K1044">
        <v>7944207914</v>
      </c>
      <c r="L1044">
        <v>6969667430</v>
      </c>
      <c r="M1044">
        <v>5350076655</v>
      </c>
      <c r="N1044">
        <v>4983481845</v>
      </c>
      <c r="O1044">
        <v>4426916275</v>
      </c>
      <c r="P1044">
        <v>134</v>
      </c>
      <c r="Q1044" t="s">
        <v>2353</v>
      </c>
    </row>
    <row r="1045" spans="1:17" x14ac:dyDescent="0.3">
      <c r="A1045" t="s">
        <v>47</v>
      </c>
      <c r="B1045" t="str">
        <f>"300146"</f>
        <v>300146</v>
      </c>
      <c r="C1045" t="s">
        <v>2354</v>
      </c>
      <c r="D1045" t="s">
        <v>2355</v>
      </c>
      <c r="E1045">
        <v>13001869436</v>
      </c>
      <c r="F1045">
        <v>9748701553</v>
      </c>
      <c r="G1045">
        <v>7992425713</v>
      </c>
      <c r="H1045">
        <v>10333672722</v>
      </c>
      <c r="I1045">
        <v>6306116789</v>
      </c>
      <c r="J1045">
        <v>5519211235</v>
      </c>
      <c r="K1045">
        <v>5316551746</v>
      </c>
      <c r="L1045">
        <v>4731408882</v>
      </c>
      <c r="M1045">
        <v>2593096854</v>
      </c>
      <c r="N1045">
        <v>2182193769</v>
      </c>
      <c r="O1045">
        <v>1864431413</v>
      </c>
      <c r="P1045">
        <v>2832</v>
      </c>
      <c r="Q1045" t="s">
        <v>2356</v>
      </c>
    </row>
    <row r="1046" spans="1:17" x14ac:dyDescent="0.3">
      <c r="A1046" t="s">
        <v>47</v>
      </c>
      <c r="B1046" t="str">
        <f>"300724"</f>
        <v>300724</v>
      </c>
      <c r="C1046" t="s">
        <v>2357</v>
      </c>
      <c r="D1046" t="s">
        <v>1789</v>
      </c>
      <c r="E1046">
        <v>12998422972</v>
      </c>
      <c r="F1046">
        <v>10321439355</v>
      </c>
      <c r="G1046">
        <v>6301797427</v>
      </c>
      <c r="H1046">
        <v>4796933095</v>
      </c>
      <c r="I1046">
        <v>2644912443</v>
      </c>
      <c r="P1046">
        <v>573</v>
      </c>
      <c r="Q1046" t="s">
        <v>2358</v>
      </c>
    </row>
    <row r="1047" spans="1:17" x14ac:dyDescent="0.3">
      <c r="A1047" t="s">
        <v>47</v>
      </c>
      <c r="B1047" t="str">
        <f>"002309"</f>
        <v>002309</v>
      </c>
      <c r="C1047" t="s">
        <v>2359</v>
      </c>
      <c r="D1047" t="s">
        <v>664</v>
      </c>
      <c r="E1047">
        <v>12982386880</v>
      </c>
      <c r="F1047">
        <v>15913170699</v>
      </c>
      <c r="G1047">
        <v>21156333132</v>
      </c>
      <c r="H1047">
        <v>26591484689</v>
      </c>
      <c r="I1047">
        <v>28751106332</v>
      </c>
      <c r="J1047">
        <v>24341532973</v>
      </c>
      <c r="K1047">
        <v>20572048442</v>
      </c>
      <c r="L1047">
        <v>15660022865</v>
      </c>
      <c r="M1047">
        <v>15813525680</v>
      </c>
      <c r="N1047">
        <v>12703605442</v>
      </c>
      <c r="O1047">
        <v>8945474423</v>
      </c>
      <c r="P1047">
        <v>284</v>
      </c>
      <c r="Q1047" t="s">
        <v>2360</v>
      </c>
    </row>
    <row r="1048" spans="1:17" x14ac:dyDescent="0.3">
      <c r="A1048" t="s">
        <v>17</v>
      </c>
      <c r="B1048" t="str">
        <f>"688778"</f>
        <v>688778</v>
      </c>
      <c r="C1048" t="s">
        <v>2361</v>
      </c>
      <c r="D1048" t="s">
        <v>1017</v>
      </c>
      <c r="E1048">
        <v>12980863139</v>
      </c>
      <c r="F1048">
        <v>7335023810</v>
      </c>
      <c r="P1048">
        <v>44</v>
      </c>
      <c r="Q1048" t="s">
        <v>2362</v>
      </c>
    </row>
    <row r="1049" spans="1:17" x14ac:dyDescent="0.3">
      <c r="A1049" t="s">
        <v>17</v>
      </c>
      <c r="B1049" t="str">
        <f>"600456"</f>
        <v>600456</v>
      </c>
      <c r="C1049" t="s">
        <v>2363</v>
      </c>
      <c r="D1049" t="s">
        <v>1002</v>
      </c>
      <c r="E1049">
        <v>12961744551</v>
      </c>
      <c r="F1049">
        <v>11080684615</v>
      </c>
      <c r="G1049">
        <v>8632583632</v>
      </c>
      <c r="H1049">
        <v>7769152744</v>
      </c>
      <c r="I1049">
        <v>7186841177</v>
      </c>
      <c r="J1049">
        <v>7144784830</v>
      </c>
      <c r="K1049">
        <v>7134570603</v>
      </c>
      <c r="L1049">
        <v>7399586599</v>
      </c>
      <c r="M1049">
        <v>6552236044</v>
      </c>
      <c r="N1049">
        <v>6625943214</v>
      </c>
      <c r="O1049">
        <v>6273975761</v>
      </c>
      <c r="P1049">
        <v>330</v>
      </c>
      <c r="Q1049" t="s">
        <v>2364</v>
      </c>
    </row>
    <row r="1050" spans="1:17" x14ac:dyDescent="0.3">
      <c r="A1050" t="s">
        <v>17</v>
      </c>
      <c r="B1050" t="str">
        <f>"600279"</f>
        <v>600279</v>
      </c>
      <c r="C1050" t="s">
        <v>2365</v>
      </c>
      <c r="D1050" t="s">
        <v>357</v>
      </c>
      <c r="E1050">
        <v>12934627535</v>
      </c>
      <c r="F1050">
        <v>12721012361</v>
      </c>
      <c r="G1050">
        <v>12760297849</v>
      </c>
      <c r="H1050">
        <v>9627446873</v>
      </c>
      <c r="I1050">
        <v>8417428197</v>
      </c>
      <c r="J1050">
        <v>8231559033</v>
      </c>
      <c r="K1050">
        <v>7461596682</v>
      </c>
      <c r="L1050">
        <v>7484992811</v>
      </c>
      <c r="M1050">
        <v>5150373417</v>
      </c>
      <c r="N1050">
        <v>4821513974</v>
      </c>
      <c r="O1050">
        <v>4796616162</v>
      </c>
      <c r="P1050">
        <v>125</v>
      </c>
      <c r="Q1050" t="s">
        <v>2366</v>
      </c>
    </row>
    <row r="1051" spans="1:17" x14ac:dyDescent="0.3">
      <c r="A1051" t="s">
        <v>17</v>
      </c>
      <c r="B1051" t="str">
        <f>"688561"</f>
        <v>688561</v>
      </c>
      <c r="C1051" t="s">
        <v>2367</v>
      </c>
      <c r="D1051" t="s">
        <v>1010</v>
      </c>
      <c r="E1051">
        <v>12933359818</v>
      </c>
      <c r="F1051">
        <v>12688484096</v>
      </c>
      <c r="G1051">
        <v>6601365027</v>
      </c>
      <c r="P1051">
        <v>192</v>
      </c>
      <c r="Q1051" t="s">
        <v>2368</v>
      </c>
    </row>
    <row r="1052" spans="1:17" x14ac:dyDescent="0.3">
      <c r="A1052" t="s">
        <v>47</v>
      </c>
      <c r="B1052" t="str">
        <f>"000905"</f>
        <v>000905</v>
      </c>
      <c r="C1052" t="s">
        <v>2369</v>
      </c>
      <c r="D1052" t="s">
        <v>357</v>
      </c>
      <c r="E1052">
        <v>12895961087</v>
      </c>
      <c r="F1052">
        <v>11306418234</v>
      </c>
      <c r="G1052">
        <v>9657333859</v>
      </c>
      <c r="H1052">
        <v>8686540724</v>
      </c>
      <c r="I1052">
        <v>8347285403</v>
      </c>
      <c r="J1052">
        <v>7195662593</v>
      </c>
      <c r="K1052">
        <v>4950408606</v>
      </c>
      <c r="L1052">
        <v>5015262341</v>
      </c>
      <c r="M1052">
        <v>4543610297</v>
      </c>
      <c r="N1052">
        <v>3779962541</v>
      </c>
      <c r="O1052">
        <v>3061475385</v>
      </c>
      <c r="P1052">
        <v>213</v>
      </c>
      <c r="Q1052" t="s">
        <v>2370</v>
      </c>
    </row>
    <row r="1053" spans="1:17" x14ac:dyDescent="0.3">
      <c r="A1053" t="s">
        <v>47</v>
      </c>
      <c r="B1053" t="str">
        <f>"002250"</f>
        <v>002250</v>
      </c>
      <c r="C1053" t="s">
        <v>2371</v>
      </c>
      <c r="D1053" t="s">
        <v>819</v>
      </c>
      <c r="E1053">
        <v>12890587601</v>
      </c>
      <c r="F1053">
        <v>10396743913</v>
      </c>
      <c r="G1053">
        <v>9931666461</v>
      </c>
      <c r="H1053">
        <v>8652809835</v>
      </c>
      <c r="I1053">
        <v>8440058284</v>
      </c>
      <c r="J1053">
        <v>7330632950</v>
      </c>
      <c r="K1053">
        <v>6037664897</v>
      </c>
      <c r="L1053">
        <v>5906587134</v>
      </c>
      <c r="M1053">
        <v>4960086158</v>
      </c>
      <c r="N1053">
        <v>4015820628</v>
      </c>
      <c r="O1053">
        <v>3269168080</v>
      </c>
      <c r="P1053">
        <v>348</v>
      </c>
      <c r="Q1053" t="s">
        <v>2372</v>
      </c>
    </row>
    <row r="1054" spans="1:17" x14ac:dyDescent="0.3">
      <c r="A1054" t="s">
        <v>47</v>
      </c>
      <c r="B1054" t="str">
        <f>"000516"</f>
        <v>000516</v>
      </c>
      <c r="C1054" t="s">
        <v>2373</v>
      </c>
      <c r="D1054" t="s">
        <v>1585</v>
      </c>
      <c r="E1054">
        <v>12888019416</v>
      </c>
      <c r="F1054">
        <v>12734148827</v>
      </c>
      <c r="G1054">
        <v>10373626889</v>
      </c>
      <c r="H1054">
        <v>7859836045</v>
      </c>
      <c r="I1054">
        <v>5677756744</v>
      </c>
      <c r="J1054">
        <v>5468354238</v>
      </c>
      <c r="K1054">
        <v>5173411258</v>
      </c>
      <c r="L1054">
        <v>3489048371</v>
      </c>
      <c r="M1054">
        <v>3076353381</v>
      </c>
      <c r="N1054">
        <v>3565991870</v>
      </c>
      <c r="O1054">
        <v>3212856134</v>
      </c>
      <c r="P1054">
        <v>405</v>
      </c>
      <c r="Q1054" t="s">
        <v>2374</v>
      </c>
    </row>
    <row r="1055" spans="1:17" x14ac:dyDescent="0.3">
      <c r="A1055" t="s">
        <v>47</v>
      </c>
      <c r="B1055" t="str">
        <f>"000882"</f>
        <v>000882</v>
      </c>
      <c r="C1055" t="s">
        <v>2375</v>
      </c>
      <c r="D1055" t="s">
        <v>1073</v>
      </c>
      <c r="E1055">
        <v>12880373911</v>
      </c>
      <c r="F1055">
        <v>13296630937</v>
      </c>
      <c r="G1055">
        <v>13340989277</v>
      </c>
      <c r="H1055">
        <v>13467764257</v>
      </c>
      <c r="I1055">
        <v>13906725152</v>
      </c>
      <c r="J1055">
        <v>14588185992</v>
      </c>
      <c r="K1055">
        <v>12090225061</v>
      </c>
      <c r="L1055">
        <v>13190795061</v>
      </c>
      <c r="M1055">
        <v>12707601593</v>
      </c>
      <c r="N1055">
        <v>8159846626</v>
      </c>
      <c r="O1055">
        <v>5891552708</v>
      </c>
      <c r="P1055">
        <v>114</v>
      </c>
      <c r="Q1055" t="s">
        <v>2376</v>
      </c>
    </row>
    <row r="1056" spans="1:17" x14ac:dyDescent="0.3">
      <c r="A1056" t="s">
        <v>17</v>
      </c>
      <c r="B1056" t="str">
        <f>"600436"</f>
        <v>600436</v>
      </c>
      <c r="C1056" t="s">
        <v>2377</v>
      </c>
      <c r="D1056" t="s">
        <v>695</v>
      </c>
      <c r="E1056">
        <v>12873413881</v>
      </c>
      <c r="F1056">
        <v>10957448078</v>
      </c>
      <c r="G1056">
        <v>9220157033</v>
      </c>
      <c r="H1056">
        <v>7367101935</v>
      </c>
      <c r="I1056">
        <v>6081749591</v>
      </c>
      <c r="J1056">
        <v>5046204214</v>
      </c>
      <c r="K1056">
        <v>4327625311</v>
      </c>
      <c r="L1056">
        <v>3773239979</v>
      </c>
      <c r="M1056">
        <v>3327826718</v>
      </c>
      <c r="N1056">
        <v>2379441096</v>
      </c>
      <c r="O1056">
        <v>1941203657</v>
      </c>
      <c r="P1056">
        <v>64361</v>
      </c>
      <c r="Q1056" t="s">
        <v>2378</v>
      </c>
    </row>
    <row r="1057" spans="1:17" x14ac:dyDescent="0.3">
      <c r="A1057" t="s">
        <v>17</v>
      </c>
      <c r="B1057" t="str">
        <f>"600566"</f>
        <v>600566</v>
      </c>
      <c r="C1057" t="s">
        <v>2379</v>
      </c>
      <c r="D1057" t="s">
        <v>695</v>
      </c>
      <c r="E1057">
        <v>12863222727</v>
      </c>
      <c r="F1057">
        <v>11131266767</v>
      </c>
      <c r="G1057">
        <v>9416437423</v>
      </c>
      <c r="H1057">
        <v>8592877496</v>
      </c>
      <c r="I1057">
        <v>7413707664</v>
      </c>
      <c r="J1057">
        <v>5333044646</v>
      </c>
      <c r="K1057">
        <v>3937107097</v>
      </c>
      <c r="L1057">
        <v>3590549454</v>
      </c>
      <c r="M1057">
        <v>2668547773</v>
      </c>
      <c r="N1057">
        <v>1003060951</v>
      </c>
      <c r="O1057">
        <v>979810626</v>
      </c>
      <c r="P1057">
        <v>13801</v>
      </c>
      <c r="Q1057" t="s">
        <v>2380</v>
      </c>
    </row>
    <row r="1058" spans="1:17" x14ac:dyDescent="0.3">
      <c r="A1058" t="s">
        <v>47</v>
      </c>
      <c r="B1058" t="str">
        <f>"000417"</f>
        <v>000417</v>
      </c>
      <c r="C1058" t="s">
        <v>2381</v>
      </c>
      <c r="D1058" t="s">
        <v>1073</v>
      </c>
      <c r="E1058">
        <v>12861912477</v>
      </c>
      <c r="F1058">
        <v>12245496216</v>
      </c>
      <c r="G1058">
        <v>10804403166</v>
      </c>
      <c r="H1058">
        <v>10909884260</v>
      </c>
      <c r="I1058">
        <v>10193905035</v>
      </c>
      <c r="J1058">
        <v>9633868471</v>
      </c>
      <c r="K1058">
        <v>8608739143</v>
      </c>
      <c r="L1058">
        <v>7979240141</v>
      </c>
      <c r="M1058">
        <v>7800418669</v>
      </c>
      <c r="N1058">
        <v>7105621835</v>
      </c>
      <c r="O1058">
        <v>6156823619</v>
      </c>
      <c r="P1058">
        <v>145</v>
      </c>
      <c r="Q1058" t="s">
        <v>2382</v>
      </c>
    </row>
    <row r="1059" spans="1:17" x14ac:dyDescent="0.3">
      <c r="A1059" t="s">
        <v>47</v>
      </c>
      <c r="B1059" t="str">
        <f>"000726"</f>
        <v>000726</v>
      </c>
      <c r="C1059" t="s">
        <v>2383</v>
      </c>
      <c r="D1059" t="s">
        <v>1682</v>
      </c>
      <c r="E1059">
        <v>12843807393</v>
      </c>
      <c r="F1059">
        <v>12197752223</v>
      </c>
      <c r="G1059">
        <v>11847417202</v>
      </c>
      <c r="H1059">
        <v>10858794197</v>
      </c>
      <c r="I1059">
        <v>10417233981</v>
      </c>
      <c r="J1059">
        <v>9599617157</v>
      </c>
      <c r="K1059">
        <v>9059317160</v>
      </c>
      <c r="L1059">
        <v>8698973618</v>
      </c>
      <c r="M1059">
        <v>8169527427</v>
      </c>
      <c r="N1059">
        <v>7837915665</v>
      </c>
      <c r="O1059">
        <v>7567541316</v>
      </c>
      <c r="P1059">
        <v>980</v>
      </c>
      <c r="Q1059" t="s">
        <v>2384</v>
      </c>
    </row>
    <row r="1060" spans="1:17" x14ac:dyDescent="0.3">
      <c r="A1060" t="s">
        <v>17</v>
      </c>
      <c r="B1060" t="str">
        <f>"603737"</f>
        <v>603737</v>
      </c>
      <c r="C1060" t="s">
        <v>2385</v>
      </c>
      <c r="D1060" t="s">
        <v>2386</v>
      </c>
      <c r="E1060">
        <v>12833926099</v>
      </c>
      <c r="F1060">
        <v>9251863795</v>
      </c>
      <c r="G1060">
        <v>5356936928</v>
      </c>
      <c r="H1060">
        <v>3848153674</v>
      </c>
      <c r="I1060">
        <v>2128800026</v>
      </c>
      <c r="J1060">
        <v>1752234630</v>
      </c>
      <c r="K1060">
        <v>982334338</v>
      </c>
      <c r="P1060">
        <v>1048</v>
      </c>
      <c r="Q1060" t="s">
        <v>2387</v>
      </c>
    </row>
    <row r="1061" spans="1:17" x14ac:dyDescent="0.3">
      <c r="A1061" t="s">
        <v>47</v>
      </c>
      <c r="B1061" t="str">
        <f>"002344"</f>
        <v>002344</v>
      </c>
      <c r="C1061" t="s">
        <v>2388</v>
      </c>
      <c r="D1061" t="s">
        <v>454</v>
      </c>
      <c r="E1061">
        <v>12824881414</v>
      </c>
      <c r="F1061">
        <v>10915258157</v>
      </c>
      <c r="G1061">
        <v>10276902966</v>
      </c>
      <c r="H1061">
        <v>11405058814</v>
      </c>
      <c r="I1061">
        <v>10473029367</v>
      </c>
      <c r="J1061">
        <v>12080160351</v>
      </c>
      <c r="K1061">
        <v>10877365888</v>
      </c>
      <c r="L1061">
        <v>8772061098</v>
      </c>
      <c r="M1061">
        <v>7887957990</v>
      </c>
      <c r="N1061">
        <v>6476167351</v>
      </c>
      <c r="O1061">
        <v>5188293770</v>
      </c>
      <c r="P1061">
        <v>145</v>
      </c>
      <c r="Q1061" t="s">
        <v>2389</v>
      </c>
    </row>
    <row r="1062" spans="1:17" x14ac:dyDescent="0.3">
      <c r="A1062" t="s">
        <v>17</v>
      </c>
      <c r="B1062" t="str">
        <f>"600416"</f>
        <v>600416</v>
      </c>
      <c r="C1062" t="s">
        <v>2390</v>
      </c>
      <c r="D1062" t="s">
        <v>490</v>
      </c>
      <c r="E1062">
        <v>12814068592</v>
      </c>
      <c r="F1062">
        <v>12732741827</v>
      </c>
      <c r="G1062">
        <v>17584918849</v>
      </c>
      <c r="H1062">
        <v>19663573729</v>
      </c>
      <c r="I1062">
        <v>22009043261</v>
      </c>
      <c r="J1062">
        <v>20155955487</v>
      </c>
      <c r="K1062">
        <v>19239251518</v>
      </c>
      <c r="L1062">
        <v>17830015143</v>
      </c>
      <c r="M1062">
        <v>15392724835</v>
      </c>
      <c r="N1062">
        <v>13747137657</v>
      </c>
      <c r="O1062">
        <v>13706870713</v>
      </c>
      <c r="P1062">
        <v>149</v>
      </c>
      <c r="Q1062" t="s">
        <v>2391</v>
      </c>
    </row>
    <row r="1063" spans="1:17" x14ac:dyDescent="0.3">
      <c r="A1063" t="s">
        <v>17</v>
      </c>
      <c r="B1063" t="str">
        <f>"600629"</f>
        <v>600629</v>
      </c>
      <c r="C1063" t="s">
        <v>2392</v>
      </c>
      <c r="D1063" t="s">
        <v>2178</v>
      </c>
      <c r="E1063">
        <v>12767692802</v>
      </c>
      <c r="F1063">
        <v>11403740065</v>
      </c>
      <c r="G1063">
        <v>10343857362</v>
      </c>
      <c r="H1063">
        <v>8356981840</v>
      </c>
      <c r="I1063">
        <v>7234626926</v>
      </c>
      <c r="J1063">
        <v>5909016684</v>
      </c>
      <c r="K1063">
        <v>3941143856</v>
      </c>
      <c r="L1063">
        <v>1513902217</v>
      </c>
      <c r="M1063">
        <v>1529123371</v>
      </c>
      <c r="N1063">
        <v>1549372922</v>
      </c>
      <c r="O1063">
        <v>1189240148</v>
      </c>
      <c r="P1063">
        <v>151</v>
      </c>
      <c r="Q1063" t="s">
        <v>2393</v>
      </c>
    </row>
    <row r="1064" spans="1:17" x14ac:dyDescent="0.3">
      <c r="A1064" t="s">
        <v>17</v>
      </c>
      <c r="B1064" t="str">
        <f>"601100"</f>
        <v>601100</v>
      </c>
      <c r="C1064" t="s">
        <v>2394</v>
      </c>
      <c r="D1064" t="s">
        <v>2395</v>
      </c>
      <c r="E1064">
        <v>12767001898</v>
      </c>
      <c r="F1064">
        <v>11703083018</v>
      </c>
      <c r="G1064">
        <v>9094883887</v>
      </c>
      <c r="H1064">
        <v>7840675243</v>
      </c>
      <c r="I1064">
        <v>6502501354</v>
      </c>
      <c r="J1064">
        <v>5403513092</v>
      </c>
      <c r="K1064">
        <v>4890865970</v>
      </c>
      <c r="L1064">
        <v>4054053806</v>
      </c>
      <c r="M1064">
        <v>3909371892</v>
      </c>
      <c r="N1064">
        <v>3884559936</v>
      </c>
      <c r="O1064">
        <v>3532824536</v>
      </c>
      <c r="P1064">
        <v>1782</v>
      </c>
      <c r="Q1064" t="s">
        <v>2396</v>
      </c>
    </row>
    <row r="1065" spans="1:17" x14ac:dyDescent="0.3">
      <c r="A1065" t="s">
        <v>17</v>
      </c>
      <c r="B1065" t="str">
        <f>"600664"</f>
        <v>600664</v>
      </c>
      <c r="C1065" t="s">
        <v>2397</v>
      </c>
      <c r="D1065" t="s">
        <v>550</v>
      </c>
      <c r="E1065">
        <v>12764203878</v>
      </c>
      <c r="F1065">
        <v>11785990822</v>
      </c>
      <c r="G1065">
        <v>12372197511</v>
      </c>
      <c r="H1065">
        <v>11360160859</v>
      </c>
      <c r="I1065">
        <v>13726313842</v>
      </c>
      <c r="J1065">
        <v>14671680806</v>
      </c>
      <c r="K1065">
        <v>13572955754</v>
      </c>
      <c r="L1065">
        <v>16150166356</v>
      </c>
      <c r="M1065">
        <v>16525577245</v>
      </c>
      <c r="N1065">
        <v>15854141579</v>
      </c>
      <c r="O1065">
        <v>15794524479</v>
      </c>
      <c r="P1065">
        <v>499</v>
      </c>
      <c r="Q1065" t="s">
        <v>2398</v>
      </c>
    </row>
    <row r="1066" spans="1:17" x14ac:dyDescent="0.3">
      <c r="A1066" t="s">
        <v>47</v>
      </c>
      <c r="B1066" t="str">
        <f>"000965"</f>
        <v>000965</v>
      </c>
      <c r="C1066" t="s">
        <v>2399</v>
      </c>
      <c r="D1066" t="s">
        <v>76</v>
      </c>
      <c r="E1066">
        <v>12748131743</v>
      </c>
      <c r="F1066">
        <v>12068501474</v>
      </c>
      <c r="G1066">
        <v>8877359909</v>
      </c>
      <c r="H1066">
        <v>9635926999</v>
      </c>
      <c r="I1066">
        <v>10019501436</v>
      </c>
      <c r="J1066">
        <v>8618954560</v>
      </c>
      <c r="K1066">
        <v>6210894553</v>
      </c>
      <c r="L1066">
        <v>5134181787</v>
      </c>
      <c r="M1066">
        <v>5263454964</v>
      </c>
      <c r="N1066">
        <v>4385869820</v>
      </c>
      <c r="O1066">
        <v>4317781618</v>
      </c>
      <c r="P1066">
        <v>116</v>
      </c>
      <c r="Q1066" t="s">
        <v>2400</v>
      </c>
    </row>
    <row r="1067" spans="1:17" x14ac:dyDescent="0.3">
      <c r="A1067" t="s">
        <v>47</v>
      </c>
      <c r="B1067" t="str">
        <f>"000759"</f>
        <v>000759</v>
      </c>
      <c r="C1067" t="s">
        <v>2401</v>
      </c>
      <c r="D1067" t="s">
        <v>692</v>
      </c>
      <c r="E1067">
        <v>12681823505</v>
      </c>
      <c r="F1067">
        <v>12114788435</v>
      </c>
      <c r="G1067">
        <v>11144333524</v>
      </c>
      <c r="H1067">
        <v>8309740401</v>
      </c>
      <c r="I1067">
        <v>8405969220</v>
      </c>
      <c r="J1067">
        <v>7764277471</v>
      </c>
      <c r="K1067">
        <v>8306565081</v>
      </c>
      <c r="L1067">
        <v>8958389485</v>
      </c>
      <c r="M1067">
        <v>9104476067</v>
      </c>
      <c r="N1067">
        <v>8030551683</v>
      </c>
      <c r="O1067">
        <v>7274538059</v>
      </c>
      <c r="P1067">
        <v>153</v>
      </c>
      <c r="Q1067" t="s">
        <v>2402</v>
      </c>
    </row>
    <row r="1068" spans="1:17" x14ac:dyDescent="0.3">
      <c r="A1068" t="s">
        <v>47</v>
      </c>
      <c r="B1068" t="str">
        <f>"002223"</f>
        <v>002223</v>
      </c>
      <c r="C1068" t="s">
        <v>2403</v>
      </c>
      <c r="D1068" t="s">
        <v>1083</v>
      </c>
      <c r="E1068">
        <v>12641855270</v>
      </c>
      <c r="F1068">
        <v>9962696155</v>
      </c>
      <c r="G1068">
        <v>8772393150</v>
      </c>
      <c r="H1068">
        <v>7102762525</v>
      </c>
      <c r="I1068">
        <v>6745779609</v>
      </c>
      <c r="J1068">
        <v>6349654910</v>
      </c>
      <c r="K1068">
        <v>3154378393</v>
      </c>
      <c r="L1068">
        <v>2278992438</v>
      </c>
      <c r="M1068">
        <v>1954896335</v>
      </c>
      <c r="N1068">
        <v>1661786714</v>
      </c>
      <c r="O1068">
        <v>1396230179</v>
      </c>
      <c r="P1068">
        <v>17494</v>
      </c>
      <c r="Q1068" t="s">
        <v>2404</v>
      </c>
    </row>
    <row r="1069" spans="1:17" x14ac:dyDescent="0.3">
      <c r="A1069" t="s">
        <v>47</v>
      </c>
      <c r="B1069" t="str">
        <f>"003012"</f>
        <v>003012</v>
      </c>
      <c r="C1069" t="s">
        <v>2405</v>
      </c>
      <c r="D1069" t="s">
        <v>2406</v>
      </c>
      <c r="E1069">
        <v>12606094696</v>
      </c>
      <c r="F1069">
        <v>12318126385</v>
      </c>
      <c r="J1069">
        <v>5107699287</v>
      </c>
      <c r="P1069">
        <v>120</v>
      </c>
      <c r="Q1069" t="s">
        <v>2407</v>
      </c>
    </row>
    <row r="1070" spans="1:17" x14ac:dyDescent="0.3">
      <c r="A1070" t="s">
        <v>17</v>
      </c>
      <c r="B1070" t="str">
        <f>"600216"</f>
        <v>600216</v>
      </c>
      <c r="C1070" t="s">
        <v>2408</v>
      </c>
      <c r="D1070" t="s">
        <v>1112</v>
      </c>
      <c r="E1070">
        <v>12570948929</v>
      </c>
      <c r="F1070">
        <v>10950209798</v>
      </c>
      <c r="G1070">
        <v>10635984414</v>
      </c>
      <c r="H1070">
        <v>10188872811</v>
      </c>
      <c r="I1070">
        <v>10298316253</v>
      </c>
      <c r="J1070">
        <v>8653704120</v>
      </c>
      <c r="K1070">
        <v>8224312703</v>
      </c>
      <c r="L1070">
        <v>8197702499</v>
      </c>
      <c r="M1070">
        <v>7690820045</v>
      </c>
      <c r="N1070">
        <v>7211795549</v>
      </c>
      <c r="O1070">
        <v>5413655044</v>
      </c>
      <c r="P1070">
        <v>461</v>
      </c>
      <c r="Q1070" t="s">
        <v>2409</v>
      </c>
    </row>
    <row r="1071" spans="1:17" x14ac:dyDescent="0.3">
      <c r="A1071" t="s">
        <v>17</v>
      </c>
      <c r="B1071" t="str">
        <f>"603882"</f>
        <v>603882</v>
      </c>
      <c r="C1071" t="s">
        <v>2410</v>
      </c>
      <c r="D1071" t="s">
        <v>1933</v>
      </c>
      <c r="E1071">
        <v>12564421795</v>
      </c>
      <c r="F1071">
        <v>7921715715</v>
      </c>
      <c r="G1071">
        <v>4483121708</v>
      </c>
      <c r="H1071">
        <v>4085886865</v>
      </c>
      <c r="I1071">
        <v>3326566097</v>
      </c>
      <c r="P1071">
        <v>1844</v>
      </c>
      <c r="Q1071" t="s">
        <v>2411</v>
      </c>
    </row>
    <row r="1072" spans="1:17" x14ac:dyDescent="0.3">
      <c r="A1072" t="s">
        <v>47</v>
      </c>
      <c r="B1072" t="str">
        <f>"002030"</f>
        <v>002030</v>
      </c>
      <c r="C1072" t="s">
        <v>2412</v>
      </c>
      <c r="D1072" t="s">
        <v>2322</v>
      </c>
      <c r="E1072">
        <v>12559021216</v>
      </c>
      <c r="F1072">
        <v>8166025820</v>
      </c>
      <c r="G1072">
        <v>3845233244</v>
      </c>
      <c r="H1072">
        <v>3891606703</v>
      </c>
      <c r="I1072">
        <v>4791505228</v>
      </c>
      <c r="J1072">
        <v>4073670120</v>
      </c>
      <c r="K1072">
        <v>3127190484</v>
      </c>
      <c r="L1072">
        <v>1921319672</v>
      </c>
      <c r="M1072">
        <v>1124639204</v>
      </c>
      <c r="N1072">
        <v>966778197</v>
      </c>
      <c r="O1072">
        <v>792622184</v>
      </c>
      <c r="P1072">
        <v>1177</v>
      </c>
      <c r="Q1072" t="s">
        <v>2413</v>
      </c>
    </row>
    <row r="1073" spans="1:17" x14ac:dyDescent="0.3">
      <c r="A1073" t="s">
        <v>47</v>
      </c>
      <c r="B1073" t="str">
        <f>"000404"</f>
        <v>000404</v>
      </c>
      <c r="C1073" t="s">
        <v>2414</v>
      </c>
      <c r="D1073" t="s">
        <v>1511</v>
      </c>
      <c r="E1073">
        <v>12547728226</v>
      </c>
      <c r="F1073">
        <v>11797681854</v>
      </c>
      <c r="G1073">
        <v>10079277807</v>
      </c>
      <c r="H1073">
        <v>9965253344</v>
      </c>
      <c r="I1073">
        <v>10286674755</v>
      </c>
      <c r="J1073">
        <v>8672453731</v>
      </c>
      <c r="K1073">
        <v>7214275896</v>
      </c>
      <c r="L1073">
        <v>7000371127</v>
      </c>
      <c r="M1073">
        <v>6700161989</v>
      </c>
      <c r="N1073">
        <v>6081981817</v>
      </c>
      <c r="O1073">
        <v>4463430298</v>
      </c>
      <c r="P1073">
        <v>113</v>
      </c>
      <c r="Q1073" t="s">
        <v>2415</v>
      </c>
    </row>
    <row r="1074" spans="1:17" x14ac:dyDescent="0.3">
      <c r="A1074" t="s">
        <v>47</v>
      </c>
      <c r="B1074" t="str">
        <f>"002583"</f>
        <v>002583</v>
      </c>
      <c r="C1074" t="s">
        <v>2416</v>
      </c>
      <c r="D1074" t="s">
        <v>367</v>
      </c>
      <c r="E1074">
        <v>12528657494</v>
      </c>
      <c r="F1074">
        <v>13778607048</v>
      </c>
      <c r="G1074">
        <v>16177415835</v>
      </c>
      <c r="H1074">
        <v>14424913940</v>
      </c>
      <c r="I1074">
        <v>13454045639</v>
      </c>
      <c r="J1074">
        <v>7385662484</v>
      </c>
      <c r="K1074">
        <v>4488753507</v>
      </c>
      <c r="L1074">
        <v>3485599830</v>
      </c>
      <c r="M1074">
        <v>3198837490</v>
      </c>
      <c r="N1074">
        <v>2506478545</v>
      </c>
      <c r="O1074">
        <v>2436987472</v>
      </c>
      <c r="P1074">
        <v>397</v>
      </c>
      <c r="Q1074" t="s">
        <v>2417</v>
      </c>
    </row>
    <row r="1075" spans="1:17" x14ac:dyDescent="0.3">
      <c r="A1075" t="s">
        <v>17</v>
      </c>
      <c r="B1075" t="str">
        <f>"600315"</f>
        <v>600315</v>
      </c>
      <c r="C1075" t="s">
        <v>2418</v>
      </c>
      <c r="D1075" t="s">
        <v>2419</v>
      </c>
      <c r="E1075">
        <v>12522377368</v>
      </c>
      <c r="F1075">
        <v>12019576756</v>
      </c>
      <c r="G1075">
        <v>11167831246</v>
      </c>
      <c r="H1075">
        <v>10655904989</v>
      </c>
      <c r="I1075">
        <v>10035830516</v>
      </c>
      <c r="J1075">
        <v>7813726758</v>
      </c>
      <c r="K1075">
        <v>8414349093</v>
      </c>
      <c r="L1075">
        <v>6183541778</v>
      </c>
      <c r="M1075">
        <v>5071673847</v>
      </c>
      <c r="N1075">
        <v>4075474844</v>
      </c>
      <c r="O1075">
        <v>2782316939</v>
      </c>
      <c r="P1075">
        <v>1243</v>
      </c>
      <c r="Q1075" t="s">
        <v>2420</v>
      </c>
    </row>
    <row r="1076" spans="1:17" x14ac:dyDescent="0.3">
      <c r="A1076" t="s">
        <v>47</v>
      </c>
      <c r="B1076" t="str">
        <f>"002019"</f>
        <v>002019</v>
      </c>
      <c r="C1076" t="s">
        <v>2421</v>
      </c>
      <c r="D1076" t="s">
        <v>550</v>
      </c>
      <c r="E1076">
        <v>12499765834</v>
      </c>
      <c r="F1076">
        <v>12113330125</v>
      </c>
      <c r="G1076">
        <v>11583417937</v>
      </c>
      <c r="H1076">
        <v>9711576615</v>
      </c>
      <c r="I1076">
        <v>9086398979</v>
      </c>
      <c r="J1076">
        <v>6808137598</v>
      </c>
      <c r="K1076">
        <v>4802586426</v>
      </c>
      <c r="L1076">
        <v>3416676627</v>
      </c>
      <c r="M1076">
        <v>1093897849</v>
      </c>
      <c r="N1076">
        <v>1068563667</v>
      </c>
      <c r="O1076">
        <v>1197827145</v>
      </c>
      <c r="P1076">
        <v>974</v>
      </c>
      <c r="Q1076" t="s">
        <v>2422</v>
      </c>
    </row>
    <row r="1077" spans="1:17" x14ac:dyDescent="0.3">
      <c r="A1077" t="s">
        <v>17</v>
      </c>
      <c r="B1077" t="str">
        <f>"603108"</f>
        <v>603108</v>
      </c>
      <c r="C1077" t="s">
        <v>2423</v>
      </c>
      <c r="D1077" t="s">
        <v>1933</v>
      </c>
      <c r="E1077">
        <v>12495026653</v>
      </c>
      <c r="F1077">
        <v>10993793995</v>
      </c>
      <c r="G1077">
        <v>8982359426</v>
      </c>
      <c r="H1077">
        <v>8021205533</v>
      </c>
      <c r="I1077">
        <v>7518245886</v>
      </c>
      <c r="J1077">
        <v>4531354294</v>
      </c>
      <c r="K1077">
        <v>1896930415</v>
      </c>
      <c r="L1077">
        <v>1158614460</v>
      </c>
      <c r="P1077">
        <v>336</v>
      </c>
      <c r="Q1077" t="s">
        <v>2424</v>
      </c>
    </row>
    <row r="1078" spans="1:17" x14ac:dyDescent="0.3">
      <c r="A1078" t="s">
        <v>47</v>
      </c>
      <c r="B1078" t="str">
        <f>"000918"</f>
        <v>000918</v>
      </c>
      <c r="C1078" t="s">
        <v>2425</v>
      </c>
      <c r="D1078" t="s">
        <v>76</v>
      </c>
      <c r="E1078">
        <v>12482725522</v>
      </c>
      <c r="F1078">
        <v>13955807752</v>
      </c>
      <c r="G1078">
        <v>18047956707</v>
      </c>
      <c r="H1078">
        <v>19273933442</v>
      </c>
      <c r="I1078">
        <v>25121664841</v>
      </c>
      <c r="J1078">
        <v>33595967343</v>
      </c>
      <c r="K1078">
        <v>35534075684</v>
      </c>
      <c r="L1078">
        <v>37939676784</v>
      </c>
      <c r="M1078">
        <v>33219207302</v>
      </c>
      <c r="N1078">
        <v>27863743117</v>
      </c>
      <c r="O1078">
        <v>25406694756</v>
      </c>
      <c r="P1078">
        <v>123</v>
      </c>
      <c r="Q1078" t="s">
        <v>2426</v>
      </c>
    </row>
    <row r="1079" spans="1:17" x14ac:dyDescent="0.3">
      <c r="A1079" t="s">
        <v>47</v>
      </c>
      <c r="B1079" t="str">
        <f>"002126"</f>
        <v>002126</v>
      </c>
      <c r="C1079" t="s">
        <v>2427</v>
      </c>
      <c r="D1079" t="s">
        <v>274</v>
      </c>
      <c r="E1079">
        <v>12426618033</v>
      </c>
      <c r="F1079">
        <v>10511245083</v>
      </c>
      <c r="G1079">
        <v>8599707197</v>
      </c>
      <c r="H1079">
        <v>7990592840</v>
      </c>
      <c r="I1079">
        <v>6943988598</v>
      </c>
      <c r="J1079">
        <v>5000833846</v>
      </c>
      <c r="K1079">
        <v>4195621580</v>
      </c>
      <c r="L1079">
        <v>3716724166</v>
      </c>
      <c r="M1079">
        <v>3357583810</v>
      </c>
      <c r="N1079">
        <v>2765622082</v>
      </c>
      <c r="O1079">
        <v>2418017705</v>
      </c>
      <c r="P1079">
        <v>450</v>
      </c>
      <c r="Q1079" t="s">
        <v>2428</v>
      </c>
    </row>
    <row r="1080" spans="1:17" x14ac:dyDescent="0.3">
      <c r="A1080" t="s">
        <v>17</v>
      </c>
      <c r="B1080" t="str">
        <f>"600761"</f>
        <v>600761</v>
      </c>
      <c r="C1080" t="s">
        <v>2429</v>
      </c>
      <c r="D1080" t="s">
        <v>429</v>
      </c>
      <c r="E1080">
        <v>12424274417</v>
      </c>
      <c r="F1080">
        <v>10092348149</v>
      </c>
      <c r="G1080">
        <v>8178372891</v>
      </c>
      <c r="H1080">
        <v>7777436629</v>
      </c>
      <c r="I1080">
        <v>7400277226</v>
      </c>
      <c r="J1080">
        <v>6795833093</v>
      </c>
      <c r="K1080">
        <v>6128280850</v>
      </c>
      <c r="L1080">
        <v>5691499811</v>
      </c>
      <c r="M1080">
        <v>5564352992</v>
      </c>
      <c r="N1080">
        <v>5018298770</v>
      </c>
      <c r="O1080">
        <v>4808681432</v>
      </c>
      <c r="P1080">
        <v>442</v>
      </c>
      <c r="Q1080" t="s">
        <v>2430</v>
      </c>
    </row>
    <row r="1081" spans="1:17" x14ac:dyDescent="0.3">
      <c r="A1081" t="s">
        <v>17</v>
      </c>
      <c r="B1081" t="str">
        <f>"601137"</f>
        <v>601137</v>
      </c>
      <c r="C1081" t="s">
        <v>2431</v>
      </c>
      <c r="D1081" t="s">
        <v>2432</v>
      </c>
      <c r="E1081">
        <v>12417667264</v>
      </c>
      <c r="F1081">
        <v>10304938875</v>
      </c>
      <c r="G1081">
        <v>7671069223</v>
      </c>
      <c r="H1081">
        <v>5544188461</v>
      </c>
      <c r="I1081">
        <v>5095506028</v>
      </c>
      <c r="J1081">
        <v>4805949704</v>
      </c>
      <c r="K1081">
        <v>2717982479</v>
      </c>
      <c r="L1081">
        <v>2787759758</v>
      </c>
      <c r="M1081">
        <v>2703297467</v>
      </c>
      <c r="N1081">
        <v>2186909606</v>
      </c>
      <c r="O1081">
        <v>2104958590</v>
      </c>
      <c r="P1081">
        <v>283</v>
      </c>
      <c r="Q1081" t="s">
        <v>2433</v>
      </c>
    </row>
    <row r="1082" spans="1:17" x14ac:dyDescent="0.3">
      <c r="A1082" t="s">
        <v>17</v>
      </c>
      <c r="B1082" t="str">
        <f>"600370"</f>
        <v>600370</v>
      </c>
      <c r="C1082" t="s">
        <v>2434</v>
      </c>
      <c r="D1082" t="s">
        <v>2435</v>
      </c>
      <c r="E1082">
        <v>12398546920</v>
      </c>
      <c r="F1082">
        <v>11898800646</v>
      </c>
      <c r="G1082">
        <v>1770208866</v>
      </c>
      <c r="H1082">
        <v>1774170304</v>
      </c>
      <c r="I1082">
        <v>1807427912</v>
      </c>
      <c r="J1082">
        <v>1728190119</v>
      </c>
      <c r="K1082">
        <v>1627421761</v>
      </c>
      <c r="L1082">
        <v>1565368532</v>
      </c>
      <c r="M1082">
        <v>1525484265</v>
      </c>
      <c r="N1082">
        <v>1569198267</v>
      </c>
      <c r="O1082">
        <v>1499887520</v>
      </c>
      <c r="P1082">
        <v>101</v>
      </c>
      <c r="Q1082" t="s">
        <v>2436</v>
      </c>
    </row>
    <row r="1083" spans="1:17" x14ac:dyDescent="0.3">
      <c r="A1083" t="s">
        <v>17</v>
      </c>
      <c r="B1083" t="str">
        <f>"600525"</f>
        <v>600525</v>
      </c>
      <c r="C1083" t="s">
        <v>2437</v>
      </c>
      <c r="D1083" t="s">
        <v>459</v>
      </c>
      <c r="E1083">
        <v>12372792389</v>
      </c>
      <c r="F1083">
        <v>11717424626</v>
      </c>
      <c r="G1083">
        <v>10625001877</v>
      </c>
      <c r="H1083">
        <v>16096899588</v>
      </c>
      <c r="I1083">
        <v>21838851189</v>
      </c>
      <c r="J1083">
        <v>15316562713</v>
      </c>
      <c r="K1083">
        <v>9675958533</v>
      </c>
      <c r="L1083">
        <v>6232074733</v>
      </c>
      <c r="M1083">
        <v>4689741539</v>
      </c>
      <c r="N1083">
        <v>4508947192</v>
      </c>
      <c r="O1083">
        <v>4113197585</v>
      </c>
      <c r="P1083">
        <v>254</v>
      </c>
      <c r="Q1083" t="s">
        <v>2438</v>
      </c>
    </row>
    <row r="1084" spans="1:17" x14ac:dyDescent="0.3">
      <c r="A1084" t="s">
        <v>47</v>
      </c>
      <c r="B1084" t="str">
        <f>"002705"</f>
        <v>002705</v>
      </c>
      <c r="C1084" t="s">
        <v>2439</v>
      </c>
      <c r="D1084" t="s">
        <v>2285</v>
      </c>
      <c r="E1084">
        <v>12368008667</v>
      </c>
      <c r="F1084">
        <v>11914927558</v>
      </c>
      <c r="G1084">
        <v>8007734681</v>
      </c>
      <c r="H1084">
        <v>6932763292</v>
      </c>
      <c r="I1084">
        <v>6569519822</v>
      </c>
      <c r="J1084">
        <v>6341220639</v>
      </c>
      <c r="K1084">
        <v>4983689837</v>
      </c>
      <c r="L1084">
        <v>4566262619</v>
      </c>
      <c r="M1084">
        <v>4167450099</v>
      </c>
      <c r="P1084">
        <v>1093</v>
      </c>
      <c r="Q1084" t="s">
        <v>2440</v>
      </c>
    </row>
    <row r="1085" spans="1:17" x14ac:dyDescent="0.3">
      <c r="A1085" t="s">
        <v>17</v>
      </c>
      <c r="B1085" t="str">
        <f>"600210"</f>
        <v>600210</v>
      </c>
      <c r="C1085" t="s">
        <v>2441</v>
      </c>
      <c r="D1085" t="s">
        <v>2442</v>
      </c>
      <c r="E1085">
        <v>12362757084</v>
      </c>
      <c r="F1085">
        <v>11699558060</v>
      </c>
      <c r="G1085">
        <v>11102372516</v>
      </c>
      <c r="H1085">
        <v>10984973673</v>
      </c>
      <c r="I1085">
        <v>10201584992</v>
      </c>
      <c r="J1085">
        <v>10734753587</v>
      </c>
      <c r="K1085">
        <v>11038430091</v>
      </c>
      <c r="L1085">
        <v>11066430625</v>
      </c>
      <c r="M1085">
        <v>10944962199</v>
      </c>
      <c r="N1085">
        <v>10572406310</v>
      </c>
      <c r="O1085">
        <v>10587712013</v>
      </c>
      <c r="P1085">
        <v>192</v>
      </c>
      <c r="Q1085" t="s">
        <v>2443</v>
      </c>
    </row>
    <row r="1086" spans="1:17" x14ac:dyDescent="0.3">
      <c r="A1086" t="s">
        <v>47</v>
      </c>
      <c r="B1086" t="str">
        <f>"002556"</f>
        <v>002556</v>
      </c>
      <c r="C1086" t="s">
        <v>2444</v>
      </c>
      <c r="D1086" t="s">
        <v>2445</v>
      </c>
      <c r="E1086">
        <v>12341225768</v>
      </c>
      <c r="F1086">
        <v>9829915537</v>
      </c>
      <c r="G1086">
        <v>9792571012</v>
      </c>
      <c r="H1086">
        <v>8908402673</v>
      </c>
      <c r="I1086">
        <v>7908351824</v>
      </c>
      <c r="J1086">
        <v>8071371543</v>
      </c>
      <c r="K1086">
        <v>5868907765</v>
      </c>
      <c r="L1086">
        <v>6378747140</v>
      </c>
      <c r="M1086">
        <v>5600260964</v>
      </c>
      <c r="N1086">
        <v>6928131686</v>
      </c>
      <c r="O1086">
        <v>6282904037</v>
      </c>
      <c r="P1086">
        <v>110</v>
      </c>
      <c r="Q1086" t="s">
        <v>2446</v>
      </c>
    </row>
    <row r="1087" spans="1:17" x14ac:dyDescent="0.3">
      <c r="A1087" t="s">
        <v>17</v>
      </c>
      <c r="B1087" t="str">
        <f>"600720"</f>
        <v>600720</v>
      </c>
      <c r="C1087" t="s">
        <v>2447</v>
      </c>
      <c r="D1087" t="s">
        <v>253</v>
      </c>
      <c r="E1087">
        <v>12328098566</v>
      </c>
      <c r="F1087">
        <v>11523303018</v>
      </c>
      <c r="G1087">
        <v>10973936616</v>
      </c>
      <c r="H1087">
        <v>10196439532</v>
      </c>
      <c r="I1087">
        <v>9898109902</v>
      </c>
      <c r="J1087">
        <v>10725845121</v>
      </c>
      <c r="K1087">
        <v>10708053534</v>
      </c>
      <c r="L1087">
        <v>11027478286</v>
      </c>
      <c r="M1087">
        <v>11309430055</v>
      </c>
      <c r="N1087">
        <v>10089393577</v>
      </c>
      <c r="O1087">
        <v>9573038523</v>
      </c>
      <c r="P1087">
        <v>864</v>
      </c>
      <c r="Q1087" t="s">
        <v>2448</v>
      </c>
    </row>
    <row r="1088" spans="1:17" x14ac:dyDescent="0.3">
      <c r="A1088" t="s">
        <v>47</v>
      </c>
      <c r="B1088" t="str">
        <f>"300037"</f>
        <v>300037</v>
      </c>
      <c r="C1088" t="s">
        <v>2449</v>
      </c>
      <c r="D1088" t="s">
        <v>1017</v>
      </c>
      <c r="E1088">
        <v>12317623484</v>
      </c>
      <c r="F1088">
        <v>7714884537</v>
      </c>
      <c r="G1088">
        <v>4909871388</v>
      </c>
      <c r="H1088">
        <v>4511768810</v>
      </c>
      <c r="I1088">
        <v>3966791310</v>
      </c>
      <c r="J1088">
        <v>2955711003</v>
      </c>
      <c r="K1088">
        <v>2403387448</v>
      </c>
      <c r="L1088">
        <v>1630328053</v>
      </c>
      <c r="M1088">
        <v>1486284226</v>
      </c>
      <c r="N1088">
        <v>1351348485</v>
      </c>
      <c r="O1088">
        <v>1238597913</v>
      </c>
      <c r="P1088">
        <v>830</v>
      </c>
      <c r="Q1088" t="s">
        <v>2450</v>
      </c>
    </row>
    <row r="1089" spans="1:17" x14ac:dyDescent="0.3">
      <c r="A1089" t="s">
        <v>17</v>
      </c>
      <c r="B1089" t="str">
        <f>"601619"</f>
        <v>601619</v>
      </c>
      <c r="C1089" t="s">
        <v>2451</v>
      </c>
      <c r="D1089" t="s">
        <v>298</v>
      </c>
      <c r="E1089">
        <v>12312162066</v>
      </c>
      <c r="F1089">
        <v>12279656287</v>
      </c>
      <c r="G1089">
        <v>9368020577</v>
      </c>
      <c r="H1089">
        <v>8738219744</v>
      </c>
      <c r="I1089">
        <v>8915254553</v>
      </c>
      <c r="J1089">
        <v>7974335200</v>
      </c>
      <c r="P1089">
        <v>184</v>
      </c>
      <c r="Q1089" t="s">
        <v>2452</v>
      </c>
    </row>
    <row r="1090" spans="1:17" x14ac:dyDescent="0.3">
      <c r="A1090" t="s">
        <v>17</v>
      </c>
      <c r="B1090" t="str">
        <f>"600063"</f>
        <v>600063</v>
      </c>
      <c r="C1090" t="s">
        <v>2453</v>
      </c>
      <c r="D1090" t="s">
        <v>2454</v>
      </c>
      <c r="E1090">
        <v>12309768397</v>
      </c>
      <c r="F1090">
        <v>11060077145</v>
      </c>
      <c r="G1090">
        <v>10039046034</v>
      </c>
      <c r="H1090">
        <v>9936146050</v>
      </c>
      <c r="I1090">
        <v>8697687498</v>
      </c>
      <c r="J1090">
        <v>9018309591</v>
      </c>
      <c r="K1090">
        <v>7550970083</v>
      </c>
      <c r="L1090">
        <v>7863396683</v>
      </c>
      <c r="M1090">
        <v>6339143814</v>
      </c>
      <c r="N1090">
        <v>6060868195</v>
      </c>
      <c r="O1090">
        <v>5990274174</v>
      </c>
      <c r="P1090">
        <v>224</v>
      </c>
      <c r="Q1090" t="s">
        <v>2455</v>
      </c>
    </row>
    <row r="1091" spans="1:17" x14ac:dyDescent="0.3">
      <c r="A1091" t="s">
        <v>17</v>
      </c>
      <c r="B1091" t="str">
        <f>"600598"</f>
        <v>600598</v>
      </c>
      <c r="C1091" t="s">
        <v>2456</v>
      </c>
      <c r="D1091" t="s">
        <v>2272</v>
      </c>
      <c r="E1091">
        <v>12308491120</v>
      </c>
      <c r="F1091">
        <v>11578582978</v>
      </c>
      <c r="G1091">
        <v>10988838761</v>
      </c>
      <c r="H1091">
        <v>10777149907</v>
      </c>
      <c r="I1091">
        <v>10232442460</v>
      </c>
      <c r="J1091">
        <v>9790136125</v>
      </c>
      <c r="K1091">
        <v>8719856543</v>
      </c>
      <c r="L1091">
        <v>9331400260</v>
      </c>
      <c r="M1091">
        <v>10890313189</v>
      </c>
      <c r="N1091">
        <v>17219269241</v>
      </c>
      <c r="O1091">
        <v>19262406050</v>
      </c>
      <c r="P1091">
        <v>1086</v>
      </c>
      <c r="Q1091" t="s">
        <v>2457</v>
      </c>
    </row>
    <row r="1092" spans="1:17" x14ac:dyDescent="0.3">
      <c r="A1092" t="s">
        <v>17</v>
      </c>
      <c r="B1092" t="str">
        <f>"600132"</f>
        <v>600132</v>
      </c>
      <c r="C1092" t="s">
        <v>2458</v>
      </c>
      <c r="D1092" t="s">
        <v>908</v>
      </c>
      <c r="E1092">
        <v>12283982288</v>
      </c>
      <c r="F1092">
        <v>9529352347</v>
      </c>
      <c r="G1092">
        <v>3480214321</v>
      </c>
      <c r="H1092">
        <v>3492868320</v>
      </c>
      <c r="I1092">
        <v>3547147669</v>
      </c>
      <c r="J1092">
        <v>3493789525</v>
      </c>
      <c r="K1092">
        <v>3776011137</v>
      </c>
      <c r="L1092">
        <v>4047733152</v>
      </c>
      <c r="M1092">
        <v>4378405286</v>
      </c>
      <c r="N1092">
        <v>4783140409</v>
      </c>
      <c r="O1092">
        <v>3715127779</v>
      </c>
      <c r="P1092">
        <v>2098</v>
      </c>
      <c r="Q1092" t="s">
        <v>2459</v>
      </c>
    </row>
    <row r="1093" spans="1:17" x14ac:dyDescent="0.3">
      <c r="A1093" t="s">
        <v>17</v>
      </c>
      <c r="B1093" t="str">
        <f>"601799"</f>
        <v>601799</v>
      </c>
      <c r="C1093" t="s">
        <v>2460</v>
      </c>
      <c r="D1093" t="s">
        <v>836</v>
      </c>
      <c r="E1093">
        <v>12264780093</v>
      </c>
      <c r="F1093">
        <v>11566058007</v>
      </c>
      <c r="G1093">
        <v>8489959047</v>
      </c>
      <c r="H1093">
        <v>7535104217</v>
      </c>
      <c r="I1093">
        <v>6561348833</v>
      </c>
      <c r="J1093">
        <v>5694209573</v>
      </c>
      <c r="K1093">
        <v>3509280824</v>
      </c>
      <c r="L1093">
        <v>3224939984</v>
      </c>
      <c r="M1093">
        <v>2911345864</v>
      </c>
      <c r="N1093">
        <v>2386430248</v>
      </c>
      <c r="O1093">
        <v>2318232713</v>
      </c>
      <c r="P1093">
        <v>1014</v>
      </c>
      <c r="Q1093" t="s">
        <v>2461</v>
      </c>
    </row>
    <row r="1094" spans="1:17" x14ac:dyDescent="0.3">
      <c r="A1094" t="s">
        <v>17</v>
      </c>
      <c r="B1094" t="str">
        <f>"600587"</f>
        <v>600587</v>
      </c>
      <c r="C1094" t="s">
        <v>2462</v>
      </c>
      <c r="D1094" t="s">
        <v>1083</v>
      </c>
      <c r="E1094">
        <v>12254998666</v>
      </c>
      <c r="F1094">
        <v>11407860673</v>
      </c>
      <c r="G1094">
        <v>11566490469</v>
      </c>
      <c r="H1094">
        <v>12405135857</v>
      </c>
      <c r="I1094">
        <v>12221102749</v>
      </c>
      <c r="J1094">
        <v>11467257371</v>
      </c>
      <c r="K1094">
        <v>10007796350</v>
      </c>
      <c r="L1094">
        <v>8488810245</v>
      </c>
      <c r="M1094">
        <v>6108800055</v>
      </c>
      <c r="N1094">
        <v>3693505347</v>
      </c>
      <c r="O1094">
        <v>2114812102</v>
      </c>
      <c r="P1094">
        <v>533</v>
      </c>
      <c r="Q1094" t="s">
        <v>2463</v>
      </c>
    </row>
    <row r="1095" spans="1:17" x14ac:dyDescent="0.3">
      <c r="A1095" t="s">
        <v>17</v>
      </c>
      <c r="B1095" t="str">
        <f>"600858"</f>
        <v>600858</v>
      </c>
      <c r="C1095" t="s">
        <v>2464</v>
      </c>
      <c r="D1095" t="s">
        <v>780</v>
      </c>
      <c r="E1095">
        <v>12253034919</v>
      </c>
      <c r="F1095">
        <v>12903908508</v>
      </c>
      <c r="G1095">
        <v>11382874809</v>
      </c>
      <c r="H1095">
        <v>13409907133</v>
      </c>
      <c r="I1095">
        <v>11735616279</v>
      </c>
      <c r="J1095">
        <v>11630770475</v>
      </c>
      <c r="K1095">
        <v>12002079767</v>
      </c>
      <c r="L1095">
        <v>12719797210</v>
      </c>
      <c r="M1095">
        <v>12479921055</v>
      </c>
      <c r="N1095">
        <v>11945644251</v>
      </c>
      <c r="O1095">
        <v>11165493693</v>
      </c>
      <c r="P1095">
        <v>91</v>
      </c>
      <c r="Q1095" t="s">
        <v>2465</v>
      </c>
    </row>
    <row r="1096" spans="1:17" x14ac:dyDescent="0.3">
      <c r="A1096" t="s">
        <v>47</v>
      </c>
      <c r="B1096" t="str">
        <f>"002440"</f>
        <v>002440</v>
      </c>
      <c r="C1096" t="s">
        <v>2466</v>
      </c>
      <c r="D1096" t="s">
        <v>703</v>
      </c>
      <c r="E1096">
        <v>12233028209</v>
      </c>
      <c r="F1096">
        <v>11018881070</v>
      </c>
      <c r="G1096">
        <v>10568276443</v>
      </c>
      <c r="H1096">
        <v>10251312362</v>
      </c>
      <c r="I1096">
        <v>9267639384</v>
      </c>
      <c r="J1096">
        <v>7990186713</v>
      </c>
      <c r="K1096">
        <v>7599966585</v>
      </c>
      <c r="L1096">
        <v>7823585295</v>
      </c>
      <c r="M1096">
        <v>6835413974</v>
      </c>
      <c r="N1096">
        <v>5289380905</v>
      </c>
      <c r="O1096">
        <v>5026794442</v>
      </c>
      <c r="P1096">
        <v>537</v>
      </c>
      <c r="Q1096" t="s">
        <v>2467</v>
      </c>
    </row>
    <row r="1097" spans="1:17" x14ac:dyDescent="0.3">
      <c r="A1097" t="s">
        <v>17</v>
      </c>
      <c r="B1097" t="str">
        <f>"600477"</f>
        <v>600477</v>
      </c>
      <c r="C1097" t="s">
        <v>2468</v>
      </c>
      <c r="D1097" t="s">
        <v>1764</v>
      </c>
      <c r="E1097">
        <v>12215006316</v>
      </c>
      <c r="F1097">
        <v>9095675793</v>
      </c>
      <c r="G1097">
        <v>8764834681</v>
      </c>
      <c r="H1097">
        <v>7575983828</v>
      </c>
      <c r="I1097">
        <v>7299400238</v>
      </c>
      <c r="J1097">
        <v>5812838492</v>
      </c>
      <c r="K1097">
        <v>5951557722</v>
      </c>
      <c r="L1097">
        <v>6269431291</v>
      </c>
      <c r="M1097">
        <v>6523916391</v>
      </c>
      <c r="N1097">
        <v>5755447792</v>
      </c>
      <c r="O1097">
        <v>5159059693</v>
      </c>
      <c r="P1097">
        <v>347</v>
      </c>
      <c r="Q1097" t="s">
        <v>2469</v>
      </c>
    </row>
    <row r="1098" spans="1:17" x14ac:dyDescent="0.3">
      <c r="A1098" t="s">
        <v>47</v>
      </c>
      <c r="B1098" t="str">
        <f>"002672"</f>
        <v>002672</v>
      </c>
      <c r="C1098" t="s">
        <v>2470</v>
      </c>
      <c r="D1098" t="s">
        <v>1310</v>
      </c>
      <c r="E1098">
        <v>12158191022</v>
      </c>
      <c r="F1098">
        <v>10485236825</v>
      </c>
      <c r="G1098">
        <v>10583195435</v>
      </c>
      <c r="H1098">
        <v>9705194832</v>
      </c>
      <c r="I1098">
        <v>9336931000</v>
      </c>
      <c r="J1098">
        <v>8922185656</v>
      </c>
      <c r="K1098">
        <v>6998115286</v>
      </c>
      <c r="L1098">
        <v>5432783302</v>
      </c>
      <c r="M1098">
        <v>3411737095</v>
      </c>
      <c r="N1098">
        <v>2966856145</v>
      </c>
      <c r="O1098">
        <v>2105048653</v>
      </c>
      <c r="P1098">
        <v>317</v>
      </c>
      <c r="Q1098" t="s">
        <v>2471</v>
      </c>
    </row>
    <row r="1099" spans="1:17" x14ac:dyDescent="0.3">
      <c r="A1099" t="s">
        <v>47</v>
      </c>
      <c r="B1099" t="str">
        <f>"002545"</f>
        <v>002545</v>
      </c>
      <c r="C1099" t="s">
        <v>2472</v>
      </c>
      <c r="D1099" t="s">
        <v>1764</v>
      </c>
      <c r="E1099">
        <v>12151063053</v>
      </c>
      <c r="F1099">
        <v>11529455212</v>
      </c>
      <c r="G1099">
        <v>12270488718</v>
      </c>
      <c r="H1099">
        <v>11940996220</v>
      </c>
      <c r="I1099">
        <v>10878426910</v>
      </c>
      <c r="J1099">
        <v>10784410553</v>
      </c>
      <c r="K1099">
        <v>3925952877</v>
      </c>
      <c r="L1099">
        <v>4087818448</v>
      </c>
      <c r="M1099">
        <v>4165574605</v>
      </c>
      <c r="N1099">
        <v>3509324257</v>
      </c>
      <c r="O1099">
        <v>3398552168</v>
      </c>
      <c r="P1099">
        <v>138</v>
      </c>
      <c r="Q1099" t="s">
        <v>2473</v>
      </c>
    </row>
    <row r="1100" spans="1:17" x14ac:dyDescent="0.3">
      <c r="A1100" t="s">
        <v>47</v>
      </c>
      <c r="B1100" t="str">
        <f>"002558"</f>
        <v>002558</v>
      </c>
      <c r="C1100" t="s">
        <v>2474</v>
      </c>
      <c r="D1100" t="s">
        <v>1032</v>
      </c>
      <c r="E1100">
        <v>12147178047</v>
      </c>
      <c r="F1100">
        <v>10921303857</v>
      </c>
      <c r="G1100">
        <v>10121820839</v>
      </c>
      <c r="H1100">
        <v>10556975522</v>
      </c>
      <c r="I1100">
        <v>13068152582</v>
      </c>
      <c r="J1100">
        <v>9237115737</v>
      </c>
      <c r="K1100">
        <v>603231277</v>
      </c>
      <c r="L1100">
        <v>631784423</v>
      </c>
      <c r="M1100">
        <v>675498787</v>
      </c>
      <c r="N1100">
        <v>610133244</v>
      </c>
      <c r="O1100">
        <v>596126381</v>
      </c>
      <c r="P1100">
        <v>458</v>
      </c>
      <c r="Q1100" t="s">
        <v>2475</v>
      </c>
    </row>
    <row r="1101" spans="1:17" x14ac:dyDescent="0.3">
      <c r="A1101" t="s">
        <v>47</v>
      </c>
      <c r="B1101" t="str">
        <f>"300737"</f>
        <v>300737</v>
      </c>
      <c r="C1101" t="s">
        <v>2476</v>
      </c>
      <c r="D1101" t="s">
        <v>920</v>
      </c>
      <c r="E1101">
        <v>12145650791</v>
      </c>
      <c r="F1101">
        <v>8721512262</v>
      </c>
      <c r="G1101">
        <v>6181885672</v>
      </c>
      <c r="H1101">
        <v>5023956138</v>
      </c>
      <c r="I1101">
        <v>3946292216</v>
      </c>
      <c r="P1101">
        <v>459</v>
      </c>
      <c r="Q1101" t="s">
        <v>2477</v>
      </c>
    </row>
    <row r="1102" spans="1:17" x14ac:dyDescent="0.3">
      <c r="A1102" t="s">
        <v>17</v>
      </c>
      <c r="B1102" t="str">
        <f>"600378"</f>
        <v>600378</v>
      </c>
      <c r="C1102" t="s">
        <v>2478</v>
      </c>
      <c r="D1102" t="s">
        <v>1796</v>
      </c>
      <c r="E1102">
        <v>12132593297</v>
      </c>
      <c r="F1102">
        <v>10224158737</v>
      </c>
      <c r="G1102">
        <v>8926683239</v>
      </c>
      <c r="H1102">
        <v>8334712927</v>
      </c>
      <c r="I1102">
        <v>1037013456</v>
      </c>
      <c r="J1102">
        <v>979471753</v>
      </c>
      <c r="K1102">
        <v>963633012</v>
      </c>
      <c r="L1102">
        <v>1092705606</v>
      </c>
      <c r="M1102">
        <v>1087380260</v>
      </c>
      <c r="N1102">
        <v>1035976404</v>
      </c>
      <c r="O1102">
        <v>941838383</v>
      </c>
      <c r="P1102">
        <v>229</v>
      </c>
      <c r="Q1102" t="s">
        <v>2479</v>
      </c>
    </row>
    <row r="1103" spans="1:17" x14ac:dyDescent="0.3">
      <c r="A1103" t="s">
        <v>17</v>
      </c>
      <c r="B1103" t="str">
        <f>"600273"</f>
        <v>600273</v>
      </c>
      <c r="C1103" t="s">
        <v>2480</v>
      </c>
      <c r="D1103" t="s">
        <v>710</v>
      </c>
      <c r="E1103">
        <v>12121957675</v>
      </c>
      <c r="F1103">
        <v>9951043667</v>
      </c>
      <c r="G1103">
        <v>8840344657</v>
      </c>
      <c r="H1103">
        <v>8521940569</v>
      </c>
      <c r="I1103">
        <v>8601204505</v>
      </c>
      <c r="J1103">
        <v>7115721216</v>
      </c>
      <c r="K1103">
        <v>6287443542</v>
      </c>
      <c r="L1103">
        <v>5110178629</v>
      </c>
      <c r="M1103">
        <v>1186959674</v>
      </c>
      <c r="N1103">
        <v>1361447268</v>
      </c>
      <c r="O1103">
        <v>1835394935</v>
      </c>
      <c r="P1103">
        <v>3517</v>
      </c>
      <c r="Q1103" t="s">
        <v>2481</v>
      </c>
    </row>
    <row r="1104" spans="1:17" x14ac:dyDescent="0.3">
      <c r="A1104" t="s">
        <v>47</v>
      </c>
      <c r="B1104" t="str">
        <f>"300422"</f>
        <v>300422</v>
      </c>
      <c r="C1104" t="s">
        <v>2482</v>
      </c>
      <c r="D1104" t="s">
        <v>520</v>
      </c>
      <c r="E1104">
        <v>12100085286</v>
      </c>
      <c r="F1104">
        <v>12040476700</v>
      </c>
      <c r="G1104">
        <v>9865022456</v>
      </c>
      <c r="H1104">
        <v>7144989364</v>
      </c>
      <c r="I1104">
        <v>4389109572</v>
      </c>
      <c r="J1104">
        <v>2602429833</v>
      </c>
      <c r="K1104">
        <v>1054938569</v>
      </c>
      <c r="L1104">
        <v>762929022</v>
      </c>
      <c r="P1104">
        <v>331</v>
      </c>
      <c r="Q1104" t="s">
        <v>2483</v>
      </c>
    </row>
    <row r="1105" spans="1:17" x14ac:dyDescent="0.3">
      <c r="A1105" t="s">
        <v>47</v>
      </c>
      <c r="B1105" t="str">
        <f>"002585"</f>
        <v>002585</v>
      </c>
      <c r="C1105" t="s">
        <v>2484</v>
      </c>
      <c r="D1105" t="s">
        <v>2485</v>
      </c>
      <c r="E1105">
        <v>12089769161</v>
      </c>
      <c r="F1105">
        <v>10375178502</v>
      </c>
      <c r="G1105">
        <v>9143557607</v>
      </c>
      <c r="H1105">
        <v>9259549919</v>
      </c>
      <c r="I1105">
        <v>9199785665</v>
      </c>
      <c r="J1105">
        <v>8835659445</v>
      </c>
      <c r="K1105">
        <v>5704800280</v>
      </c>
      <c r="L1105">
        <v>5338829612</v>
      </c>
      <c r="M1105">
        <v>4147736838</v>
      </c>
      <c r="N1105">
        <v>4172681861</v>
      </c>
      <c r="O1105">
        <v>4412117977</v>
      </c>
      <c r="P1105">
        <v>382</v>
      </c>
      <c r="Q1105" t="s">
        <v>2486</v>
      </c>
    </row>
    <row r="1106" spans="1:17" x14ac:dyDescent="0.3">
      <c r="A1106" t="s">
        <v>17</v>
      </c>
      <c r="B1106" t="str">
        <f>"600179"</f>
        <v>600179</v>
      </c>
      <c r="C1106" t="s">
        <v>2487</v>
      </c>
      <c r="D1106" t="s">
        <v>176</v>
      </c>
      <c r="E1106">
        <v>12085053128</v>
      </c>
      <c r="F1106">
        <v>9516491032</v>
      </c>
      <c r="G1106">
        <v>7841048876</v>
      </c>
      <c r="H1106">
        <v>11485102948</v>
      </c>
      <c r="I1106">
        <v>10035807192</v>
      </c>
      <c r="J1106">
        <v>6565263553</v>
      </c>
      <c r="K1106">
        <v>964388564</v>
      </c>
      <c r="L1106">
        <v>1416078114</v>
      </c>
      <c r="M1106">
        <v>2320911786</v>
      </c>
      <c r="N1106">
        <v>2013120498</v>
      </c>
      <c r="O1106">
        <v>1562419718</v>
      </c>
      <c r="P1106">
        <v>128</v>
      </c>
      <c r="Q1106" t="s">
        <v>2488</v>
      </c>
    </row>
    <row r="1107" spans="1:17" x14ac:dyDescent="0.3">
      <c r="A1107" t="s">
        <v>47</v>
      </c>
      <c r="B1107" t="str">
        <f>"002463"</f>
        <v>002463</v>
      </c>
      <c r="C1107" t="s">
        <v>2489</v>
      </c>
      <c r="D1107" t="s">
        <v>1115</v>
      </c>
      <c r="E1107">
        <v>12068996604</v>
      </c>
      <c r="F1107">
        <v>10207449924</v>
      </c>
      <c r="G1107">
        <v>8468196859</v>
      </c>
      <c r="H1107">
        <v>7052318798</v>
      </c>
      <c r="I1107">
        <v>5989743869</v>
      </c>
      <c r="J1107">
        <v>5360002432</v>
      </c>
      <c r="K1107">
        <v>5404433074</v>
      </c>
      <c r="L1107">
        <v>5613284192</v>
      </c>
      <c r="M1107">
        <v>5018396134</v>
      </c>
      <c r="N1107">
        <v>4791586945</v>
      </c>
      <c r="O1107">
        <v>4417594850</v>
      </c>
      <c r="P1107">
        <v>3004</v>
      </c>
      <c r="Q1107" t="s">
        <v>2490</v>
      </c>
    </row>
    <row r="1108" spans="1:17" x14ac:dyDescent="0.3">
      <c r="A1108" t="s">
        <v>47</v>
      </c>
      <c r="B1108" t="str">
        <f>"002572"</f>
        <v>002572</v>
      </c>
      <c r="C1108" t="s">
        <v>2491</v>
      </c>
      <c r="D1108" t="s">
        <v>1505</v>
      </c>
      <c r="E1108">
        <v>12054966104</v>
      </c>
      <c r="F1108">
        <v>11098261399</v>
      </c>
      <c r="G1108">
        <v>8424278742</v>
      </c>
      <c r="H1108">
        <v>7695997882</v>
      </c>
      <c r="I1108">
        <v>6757095559</v>
      </c>
      <c r="J1108">
        <v>5318860448</v>
      </c>
      <c r="K1108">
        <v>2915485480</v>
      </c>
      <c r="L1108">
        <v>2475514552</v>
      </c>
      <c r="M1108">
        <v>2049009981</v>
      </c>
      <c r="N1108">
        <v>1759516619</v>
      </c>
      <c r="O1108">
        <v>1514155689</v>
      </c>
      <c r="P1108">
        <v>9141</v>
      </c>
      <c r="Q1108" t="s">
        <v>2492</v>
      </c>
    </row>
    <row r="1109" spans="1:17" x14ac:dyDescent="0.3">
      <c r="A1109" t="s">
        <v>17</v>
      </c>
      <c r="B1109" t="str">
        <f>"600757"</f>
        <v>600757</v>
      </c>
      <c r="C1109" t="s">
        <v>2493</v>
      </c>
      <c r="D1109" t="s">
        <v>1352</v>
      </c>
      <c r="E1109">
        <v>12052814650</v>
      </c>
      <c r="F1109">
        <v>11446572623</v>
      </c>
      <c r="G1109">
        <v>10998454723</v>
      </c>
      <c r="H1109">
        <v>10320395659</v>
      </c>
      <c r="I1109">
        <v>9950036169</v>
      </c>
      <c r="J1109">
        <v>9612245006</v>
      </c>
      <c r="K1109">
        <v>10595176389</v>
      </c>
      <c r="L1109">
        <v>7124319858</v>
      </c>
      <c r="M1109">
        <v>6565659031</v>
      </c>
      <c r="N1109">
        <v>4752315609</v>
      </c>
      <c r="O1109">
        <v>4089987982</v>
      </c>
      <c r="P1109">
        <v>437</v>
      </c>
      <c r="Q1109" t="s">
        <v>2494</v>
      </c>
    </row>
    <row r="1110" spans="1:17" x14ac:dyDescent="0.3">
      <c r="A1110" t="s">
        <v>47</v>
      </c>
      <c r="B1110" t="str">
        <f>"000055"</f>
        <v>000055</v>
      </c>
      <c r="C1110" t="s">
        <v>2495</v>
      </c>
      <c r="D1110" t="s">
        <v>1418</v>
      </c>
      <c r="E1110">
        <v>12029065494</v>
      </c>
      <c r="F1110">
        <v>11298662749</v>
      </c>
      <c r="G1110">
        <v>11349613131</v>
      </c>
      <c r="H1110">
        <v>10650592250</v>
      </c>
      <c r="I1110">
        <v>7562522370</v>
      </c>
      <c r="J1110">
        <v>6539538168</v>
      </c>
      <c r="K1110">
        <v>4625948618</v>
      </c>
      <c r="L1110">
        <v>3651477915</v>
      </c>
      <c r="M1110">
        <v>2727017805</v>
      </c>
      <c r="N1110">
        <v>2267908708</v>
      </c>
      <c r="O1110">
        <v>2093089951</v>
      </c>
      <c r="P1110">
        <v>318</v>
      </c>
      <c r="Q1110" t="s">
        <v>2496</v>
      </c>
    </row>
    <row r="1111" spans="1:17" x14ac:dyDescent="0.3">
      <c r="A1111" t="s">
        <v>47</v>
      </c>
      <c r="B1111" t="str">
        <f>"300257"</f>
        <v>300257</v>
      </c>
      <c r="C1111" t="s">
        <v>2497</v>
      </c>
      <c r="D1111" t="s">
        <v>1433</v>
      </c>
      <c r="E1111">
        <v>12021821091</v>
      </c>
      <c r="F1111">
        <v>10980977300</v>
      </c>
      <c r="G1111">
        <v>8469748452</v>
      </c>
      <c r="H1111">
        <v>7578044010</v>
      </c>
      <c r="I1111">
        <v>6352214048</v>
      </c>
      <c r="J1111">
        <v>5172991423</v>
      </c>
      <c r="K1111">
        <v>4250166155</v>
      </c>
      <c r="L1111">
        <v>4536699490</v>
      </c>
      <c r="M1111">
        <v>4107397996</v>
      </c>
      <c r="N1111">
        <v>3594592530</v>
      </c>
      <c r="O1111">
        <v>3544074545</v>
      </c>
      <c r="P1111">
        <v>148</v>
      </c>
      <c r="Q1111" t="s">
        <v>2498</v>
      </c>
    </row>
    <row r="1112" spans="1:17" x14ac:dyDescent="0.3">
      <c r="A1112" t="s">
        <v>47</v>
      </c>
      <c r="B1112" t="str">
        <f>"002049"</f>
        <v>002049</v>
      </c>
      <c r="C1112" t="s">
        <v>2499</v>
      </c>
      <c r="D1112" t="s">
        <v>967</v>
      </c>
      <c r="E1112">
        <v>12018140202</v>
      </c>
      <c r="F1112">
        <v>7996024999</v>
      </c>
      <c r="G1112">
        <v>6806193839</v>
      </c>
      <c r="H1112">
        <v>5728043247</v>
      </c>
      <c r="I1112">
        <v>5188611169</v>
      </c>
      <c r="J1112">
        <v>4543348617</v>
      </c>
      <c r="K1112">
        <v>4065663043</v>
      </c>
      <c r="L1112">
        <v>3574016185</v>
      </c>
      <c r="M1112">
        <v>3148826442</v>
      </c>
      <c r="N1112">
        <v>2845666466</v>
      </c>
      <c r="O1112">
        <v>535913316</v>
      </c>
      <c r="P1112">
        <v>4605</v>
      </c>
      <c r="Q1112" t="s">
        <v>2500</v>
      </c>
    </row>
    <row r="1113" spans="1:17" x14ac:dyDescent="0.3">
      <c r="A1113" t="s">
        <v>17</v>
      </c>
      <c r="B1113" t="str">
        <f>"600252"</f>
        <v>600252</v>
      </c>
      <c r="C1113" t="s">
        <v>2501</v>
      </c>
      <c r="D1113" t="s">
        <v>695</v>
      </c>
      <c r="E1113">
        <v>11997417716</v>
      </c>
      <c r="F1113">
        <v>12259163373</v>
      </c>
      <c r="G1113">
        <v>8028114756</v>
      </c>
      <c r="H1113">
        <v>7527794988</v>
      </c>
      <c r="I1113">
        <v>6926199339</v>
      </c>
      <c r="J1113">
        <v>6451740619</v>
      </c>
      <c r="K1113">
        <v>5960288327</v>
      </c>
      <c r="L1113">
        <v>8252985880</v>
      </c>
      <c r="M1113">
        <v>6028558915</v>
      </c>
      <c r="N1113">
        <v>5268112342</v>
      </c>
      <c r="O1113">
        <v>4358503601</v>
      </c>
      <c r="P1113">
        <v>362</v>
      </c>
      <c r="Q1113" t="s">
        <v>2502</v>
      </c>
    </row>
    <row r="1114" spans="1:17" x14ac:dyDescent="0.3">
      <c r="A1114" t="s">
        <v>47</v>
      </c>
      <c r="B1114" t="str">
        <f>"000008"</f>
        <v>000008</v>
      </c>
      <c r="C1114" t="s">
        <v>2503</v>
      </c>
      <c r="D1114" t="s">
        <v>193</v>
      </c>
      <c r="E1114">
        <v>11965174454</v>
      </c>
      <c r="F1114">
        <v>13176854883</v>
      </c>
      <c r="G1114">
        <v>12033340389</v>
      </c>
      <c r="H1114">
        <v>10513987767</v>
      </c>
      <c r="I1114">
        <v>9927227991</v>
      </c>
      <c r="J1114">
        <v>7982302459</v>
      </c>
      <c r="K1114">
        <v>6794503073</v>
      </c>
      <c r="L1114">
        <v>3417706570</v>
      </c>
      <c r="M1114">
        <v>627329265</v>
      </c>
      <c r="N1114">
        <v>605777797</v>
      </c>
      <c r="O1114">
        <v>77075618</v>
      </c>
      <c r="P1114">
        <v>301</v>
      </c>
      <c r="Q1114" t="s">
        <v>2504</v>
      </c>
    </row>
    <row r="1115" spans="1:17" x14ac:dyDescent="0.3">
      <c r="A1115" t="s">
        <v>17</v>
      </c>
      <c r="B1115" t="str">
        <f>"603169"</f>
        <v>603169</v>
      </c>
      <c r="C1115" t="s">
        <v>2505</v>
      </c>
      <c r="D1115" t="s">
        <v>607</v>
      </c>
      <c r="E1115">
        <v>11955402226</v>
      </c>
      <c r="F1115">
        <v>10580603199</v>
      </c>
      <c r="G1115">
        <v>11268862379</v>
      </c>
      <c r="H1115">
        <v>11304749789</v>
      </c>
      <c r="I1115">
        <v>11508608727</v>
      </c>
      <c r="J1115">
        <v>7635863825</v>
      </c>
      <c r="K1115">
        <v>6843442531</v>
      </c>
      <c r="L1115">
        <v>6422300186</v>
      </c>
      <c r="P1115">
        <v>81</v>
      </c>
      <c r="Q1115" t="s">
        <v>2506</v>
      </c>
    </row>
    <row r="1116" spans="1:17" x14ac:dyDescent="0.3">
      <c r="A1116" t="s">
        <v>17</v>
      </c>
      <c r="B1116" t="str">
        <f>"688185"</f>
        <v>688185</v>
      </c>
      <c r="C1116" t="s">
        <v>2507</v>
      </c>
      <c r="D1116" t="s">
        <v>894</v>
      </c>
      <c r="E1116">
        <v>11933983000</v>
      </c>
      <c r="F1116">
        <v>7523166743</v>
      </c>
      <c r="G1116">
        <v>1736015607</v>
      </c>
      <c r="P1116">
        <v>266</v>
      </c>
      <c r="Q1116" t="s">
        <v>2508</v>
      </c>
    </row>
    <row r="1117" spans="1:17" x14ac:dyDescent="0.3">
      <c r="A1117" t="s">
        <v>17</v>
      </c>
      <c r="B1117" t="str">
        <f>"600894"</f>
        <v>600894</v>
      </c>
      <c r="C1117" t="s">
        <v>2509</v>
      </c>
      <c r="D1117" t="s">
        <v>1092</v>
      </c>
      <c r="E1117">
        <v>11933275932</v>
      </c>
      <c r="F1117">
        <v>11339424443</v>
      </c>
      <c r="G1117">
        <v>10074430318</v>
      </c>
      <c r="H1117">
        <v>9829258260</v>
      </c>
      <c r="I1117">
        <v>8919254659</v>
      </c>
      <c r="J1117">
        <v>9418443622</v>
      </c>
      <c r="K1117">
        <v>9046050600</v>
      </c>
      <c r="L1117">
        <v>7033915002</v>
      </c>
      <c r="M1117">
        <v>5573787385</v>
      </c>
      <c r="N1117">
        <v>4222078912</v>
      </c>
      <c r="O1117">
        <v>3416978370</v>
      </c>
      <c r="P1117">
        <v>394</v>
      </c>
      <c r="Q1117" t="s">
        <v>2510</v>
      </c>
    </row>
    <row r="1118" spans="1:17" x14ac:dyDescent="0.3">
      <c r="A1118" t="s">
        <v>47</v>
      </c>
      <c r="B1118" t="str">
        <f>"000733"</f>
        <v>000733</v>
      </c>
      <c r="C1118" t="s">
        <v>2511</v>
      </c>
      <c r="D1118" t="s">
        <v>1385</v>
      </c>
      <c r="E1118">
        <v>11908633191</v>
      </c>
      <c r="F1118">
        <v>9467301532</v>
      </c>
      <c r="G1118">
        <v>8833754165</v>
      </c>
      <c r="H1118">
        <v>10745012810</v>
      </c>
      <c r="I1118">
        <v>9056933649</v>
      </c>
      <c r="J1118">
        <v>9127918625</v>
      </c>
      <c r="K1118">
        <v>7057958940</v>
      </c>
      <c r="L1118">
        <v>5348378029</v>
      </c>
      <c r="M1118">
        <v>5064238100</v>
      </c>
      <c r="N1118">
        <v>3788264740</v>
      </c>
      <c r="O1118">
        <v>3684975142</v>
      </c>
      <c r="P1118">
        <v>490</v>
      </c>
      <c r="Q1118" t="s">
        <v>2512</v>
      </c>
    </row>
    <row r="1119" spans="1:17" x14ac:dyDescent="0.3">
      <c r="A1119" t="s">
        <v>17</v>
      </c>
      <c r="B1119" t="str">
        <f>"600916"</f>
        <v>600916</v>
      </c>
      <c r="C1119" t="s">
        <v>2513</v>
      </c>
      <c r="D1119" t="s">
        <v>1508</v>
      </c>
      <c r="E1119">
        <v>11880767083</v>
      </c>
      <c r="F1119">
        <v>11790182363</v>
      </c>
      <c r="P1119">
        <v>97</v>
      </c>
      <c r="Q1119" t="s">
        <v>2514</v>
      </c>
    </row>
    <row r="1120" spans="1:17" x14ac:dyDescent="0.3">
      <c r="A1120" t="s">
        <v>47</v>
      </c>
      <c r="B1120" t="str">
        <f>"000555"</f>
        <v>000555</v>
      </c>
      <c r="C1120" t="s">
        <v>2515</v>
      </c>
      <c r="D1120" t="s">
        <v>700</v>
      </c>
      <c r="E1120">
        <v>11868344339</v>
      </c>
      <c r="F1120">
        <v>10886062027</v>
      </c>
      <c r="G1120">
        <v>9490371803</v>
      </c>
      <c r="H1120">
        <v>10740550364</v>
      </c>
      <c r="I1120">
        <v>9542414386</v>
      </c>
      <c r="J1120">
        <v>9463557150</v>
      </c>
      <c r="K1120">
        <v>7233451150</v>
      </c>
      <c r="L1120">
        <v>6062552599</v>
      </c>
      <c r="M1120">
        <v>5670295880</v>
      </c>
      <c r="N1120">
        <v>10282635</v>
      </c>
      <c r="O1120">
        <v>18544547</v>
      </c>
      <c r="P1120">
        <v>374</v>
      </c>
      <c r="Q1120" t="s">
        <v>2516</v>
      </c>
    </row>
    <row r="1121" spans="1:17" x14ac:dyDescent="0.3">
      <c r="A1121" t="s">
        <v>47</v>
      </c>
      <c r="B1121" t="str">
        <f>"300088"</f>
        <v>300088</v>
      </c>
      <c r="C1121" t="s">
        <v>2517</v>
      </c>
      <c r="D1121" t="s">
        <v>181</v>
      </c>
      <c r="E1121">
        <v>11854814938</v>
      </c>
      <c r="F1121">
        <v>10020354490</v>
      </c>
      <c r="G1121">
        <v>9090193684</v>
      </c>
      <c r="H1121">
        <v>10340626006</v>
      </c>
      <c r="I1121">
        <v>8509867038</v>
      </c>
      <c r="J1121">
        <v>8297795261</v>
      </c>
      <c r="K1121">
        <v>6077248304</v>
      </c>
      <c r="L1121">
        <v>4639807471</v>
      </c>
      <c r="M1121">
        <v>3060974043</v>
      </c>
      <c r="N1121">
        <v>1884498510</v>
      </c>
      <c r="O1121">
        <v>1503169219</v>
      </c>
      <c r="P1121">
        <v>950</v>
      </c>
      <c r="Q1121" t="s">
        <v>2518</v>
      </c>
    </row>
    <row r="1122" spans="1:17" x14ac:dyDescent="0.3">
      <c r="A1122" t="s">
        <v>17</v>
      </c>
      <c r="B1122" t="str">
        <f>"600161"</f>
        <v>600161</v>
      </c>
      <c r="C1122" t="s">
        <v>2519</v>
      </c>
      <c r="D1122" t="s">
        <v>1393</v>
      </c>
      <c r="E1122">
        <v>11850882499</v>
      </c>
      <c r="F1122">
        <v>7987018031</v>
      </c>
      <c r="G1122">
        <v>6698622460</v>
      </c>
      <c r="H1122">
        <v>5510515032</v>
      </c>
      <c r="I1122">
        <v>4613192938</v>
      </c>
      <c r="J1122">
        <v>5936569666</v>
      </c>
      <c r="K1122">
        <v>5628114061</v>
      </c>
      <c r="L1122">
        <v>6003011718</v>
      </c>
      <c r="M1122">
        <v>6056030788</v>
      </c>
      <c r="N1122">
        <v>5007919976</v>
      </c>
      <c r="O1122">
        <v>3350994960</v>
      </c>
      <c r="P1122">
        <v>1406</v>
      </c>
      <c r="Q1122" t="s">
        <v>2520</v>
      </c>
    </row>
    <row r="1123" spans="1:17" x14ac:dyDescent="0.3">
      <c r="A1123" t="s">
        <v>17</v>
      </c>
      <c r="B1123" t="str">
        <f>"603071"</f>
        <v>603071</v>
      </c>
      <c r="C1123" t="s">
        <v>2521</v>
      </c>
      <c r="D1123" t="s">
        <v>1293</v>
      </c>
      <c r="E1123">
        <v>11848598625</v>
      </c>
      <c r="P1123">
        <v>19</v>
      </c>
      <c r="Q1123" t="s">
        <v>2522</v>
      </c>
    </row>
    <row r="1124" spans="1:17" x14ac:dyDescent="0.3">
      <c r="A1124" t="s">
        <v>47</v>
      </c>
      <c r="B1124" t="str">
        <f>"003022"</f>
        <v>003022</v>
      </c>
      <c r="C1124" t="s">
        <v>2523</v>
      </c>
      <c r="D1124" t="s">
        <v>1555</v>
      </c>
      <c r="E1124">
        <v>11848376850</v>
      </c>
      <c r="F1124">
        <v>9660041881</v>
      </c>
      <c r="P1124">
        <v>205</v>
      </c>
      <c r="Q1124" t="s">
        <v>2524</v>
      </c>
    </row>
    <row r="1125" spans="1:17" x14ac:dyDescent="0.3">
      <c r="A1125" t="s">
        <v>47</v>
      </c>
      <c r="B1125" t="str">
        <f>"000423"</f>
        <v>000423</v>
      </c>
      <c r="C1125" t="s">
        <v>2525</v>
      </c>
      <c r="D1125" t="s">
        <v>695</v>
      </c>
      <c r="E1125">
        <v>11797369660</v>
      </c>
      <c r="F1125">
        <v>11195609874</v>
      </c>
      <c r="G1125">
        <v>11096986612</v>
      </c>
      <c r="H1125">
        <v>13644008666</v>
      </c>
      <c r="I1125">
        <v>12763084119</v>
      </c>
      <c r="J1125">
        <v>11166452110</v>
      </c>
      <c r="K1125">
        <v>9004079162</v>
      </c>
      <c r="L1125">
        <v>8006735673</v>
      </c>
      <c r="M1125">
        <v>6335920513</v>
      </c>
      <c r="N1125">
        <v>5439656441</v>
      </c>
      <c r="O1125">
        <v>4573239944</v>
      </c>
      <c r="P1125">
        <v>24620</v>
      </c>
      <c r="Q1125" t="s">
        <v>2526</v>
      </c>
    </row>
    <row r="1126" spans="1:17" x14ac:dyDescent="0.3">
      <c r="A1126" t="s">
        <v>47</v>
      </c>
      <c r="B1126" t="str">
        <f>"000949"</f>
        <v>000949</v>
      </c>
      <c r="C1126" t="s">
        <v>2527</v>
      </c>
      <c r="D1126" t="s">
        <v>1207</v>
      </c>
      <c r="E1126">
        <v>11786730943</v>
      </c>
      <c r="F1126">
        <v>9555922542</v>
      </c>
      <c r="G1126">
        <v>8603931523</v>
      </c>
      <c r="H1126">
        <v>8182967360</v>
      </c>
      <c r="I1126">
        <v>6805672862</v>
      </c>
      <c r="J1126">
        <v>5636843015</v>
      </c>
      <c r="K1126">
        <v>4958859599</v>
      </c>
      <c r="L1126">
        <v>4829042113</v>
      </c>
      <c r="M1126">
        <v>4120134124</v>
      </c>
      <c r="N1126">
        <v>4708333077</v>
      </c>
      <c r="O1126">
        <v>4752558214</v>
      </c>
      <c r="P1126">
        <v>157</v>
      </c>
      <c r="Q1126" t="s">
        <v>2528</v>
      </c>
    </row>
    <row r="1127" spans="1:17" x14ac:dyDescent="0.3">
      <c r="A1127" t="s">
        <v>17</v>
      </c>
      <c r="B1127" t="str">
        <f>"603567"</f>
        <v>603567</v>
      </c>
      <c r="C1127" t="s">
        <v>2529</v>
      </c>
      <c r="D1127" t="s">
        <v>695</v>
      </c>
      <c r="E1127">
        <v>11786477883</v>
      </c>
      <c r="F1127">
        <v>10187785272</v>
      </c>
      <c r="G1127">
        <v>9947889964</v>
      </c>
      <c r="H1127">
        <v>8325779677</v>
      </c>
      <c r="I1127">
        <v>7009944150</v>
      </c>
      <c r="J1127">
        <v>6299423917</v>
      </c>
      <c r="K1127">
        <v>5918850117</v>
      </c>
      <c r="L1127">
        <v>3476556376</v>
      </c>
      <c r="P1127">
        <v>134</v>
      </c>
      <c r="Q1127" t="s">
        <v>2530</v>
      </c>
    </row>
    <row r="1128" spans="1:17" x14ac:dyDescent="0.3">
      <c r="A1128" t="s">
        <v>17</v>
      </c>
      <c r="B1128" t="str">
        <f>"603218"</f>
        <v>603218</v>
      </c>
      <c r="C1128" t="s">
        <v>2531</v>
      </c>
      <c r="D1128" t="s">
        <v>2013</v>
      </c>
      <c r="E1128">
        <v>11763117704</v>
      </c>
      <c r="F1128">
        <v>10544415599</v>
      </c>
      <c r="G1128">
        <v>7005700626</v>
      </c>
      <c r="H1128">
        <v>4281392284</v>
      </c>
      <c r="I1128">
        <v>3767036381</v>
      </c>
      <c r="J1128">
        <v>3466507207</v>
      </c>
      <c r="P1128">
        <v>566</v>
      </c>
      <c r="Q1128" t="s">
        <v>2532</v>
      </c>
    </row>
    <row r="1129" spans="1:17" x14ac:dyDescent="0.3">
      <c r="A1129" t="s">
        <v>47</v>
      </c>
      <c r="B1129" t="str">
        <f>"300026"</f>
        <v>300026</v>
      </c>
      <c r="C1129" t="s">
        <v>2533</v>
      </c>
      <c r="D1129" t="s">
        <v>695</v>
      </c>
      <c r="E1129">
        <v>11756400109</v>
      </c>
      <c r="F1129">
        <v>10549639672</v>
      </c>
      <c r="G1129">
        <v>9133379328</v>
      </c>
      <c r="H1129">
        <v>7665006713</v>
      </c>
      <c r="I1129">
        <v>7563703829</v>
      </c>
      <c r="J1129">
        <v>7340333312</v>
      </c>
      <c r="K1129">
        <v>6764680455</v>
      </c>
      <c r="L1129">
        <v>4129635846</v>
      </c>
      <c r="M1129">
        <v>2454568908</v>
      </c>
      <c r="N1129">
        <v>1862553812</v>
      </c>
      <c r="O1129">
        <v>1453977505</v>
      </c>
      <c r="P1129">
        <v>417</v>
      </c>
      <c r="Q1129" t="s">
        <v>2534</v>
      </c>
    </row>
    <row r="1130" spans="1:17" x14ac:dyDescent="0.3">
      <c r="A1130" t="s">
        <v>17</v>
      </c>
      <c r="B1130" t="str">
        <f>"688298"</f>
        <v>688298</v>
      </c>
      <c r="C1130" t="s">
        <v>2535</v>
      </c>
      <c r="D1130" t="s">
        <v>2322</v>
      </c>
      <c r="E1130">
        <v>11739688382</v>
      </c>
      <c r="F1130">
        <v>4959720349</v>
      </c>
      <c r="G1130">
        <v>1105937924</v>
      </c>
      <c r="P1130">
        <v>477</v>
      </c>
      <c r="Q1130" t="s">
        <v>2536</v>
      </c>
    </row>
    <row r="1131" spans="1:17" x14ac:dyDescent="0.3">
      <c r="A1131" t="s">
        <v>17</v>
      </c>
      <c r="B1131" t="str">
        <f>"600633"</f>
        <v>600633</v>
      </c>
      <c r="C1131" t="s">
        <v>2537</v>
      </c>
      <c r="D1131" t="s">
        <v>1032</v>
      </c>
      <c r="E1131">
        <v>11649734410</v>
      </c>
      <c r="F1131">
        <v>11105622760</v>
      </c>
      <c r="G1131">
        <v>11699530972</v>
      </c>
      <c r="H1131">
        <v>10258157913</v>
      </c>
      <c r="I1131">
        <v>9865287319</v>
      </c>
      <c r="J1131">
        <v>8768612695</v>
      </c>
      <c r="K1131">
        <v>8102302088</v>
      </c>
      <c r="L1131">
        <v>7067798395</v>
      </c>
      <c r="M1131">
        <v>6493897213</v>
      </c>
      <c r="N1131">
        <v>2706604620</v>
      </c>
      <c r="O1131">
        <v>1553602471</v>
      </c>
      <c r="P1131">
        <v>325</v>
      </c>
      <c r="Q1131" t="s">
        <v>2538</v>
      </c>
    </row>
    <row r="1132" spans="1:17" x14ac:dyDescent="0.3">
      <c r="A1132" t="s">
        <v>47</v>
      </c>
      <c r="B1132" t="str">
        <f>"002145"</f>
        <v>002145</v>
      </c>
      <c r="C1132" t="s">
        <v>2539</v>
      </c>
      <c r="D1132" t="s">
        <v>851</v>
      </c>
      <c r="E1132">
        <v>11645020259</v>
      </c>
      <c r="F1132">
        <v>9233495934</v>
      </c>
      <c r="G1132">
        <v>5844574685</v>
      </c>
      <c r="H1132">
        <v>5782849942</v>
      </c>
      <c r="I1132">
        <v>5659244014</v>
      </c>
      <c r="J1132">
        <v>5425951543</v>
      </c>
      <c r="K1132">
        <v>4739051394</v>
      </c>
      <c r="L1132">
        <v>4066229925</v>
      </c>
      <c r="M1132">
        <v>3104499419</v>
      </c>
      <c r="N1132">
        <v>2735962934</v>
      </c>
      <c r="O1132">
        <v>576234365</v>
      </c>
      <c r="P1132">
        <v>284</v>
      </c>
      <c r="Q1132" t="s">
        <v>2540</v>
      </c>
    </row>
    <row r="1133" spans="1:17" x14ac:dyDescent="0.3">
      <c r="A1133" t="s">
        <v>47</v>
      </c>
      <c r="B1133" t="str">
        <f>"002396"</f>
        <v>002396</v>
      </c>
      <c r="C1133" t="s">
        <v>2541</v>
      </c>
      <c r="D1133" t="s">
        <v>367</v>
      </c>
      <c r="E1133">
        <v>11643141357</v>
      </c>
      <c r="F1133">
        <v>8778475828</v>
      </c>
      <c r="G1133">
        <v>7069283935</v>
      </c>
      <c r="H1133">
        <v>6099792123</v>
      </c>
      <c r="I1133">
        <v>5777480580</v>
      </c>
      <c r="J1133">
        <v>5034821060</v>
      </c>
      <c r="K1133">
        <v>4606770365</v>
      </c>
      <c r="L1133">
        <v>3460761357</v>
      </c>
      <c r="M1133">
        <v>3053057075</v>
      </c>
      <c r="N1133">
        <v>2735738395</v>
      </c>
      <c r="O1133">
        <v>2509024094</v>
      </c>
      <c r="P1133">
        <v>3694</v>
      </c>
      <c r="Q1133" t="s">
        <v>2542</v>
      </c>
    </row>
    <row r="1134" spans="1:17" x14ac:dyDescent="0.3">
      <c r="A1134" t="s">
        <v>17</v>
      </c>
      <c r="B1134" t="str">
        <f>"600163"</f>
        <v>600163</v>
      </c>
      <c r="C1134" t="s">
        <v>2543</v>
      </c>
      <c r="D1134" t="s">
        <v>298</v>
      </c>
      <c r="E1134">
        <v>11616709049</v>
      </c>
      <c r="F1134">
        <v>10622473932</v>
      </c>
      <c r="G1134">
        <v>9038346006</v>
      </c>
      <c r="H1134">
        <v>4167633624</v>
      </c>
      <c r="I1134">
        <v>3712990807</v>
      </c>
      <c r="J1134">
        <v>3155272013</v>
      </c>
      <c r="K1134">
        <v>2975069276</v>
      </c>
      <c r="L1134">
        <v>2274868685</v>
      </c>
      <c r="M1134">
        <v>2576799538</v>
      </c>
      <c r="N1134">
        <v>3288683876</v>
      </c>
      <c r="O1134">
        <v>3941345762</v>
      </c>
      <c r="P1134">
        <v>219</v>
      </c>
      <c r="Q1134" t="s">
        <v>2544</v>
      </c>
    </row>
    <row r="1135" spans="1:17" x14ac:dyDescent="0.3">
      <c r="A1135" t="s">
        <v>47</v>
      </c>
      <c r="B1135" t="str">
        <f>"300323"</f>
        <v>300323</v>
      </c>
      <c r="C1135" t="s">
        <v>2545</v>
      </c>
      <c r="D1135" t="s">
        <v>862</v>
      </c>
      <c r="E1135">
        <v>11615496535</v>
      </c>
      <c r="F1135">
        <v>10562202946</v>
      </c>
      <c r="G1135">
        <v>11241118954</v>
      </c>
      <c r="H1135">
        <v>12968068169</v>
      </c>
      <c r="I1135">
        <v>10019054310</v>
      </c>
      <c r="J1135">
        <v>8193041961</v>
      </c>
      <c r="K1135">
        <v>4164049447</v>
      </c>
      <c r="L1135">
        <v>3920862289</v>
      </c>
      <c r="M1135">
        <v>2673215047</v>
      </c>
      <c r="N1135">
        <v>1910013186</v>
      </c>
      <c r="O1135">
        <v>1237432731</v>
      </c>
      <c r="P1135">
        <v>293</v>
      </c>
      <c r="Q1135" t="s">
        <v>2546</v>
      </c>
    </row>
    <row r="1136" spans="1:17" x14ac:dyDescent="0.3">
      <c r="A1136" t="s">
        <v>47</v>
      </c>
      <c r="B1136" t="str">
        <f>"300266"</f>
        <v>300266</v>
      </c>
      <c r="C1136" t="s">
        <v>2547</v>
      </c>
      <c r="D1136" t="s">
        <v>520</v>
      </c>
      <c r="E1136">
        <v>11608199650</v>
      </c>
      <c r="F1136">
        <v>11131461113</v>
      </c>
      <c r="G1136">
        <v>10652685452</v>
      </c>
      <c r="H1136">
        <v>8957150747</v>
      </c>
      <c r="I1136">
        <v>10220755125</v>
      </c>
      <c r="J1136">
        <v>6076496976</v>
      </c>
      <c r="K1136">
        <v>4306765594</v>
      </c>
      <c r="L1136">
        <v>1508834045</v>
      </c>
      <c r="M1136">
        <v>1312360468</v>
      </c>
      <c r="N1136">
        <v>644569193</v>
      </c>
      <c r="O1136">
        <v>705040097</v>
      </c>
      <c r="P1136">
        <v>145</v>
      </c>
      <c r="Q1136" t="s">
        <v>2548</v>
      </c>
    </row>
    <row r="1137" spans="1:17" x14ac:dyDescent="0.3">
      <c r="A1137" t="s">
        <v>47</v>
      </c>
      <c r="B1137" t="str">
        <f>"000665"</f>
        <v>000665</v>
      </c>
      <c r="C1137" t="s">
        <v>2549</v>
      </c>
      <c r="D1137" t="s">
        <v>973</v>
      </c>
      <c r="E1137">
        <v>11568645106</v>
      </c>
      <c r="F1137">
        <v>11707179398</v>
      </c>
      <c r="G1137">
        <v>12196597904</v>
      </c>
      <c r="H1137">
        <v>11446807785</v>
      </c>
      <c r="I1137">
        <v>9672706088</v>
      </c>
      <c r="J1137">
        <v>8093830147</v>
      </c>
      <c r="K1137">
        <v>7606492616</v>
      </c>
      <c r="L1137">
        <v>7306312818</v>
      </c>
      <c r="M1137">
        <v>3241447740</v>
      </c>
      <c r="N1137">
        <v>3200812387</v>
      </c>
      <c r="O1137">
        <v>985608206</v>
      </c>
      <c r="P1137">
        <v>221</v>
      </c>
      <c r="Q1137" t="s">
        <v>2550</v>
      </c>
    </row>
    <row r="1138" spans="1:17" x14ac:dyDescent="0.3">
      <c r="A1138" t="s">
        <v>47</v>
      </c>
      <c r="B1138" t="str">
        <f>"000968"</f>
        <v>000968</v>
      </c>
      <c r="C1138" t="s">
        <v>2551</v>
      </c>
      <c r="D1138" t="s">
        <v>1444</v>
      </c>
      <c r="E1138">
        <v>11563667891</v>
      </c>
      <c r="F1138">
        <v>10613221536</v>
      </c>
      <c r="G1138">
        <v>8651385322</v>
      </c>
      <c r="H1138">
        <v>7916844962</v>
      </c>
      <c r="I1138">
        <v>7115881584</v>
      </c>
      <c r="J1138">
        <v>7493550413</v>
      </c>
      <c r="K1138">
        <v>12229347802</v>
      </c>
      <c r="L1138">
        <v>14657214487</v>
      </c>
      <c r="M1138">
        <v>13088366653</v>
      </c>
      <c r="N1138">
        <v>10099196702</v>
      </c>
      <c r="O1138">
        <v>8065819192</v>
      </c>
      <c r="P1138">
        <v>244</v>
      </c>
      <c r="Q1138" t="s">
        <v>2552</v>
      </c>
    </row>
    <row r="1139" spans="1:17" x14ac:dyDescent="0.3">
      <c r="A1139" t="s">
        <v>47</v>
      </c>
      <c r="B1139" t="str">
        <f>"300223"</f>
        <v>300223</v>
      </c>
      <c r="C1139" t="s">
        <v>2553</v>
      </c>
      <c r="D1139" t="s">
        <v>967</v>
      </c>
      <c r="E1139">
        <v>11518818052</v>
      </c>
      <c r="F1139">
        <v>9136968040</v>
      </c>
      <c r="G1139">
        <v>1283310357</v>
      </c>
      <c r="H1139">
        <v>1217098341</v>
      </c>
      <c r="I1139">
        <v>1166181417</v>
      </c>
      <c r="J1139">
        <v>1142261376</v>
      </c>
      <c r="K1139">
        <v>1110223042</v>
      </c>
      <c r="L1139">
        <v>1065103831</v>
      </c>
      <c r="M1139">
        <v>1084044648</v>
      </c>
      <c r="N1139">
        <v>1112731352</v>
      </c>
      <c r="O1139">
        <v>1138399688</v>
      </c>
      <c r="P1139">
        <v>612</v>
      </c>
      <c r="Q1139" t="s">
        <v>2554</v>
      </c>
    </row>
    <row r="1140" spans="1:17" x14ac:dyDescent="0.3">
      <c r="A1140" t="s">
        <v>17</v>
      </c>
      <c r="B1140" t="str">
        <f>"603298"</f>
        <v>603298</v>
      </c>
      <c r="C1140" t="s">
        <v>2555</v>
      </c>
      <c r="D1140" t="s">
        <v>429</v>
      </c>
      <c r="E1140">
        <v>11505100127</v>
      </c>
      <c r="F1140">
        <v>10169908472</v>
      </c>
      <c r="G1140">
        <v>7111614483</v>
      </c>
      <c r="H1140">
        <v>6399905434</v>
      </c>
      <c r="I1140">
        <v>5927924643</v>
      </c>
      <c r="J1140">
        <v>5001623066</v>
      </c>
      <c r="P1140">
        <v>451</v>
      </c>
      <c r="Q1140" t="s">
        <v>2556</v>
      </c>
    </row>
    <row r="1141" spans="1:17" x14ac:dyDescent="0.3">
      <c r="A1141" t="s">
        <v>17</v>
      </c>
      <c r="B1141" t="str">
        <f>"688779"</f>
        <v>688779</v>
      </c>
      <c r="C1141" t="s">
        <v>2557</v>
      </c>
      <c r="D1141" t="s">
        <v>1017</v>
      </c>
      <c r="E1141">
        <v>11465699952</v>
      </c>
      <c r="P1141">
        <v>53</v>
      </c>
      <c r="Q1141" t="s">
        <v>2558</v>
      </c>
    </row>
    <row r="1142" spans="1:17" x14ac:dyDescent="0.3">
      <c r="A1142" t="s">
        <v>47</v>
      </c>
      <c r="B1142" t="str">
        <f>"300268"</f>
        <v>300268</v>
      </c>
      <c r="C1142" t="s">
        <v>2559</v>
      </c>
      <c r="D1142" t="s">
        <v>1708</v>
      </c>
      <c r="E1142">
        <v>11459782810</v>
      </c>
      <c r="F1142">
        <v>11126268242</v>
      </c>
      <c r="G1142">
        <v>12150320472</v>
      </c>
      <c r="H1142">
        <v>1314404226</v>
      </c>
      <c r="I1142">
        <v>1128749199</v>
      </c>
      <c r="J1142">
        <v>235214887</v>
      </c>
      <c r="K1142">
        <v>262056043</v>
      </c>
      <c r="L1142">
        <v>373311470</v>
      </c>
      <c r="M1142">
        <v>446332345</v>
      </c>
      <c r="N1142">
        <v>807512752</v>
      </c>
      <c r="O1142">
        <v>1019171328</v>
      </c>
      <c r="P1142">
        <v>87</v>
      </c>
      <c r="Q1142" t="s">
        <v>2560</v>
      </c>
    </row>
    <row r="1143" spans="1:17" x14ac:dyDescent="0.3">
      <c r="A1143" t="s">
        <v>47</v>
      </c>
      <c r="B1143" t="str">
        <f>"300761"</f>
        <v>300761</v>
      </c>
      <c r="C1143" t="s">
        <v>2561</v>
      </c>
      <c r="D1143" t="s">
        <v>1805</v>
      </c>
      <c r="E1143">
        <v>11424288761</v>
      </c>
      <c r="F1143">
        <v>10332112348</v>
      </c>
      <c r="G1143">
        <v>8519577157</v>
      </c>
      <c r="H1143">
        <v>6821289555</v>
      </c>
      <c r="P1143">
        <v>369</v>
      </c>
      <c r="Q1143" t="s">
        <v>2562</v>
      </c>
    </row>
    <row r="1144" spans="1:17" x14ac:dyDescent="0.3">
      <c r="A1144" t="s">
        <v>17</v>
      </c>
      <c r="B1144" t="str">
        <f>"603599"</f>
        <v>603599</v>
      </c>
      <c r="C1144" t="s">
        <v>2563</v>
      </c>
      <c r="D1144" t="s">
        <v>819</v>
      </c>
      <c r="E1144">
        <v>11400037517</v>
      </c>
      <c r="F1144">
        <v>7908479493</v>
      </c>
      <c r="G1144">
        <v>6853268262</v>
      </c>
      <c r="H1144">
        <v>6051800326</v>
      </c>
      <c r="I1144">
        <v>5663927446</v>
      </c>
      <c r="J1144">
        <v>3498787719</v>
      </c>
      <c r="K1144">
        <v>3150901674</v>
      </c>
      <c r="L1144">
        <v>2125776300</v>
      </c>
      <c r="P1144">
        <v>304</v>
      </c>
      <c r="Q1144" t="s">
        <v>2564</v>
      </c>
    </row>
    <row r="1145" spans="1:17" x14ac:dyDescent="0.3">
      <c r="A1145" t="s">
        <v>17</v>
      </c>
      <c r="B1145" t="str">
        <f>"600982"</f>
        <v>600982</v>
      </c>
      <c r="C1145" t="s">
        <v>2565</v>
      </c>
      <c r="D1145" t="s">
        <v>1293</v>
      </c>
      <c r="E1145">
        <v>11387789740</v>
      </c>
      <c r="F1145">
        <v>7906716009</v>
      </c>
      <c r="G1145">
        <v>6760007095</v>
      </c>
      <c r="H1145">
        <v>4476561260</v>
      </c>
      <c r="I1145">
        <v>4224453641</v>
      </c>
      <c r="J1145">
        <v>3504515061</v>
      </c>
      <c r="K1145">
        <v>3286802678</v>
      </c>
      <c r="L1145">
        <v>3083242611</v>
      </c>
      <c r="M1145">
        <v>1729793784</v>
      </c>
      <c r="N1145">
        <v>1584607838</v>
      </c>
      <c r="O1145">
        <v>1380742413</v>
      </c>
      <c r="P1145">
        <v>135</v>
      </c>
      <c r="Q1145" t="s">
        <v>2566</v>
      </c>
    </row>
    <row r="1146" spans="1:17" x14ac:dyDescent="0.3">
      <c r="A1146" t="s">
        <v>17</v>
      </c>
      <c r="B1146" t="str">
        <f>"600459"</f>
        <v>600459</v>
      </c>
      <c r="C1146" t="s">
        <v>2567</v>
      </c>
      <c r="D1146" t="s">
        <v>1002</v>
      </c>
      <c r="E1146">
        <v>11375232640</v>
      </c>
      <c r="F1146">
        <v>11718329199</v>
      </c>
      <c r="G1146">
        <v>8575400950</v>
      </c>
      <c r="H1146">
        <v>6719556916</v>
      </c>
      <c r="I1146">
        <v>5830177283</v>
      </c>
      <c r="J1146">
        <v>4307604618</v>
      </c>
      <c r="K1146">
        <v>3529339873</v>
      </c>
      <c r="L1146">
        <v>2987719243</v>
      </c>
      <c r="M1146">
        <v>2660558741</v>
      </c>
      <c r="N1146">
        <v>2801511086</v>
      </c>
      <c r="O1146">
        <v>1866110374</v>
      </c>
      <c r="P1146">
        <v>308</v>
      </c>
      <c r="Q1146" t="s">
        <v>2568</v>
      </c>
    </row>
    <row r="1147" spans="1:17" x14ac:dyDescent="0.3">
      <c r="A1147" t="s">
        <v>17</v>
      </c>
      <c r="B1147" t="str">
        <f>"600361"</f>
        <v>600361</v>
      </c>
      <c r="C1147" t="s">
        <v>2569</v>
      </c>
      <c r="D1147" t="s">
        <v>692</v>
      </c>
      <c r="E1147">
        <v>11351781232</v>
      </c>
      <c r="F1147">
        <v>11335422190</v>
      </c>
      <c r="G1147">
        <v>9989402875</v>
      </c>
      <c r="H1147">
        <v>10257523745</v>
      </c>
      <c r="I1147">
        <v>9875123080</v>
      </c>
      <c r="J1147">
        <v>10459435739</v>
      </c>
      <c r="K1147">
        <v>11738409708</v>
      </c>
      <c r="L1147">
        <v>12600152394</v>
      </c>
      <c r="M1147">
        <v>11593092702</v>
      </c>
      <c r="N1147">
        <v>10773552044</v>
      </c>
      <c r="O1147">
        <v>9297799208</v>
      </c>
      <c r="P1147">
        <v>134</v>
      </c>
      <c r="Q1147" t="s">
        <v>2570</v>
      </c>
    </row>
    <row r="1148" spans="1:17" x14ac:dyDescent="0.3">
      <c r="A1148" t="s">
        <v>17</v>
      </c>
      <c r="B1148" t="str">
        <f>"600110"</f>
        <v>600110</v>
      </c>
      <c r="C1148" t="s">
        <v>2571</v>
      </c>
      <c r="D1148" t="s">
        <v>301</v>
      </c>
      <c r="E1148">
        <v>11344231944</v>
      </c>
      <c r="F1148">
        <v>8179339935</v>
      </c>
      <c r="G1148">
        <v>6954075393</v>
      </c>
      <c r="H1148">
        <v>7271924490</v>
      </c>
      <c r="I1148">
        <v>6671663612</v>
      </c>
      <c r="J1148">
        <v>5772710978</v>
      </c>
      <c r="K1148">
        <v>5915840270</v>
      </c>
      <c r="L1148">
        <v>6761557764</v>
      </c>
      <c r="M1148">
        <v>6945193390</v>
      </c>
      <c r="N1148">
        <v>5914384795</v>
      </c>
      <c r="O1148">
        <v>5039729568</v>
      </c>
      <c r="P1148">
        <v>339</v>
      </c>
      <c r="Q1148" t="s">
        <v>2572</v>
      </c>
    </row>
    <row r="1149" spans="1:17" x14ac:dyDescent="0.3">
      <c r="A1149" t="s">
        <v>47</v>
      </c>
      <c r="B1149" t="str">
        <f>"300136"</f>
        <v>300136</v>
      </c>
      <c r="C1149" t="s">
        <v>2573</v>
      </c>
      <c r="D1149" t="s">
        <v>283</v>
      </c>
      <c r="E1149">
        <v>11336236787</v>
      </c>
      <c r="F1149">
        <v>10745687651</v>
      </c>
      <c r="G1149">
        <v>8450034708</v>
      </c>
      <c r="H1149">
        <v>7508724204</v>
      </c>
      <c r="I1149">
        <v>5506439704</v>
      </c>
      <c r="J1149">
        <v>3476572983</v>
      </c>
      <c r="K1149">
        <v>2082292666</v>
      </c>
      <c r="L1149">
        <v>1117880931</v>
      </c>
      <c r="M1149">
        <v>831916702</v>
      </c>
      <c r="N1149">
        <v>736092472</v>
      </c>
      <c r="O1149">
        <v>724834950</v>
      </c>
      <c r="P1149">
        <v>2618</v>
      </c>
      <c r="Q1149" t="s">
        <v>2574</v>
      </c>
    </row>
    <row r="1150" spans="1:17" x14ac:dyDescent="0.3">
      <c r="A1150" t="s">
        <v>17</v>
      </c>
      <c r="B1150" t="str">
        <f>"601969"</f>
        <v>601969</v>
      </c>
      <c r="C1150" t="s">
        <v>2575</v>
      </c>
      <c r="D1150" t="s">
        <v>2087</v>
      </c>
      <c r="E1150">
        <v>11320304540</v>
      </c>
      <c r="F1150">
        <v>8992012680</v>
      </c>
      <c r="G1150">
        <v>8521093030</v>
      </c>
      <c r="H1150">
        <v>6618769942</v>
      </c>
      <c r="I1150">
        <v>7789512829</v>
      </c>
      <c r="J1150">
        <v>7498335427</v>
      </c>
      <c r="K1150">
        <v>5622201884</v>
      </c>
      <c r="L1150">
        <v>6096655131</v>
      </c>
      <c r="P1150">
        <v>154</v>
      </c>
      <c r="Q1150" t="s">
        <v>2576</v>
      </c>
    </row>
    <row r="1151" spans="1:17" x14ac:dyDescent="0.3">
      <c r="A1151" t="s">
        <v>17</v>
      </c>
      <c r="B1151" t="str">
        <f>"600203"</f>
        <v>600203</v>
      </c>
      <c r="C1151" t="s">
        <v>2577</v>
      </c>
      <c r="D1151" t="s">
        <v>283</v>
      </c>
      <c r="E1151">
        <v>11320299364</v>
      </c>
      <c r="F1151">
        <v>8772894042</v>
      </c>
      <c r="G1151">
        <v>7887312959</v>
      </c>
      <c r="H1151">
        <v>7242243141</v>
      </c>
      <c r="I1151">
        <v>5664326374</v>
      </c>
      <c r="J1151">
        <v>5011660577</v>
      </c>
      <c r="K1151">
        <v>4788689243</v>
      </c>
      <c r="L1151">
        <v>3995894596</v>
      </c>
      <c r="M1151">
        <v>2249220525</v>
      </c>
      <c r="N1151">
        <v>1413571616</v>
      </c>
      <c r="O1151">
        <v>1143811931</v>
      </c>
      <c r="P1151">
        <v>143</v>
      </c>
      <c r="Q1151" t="s">
        <v>2578</v>
      </c>
    </row>
    <row r="1152" spans="1:17" x14ac:dyDescent="0.3">
      <c r="A1152" t="s">
        <v>47</v>
      </c>
      <c r="B1152" t="str">
        <f>"000408"</f>
        <v>000408</v>
      </c>
      <c r="C1152" t="s">
        <v>2579</v>
      </c>
      <c r="D1152" t="s">
        <v>1274</v>
      </c>
      <c r="E1152">
        <v>11314312856</v>
      </c>
      <c r="F1152">
        <v>8818160994</v>
      </c>
      <c r="G1152">
        <v>9159991842</v>
      </c>
      <c r="H1152">
        <v>10033522795</v>
      </c>
      <c r="I1152">
        <v>7841610742</v>
      </c>
      <c r="J1152">
        <v>6762032073</v>
      </c>
      <c r="K1152">
        <v>459629646</v>
      </c>
      <c r="L1152">
        <v>481676075</v>
      </c>
      <c r="M1152">
        <v>512532691</v>
      </c>
      <c r="N1152">
        <v>445202124</v>
      </c>
      <c r="O1152">
        <v>431462866</v>
      </c>
      <c r="P1152">
        <v>188</v>
      </c>
      <c r="Q1152" t="s">
        <v>2580</v>
      </c>
    </row>
    <row r="1153" spans="1:17" x14ac:dyDescent="0.3">
      <c r="A1153" t="s">
        <v>17</v>
      </c>
      <c r="B1153" t="str">
        <f>"600751"</f>
        <v>600751</v>
      </c>
      <c r="C1153" t="s">
        <v>2581</v>
      </c>
      <c r="D1153" t="s">
        <v>1609</v>
      </c>
      <c r="E1153">
        <v>11295638000</v>
      </c>
      <c r="F1153">
        <v>120800485000</v>
      </c>
      <c r="G1153">
        <v>124778945000</v>
      </c>
      <c r="H1153">
        <v>119011830000</v>
      </c>
      <c r="I1153">
        <v>112430547000</v>
      </c>
      <c r="J1153">
        <v>110037477000</v>
      </c>
      <c r="K1153">
        <v>12769998191</v>
      </c>
      <c r="L1153">
        <v>12549232430</v>
      </c>
      <c r="M1153">
        <v>660936626</v>
      </c>
      <c r="N1153">
        <v>628416623</v>
      </c>
      <c r="O1153">
        <v>529285916</v>
      </c>
      <c r="P1153">
        <v>226</v>
      </c>
      <c r="Q1153" t="s">
        <v>2582</v>
      </c>
    </row>
    <row r="1154" spans="1:17" x14ac:dyDescent="0.3">
      <c r="A1154" t="s">
        <v>17</v>
      </c>
      <c r="B1154" t="str">
        <f>"600572"</f>
        <v>600572</v>
      </c>
      <c r="C1154" t="s">
        <v>2583</v>
      </c>
      <c r="D1154" t="s">
        <v>695</v>
      </c>
      <c r="E1154">
        <v>11288234488</v>
      </c>
      <c r="F1154">
        <v>8918659845</v>
      </c>
      <c r="G1154">
        <v>10182277148</v>
      </c>
      <c r="H1154">
        <v>10921055394</v>
      </c>
      <c r="I1154">
        <v>9575659070</v>
      </c>
      <c r="J1154">
        <v>8404622261</v>
      </c>
      <c r="K1154">
        <v>9795240339</v>
      </c>
      <c r="L1154">
        <v>6443086807</v>
      </c>
      <c r="M1154">
        <v>4673202805</v>
      </c>
      <c r="N1154">
        <v>4407447780</v>
      </c>
      <c r="O1154">
        <v>3079941824</v>
      </c>
      <c r="P1154">
        <v>467</v>
      </c>
      <c r="Q1154" t="s">
        <v>2584</v>
      </c>
    </row>
    <row r="1155" spans="1:17" x14ac:dyDescent="0.3">
      <c r="A1155" t="s">
        <v>47</v>
      </c>
      <c r="B1155" t="str">
        <f>"002073"</f>
        <v>002073</v>
      </c>
      <c r="C1155" t="s">
        <v>2585</v>
      </c>
      <c r="D1155" t="s">
        <v>1973</v>
      </c>
      <c r="E1155">
        <v>11280694862</v>
      </c>
      <c r="F1155">
        <v>9099096703</v>
      </c>
      <c r="G1155">
        <v>7734886224</v>
      </c>
      <c r="H1155">
        <v>8256178418</v>
      </c>
      <c r="I1155">
        <v>8663869562</v>
      </c>
      <c r="J1155">
        <v>8362295340</v>
      </c>
      <c r="K1155">
        <v>9076098610</v>
      </c>
      <c r="L1155">
        <v>8444798439</v>
      </c>
      <c r="M1155">
        <v>6541896854</v>
      </c>
      <c r="N1155">
        <v>6109412783</v>
      </c>
      <c r="O1155">
        <v>5706018462</v>
      </c>
      <c r="P1155">
        <v>150</v>
      </c>
      <c r="Q1155" t="s">
        <v>2586</v>
      </c>
    </row>
    <row r="1156" spans="1:17" x14ac:dyDescent="0.3">
      <c r="A1156" t="s">
        <v>47</v>
      </c>
      <c r="B1156" t="str">
        <f>"000810"</f>
        <v>000810</v>
      </c>
      <c r="C1156" t="s">
        <v>2587</v>
      </c>
      <c r="D1156" t="s">
        <v>2588</v>
      </c>
      <c r="E1156">
        <v>11276021176</v>
      </c>
      <c r="F1156">
        <v>10202534028</v>
      </c>
      <c r="G1156">
        <v>9828242072</v>
      </c>
      <c r="H1156">
        <v>8656519732</v>
      </c>
      <c r="I1156">
        <v>7804767904</v>
      </c>
      <c r="J1156">
        <v>6557353911</v>
      </c>
      <c r="K1156">
        <v>6430698839</v>
      </c>
      <c r="L1156">
        <v>3931762358</v>
      </c>
      <c r="M1156">
        <v>1072415963</v>
      </c>
      <c r="N1156">
        <v>1128547016</v>
      </c>
      <c r="O1156">
        <v>1238003956</v>
      </c>
      <c r="P1156">
        <v>384</v>
      </c>
      <c r="Q1156" t="s">
        <v>2589</v>
      </c>
    </row>
    <row r="1157" spans="1:17" x14ac:dyDescent="0.3">
      <c r="A1157" t="s">
        <v>47</v>
      </c>
      <c r="B1157" t="str">
        <f>"002258"</f>
        <v>002258</v>
      </c>
      <c r="C1157" t="s">
        <v>2590</v>
      </c>
      <c r="D1157" t="s">
        <v>819</v>
      </c>
      <c r="E1157">
        <v>11203104813</v>
      </c>
      <c r="F1157">
        <v>8649503157</v>
      </c>
      <c r="G1157">
        <v>7717093220</v>
      </c>
      <c r="H1157">
        <v>7080156391</v>
      </c>
      <c r="I1157">
        <v>5280280358</v>
      </c>
      <c r="J1157">
        <v>3223658225</v>
      </c>
      <c r="K1157">
        <v>2890013423</v>
      </c>
      <c r="L1157">
        <v>2127143051</v>
      </c>
      <c r="M1157">
        <v>1805298635</v>
      </c>
      <c r="N1157">
        <v>1622850051</v>
      </c>
      <c r="O1157">
        <v>1312017743</v>
      </c>
      <c r="P1157">
        <v>646</v>
      </c>
      <c r="Q1157" t="s">
        <v>2591</v>
      </c>
    </row>
    <row r="1158" spans="1:17" x14ac:dyDescent="0.3">
      <c r="A1158" t="s">
        <v>47</v>
      </c>
      <c r="B1158" t="str">
        <f>"300024"</f>
        <v>300024</v>
      </c>
      <c r="C1158" t="s">
        <v>2592</v>
      </c>
      <c r="D1158" t="s">
        <v>2592</v>
      </c>
      <c r="E1158">
        <v>11174934903</v>
      </c>
      <c r="F1158">
        <v>11121608550</v>
      </c>
      <c r="G1158">
        <v>10052986445</v>
      </c>
      <c r="H1158">
        <v>9586285427</v>
      </c>
      <c r="I1158">
        <v>8801954821</v>
      </c>
      <c r="J1158">
        <v>7315605921</v>
      </c>
      <c r="K1158">
        <v>6576429563</v>
      </c>
      <c r="L1158">
        <v>3385857684</v>
      </c>
      <c r="M1158">
        <v>2520995223</v>
      </c>
      <c r="N1158">
        <v>1924328539</v>
      </c>
      <c r="O1158">
        <v>1606668863</v>
      </c>
      <c r="P1158">
        <v>547</v>
      </c>
      <c r="Q1158" t="s">
        <v>2593</v>
      </c>
    </row>
    <row r="1159" spans="1:17" x14ac:dyDescent="0.3">
      <c r="A1159" t="s">
        <v>47</v>
      </c>
      <c r="B1159" t="str">
        <f>"300147"</f>
        <v>300147</v>
      </c>
      <c r="C1159" t="s">
        <v>2594</v>
      </c>
      <c r="D1159" t="s">
        <v>695</v>
      </c>
      <c r="E1159">
        <v>11170462439</v>
      </c>
      <c r="F1159">
        <v>9878792818</v>
      </c>
      <c r="G1159">
        <v>9556231534</v>
      </c>
      <c r="H1159">
        <v>8773329208</v>
      </c>
      <c r="I1159">
        <v>9254947286</v>
      </c>
      <c r="J1159">
        <v>8830050055</v>
      </c>
      <c r="K1159">
        <v>4693134968</v>
      </c>
      <c r="L1159">
        <v>3541620219</v>
      </c>
      <c r="M1159">
        <v>3556462071</v>
      </c>
      <c r="N1159">
        <v>2967261911</v>
      </c>
      <c r="O1159">
        <v>1963531755</v>
      </c>
      <c r="P1159">
        <v>166</v>
      </c>
      <c r="Q1159" t="s">
        <v>2595</v>
      </c>
    </row>
    <row r="1160" spans="1:17" x14ac:dyDescent="0.3">
      <c r="A1160" t="s">
        <v>47</v>
      </c>
      <c r="B1160" t="str">
        <f>"002630"</f>
        <v>002630</v>
      </c>
      <c r="C1160" t="s">
        <v>2596</v>
      </c>
      <c r="D1160" t="s">
        <v>2181</v>
      </c>
      <c r="E1160">
        <v>11168639058</v>
      </c>
      <c r="F1160">
        <v>12255410841</v>
      </c>
      <c r="G1160">
        <v>13674519031</v>
      </c>
      <c r="H1160">
        <v>15205228782</v>
      </c>
      <c r="I1160">
        <v>14723771631</v>
      </c>
      <c r="J1160">
        <v>12379780157</v>
      </c>
      <c r="K1160">
        <v>9643263072</v>
      </c>
      <c r="L1160">
        <v>7638641237</v>
      </c>
      <c r="M1160">
        <v>6402256499</v>
      </c>
      <c r="N1160">
        <v>4915178537</v>
      </c>
      <c r="O1160">
        <v>3963140726</v>
      </c>
      <c r="P1160">
        <v>109</v>
      </c>
      <c r="Q1160" t="s">
        <v>2597</v>
      </c>
    </row>
    <row r="1161" spans="1:17" x14ac:dyDescent="0.3">
      <c r="A1161" t="s">
        <v>47</v>
      </c>
      <c r="B1161" t="str">
        <f>"000997"</f>
        <v>000997</v>
      </c>
      <c r="C1161" t="s">
        <v>2598</v>
      </c>
      <c r="D1161" t="s">
        <v>765</v>
      </c>
      <c r="E1161">
        <v>11134575671</v>
      </c>
      <c r="F1161">
        <v>11361950072</v>
      </c>
      <c r="G1161">
        <v>11388059504</v>
      </c>
      <c r="H1161">
        <v>11459440083</v>
      </c>
      <c r="I1161">
        <v>10945455195</v>
      </c>
      <c r="J1161">
        <v>6161283952</v>
      </c>
      <c r="K1161">
        <v>4718553346</v>
      </c>
      <c r="L1161">
        <v>3671369277</v>
      </c>
      <c r="M1161">
        <v>3680098149</v>
      </c>
      <c r="N1161">
        <v>3089476276</v>
      </c>
      <c r="O1161">
        <v>2404495779</v>
      </c>
      <c r="P1161">
        <v>581</v>
      </c>
      <c r="Q1161" t="s">
        <v>2599</v>
      </c>
    </row>
    <row r="1162" spans="1:17" x14ac:dyDescent="0.3">
      <c r="A1162" t="s">
        <v>47</v>
      </c>
      <c r="B1162" t="str">
        <f>"002918"</f>
        <v>002918</v>
      </c>
      <c r="C1162" t="s">
        <v>2600</v>
      </c>
      <c r="D1162" t="s">
        <v>2406</v>
      </c>
      <c r="E1162">
        <v>11123907879</v>
      </c>
      <c r="F1162">
        <v>8832921252</v>
      </c>
      <c r="G1162">
        <v>5216187539</v>
      </c>
      <c r="H1162">
        <v>4399443293</v>
      </c>
      <c r="I1162">
        <v>3354631105</v>
      </c>
      <c r="P1162">
        <v>529</v>
      </c>
      <c r="Q1162" t="s">
        <v>2601</v>
      </c>
    </row>
    <row r="1163" spans="1:17" x14ac:dyDescent="0.3">
      <c r="A1163" t="s">
        <v>17</v>
      </c>
      <c r="B1163" t="str">
        <f>"600545"</f>
        <v>600545</v>
      </c>
      <c r="C1163" t="s">
        <v>2602</v>
      </c>
      <c r="D1163" t="s">
        <v>2603</v>
      </c>
      <c r="E1163">
        <v>11108967000</v>
      </c>
      <c r="F1163">
        <v>13428466000</v>
      </c>
      <c r="G1163">
        <v>13644840000</v>
      </c>
      <c r="H1163">
        <v>11789694000</v>
      </c>
      <c r="I1163">
        <v>13731243000</v>
      </c>
      <c r="J1163">
        <v>11091022453</v>
      </c>
      <c r="K1163">
        <v>9868050677</v>
      </c>
      <c r="L1163">
        <v>9359128624</v>
      </c>
      <c r="M1163">
        <v>7843539255</v>
      </c>
      <c r="N1163">
        <v>7604626757</v>
      </c>
      <c r="O1163">
        <v>5284984217</v>
      </c>
      <c r="P1163">
        <v>134</v>
      </c>
      <c r="Q1163" t="s">
        <v>2604</v>
      </c>
    </row>
    <row r="1164" spans="1:17" x14ac:dyDescent="0.3">
      <c r="A1164" t="s">
        <v>17</v>
      </c>
      <c r="B1164" t="str">
        <f>"600570"</f>
        <v>600570</v>
      </c>
      <c r="C1164" t="s">
        <v>2605</v>
      </c>
      <c r="D1164" t="s">
        <v>1859</v>
      </c>
      <c r="E1164">
        <v>11090904187</v>
      </c>
      <c r="F1164">
        <v>8874888552</v>
      </c>
      <c r="G1164">
        <v>7678606714</v>
      </c>
      <c r="H1164">
        <v>6379861764</v>
      </c>
      <c r="I1164">
        <v>5589362338</v>
      </c>
      <c r="J1164">
        <v>4279517058</v>
      </c>
      <c r="K1164">
        <v>3659947005</v>
      </c>
      <c r="L1164">
        <v>3096736637</v>
      </c>
      <c r="M1164">
        <v>2209994147</v>
      </c>
      <c r="N1164">
        <v>1767953601</v>
      </c>
      <c r="O1164">
        <v>1615883694</v>
      </c>
      <c r="P1164">
        <v>2779</v>
      </c>
      <c r="Q1164" t="s">
        <v>2606</v>
      </c>
    </row>
    <row r="1165" spans="1:17" x14ac:dyDescent="0.3">
      <c r="A1165" t="s">
        <v>17</v>
      </c>
      <c r="B1165" t="str">
        <f>"603589"</f>
        <v>603589</v>
      </c>
      <c r="C1165" t="s">
        <v>2607</v>
      </c>
      <c r="D1165" t="s">
        <v>286</v>
      </c>
      <c r="E1165">
        <v>11082698310</v>
      </c>
      <c r="F1165">
        <v>9359655116</v>
      </c>
      <c r="G1165">
        <v>8829135435</v>
      </c>
      <c r="H1165">
        <v>8691813986</v>
      </c>
      <c r="I1165">
        <v>7218685752</v>
      </c>
      <c r="J1165">
        <v>5924862141</v>
      </c>
      <c r="K1165">
        <v>5072249371</v>
      </c>
      <c r="L1165">
        <v>3721632800</v>
      </c>
      <c r="P1165">
        <v>6961</v>
      </c>
      <c r="Q1165" t="s">
        <v>2608</v>
      </c>
    </row>
    <row r="1166" spans="1:17" x14ac:dyDescent="0.3">
      <c r="A1166" t="s">
        <v>17</v>
      </c>
      <c r="B1166" t="str">
        <f>"600375"</f>
        <v>600375</v>
      </c>
      <c r="C1166" t="s">
        <v>2609</v>
      </c>
      <c r="D1166" t="s">
        <v>429</v>
      </c>
      <c r="E1166">
        <v>11071556170</v>
      </c>
      <c r="F1166">
        <v>12950285019</v>
      </c>
      <c r="G1166">
        <v>13032343007</v>
      </c>
      <c r="H1166">
        <v>13752221369</v>
      </c>
      <c r="I1166">
        <v>11272952225</v>
      </c>
      <c r="J1166">
        <v>10553452526</v>
      </c>
      <c r="K1166">
        <v>9044957441</v>
      </c>
      <c r="L1166">
        <v>9282172025</v>
      </c>
      <c r="M1166">
        <v>9078795547</v>
      </c>
      <c r="N1166">
        <v>8296536182</v>
      </c>
      <c r="O1166">
        <v>6774785672</v>
      </c>
      <c r="P1166">
        <v>87</v>
      </c>
      <c r="Q1166" t="s">
        <v>2610</v>
      </c>
    </row>
    <row r="1167" spans="1:17" x14ac:dyDescent="0.3">
      <c r="A1167" t="s">
        <v>17</v>
      </c>
      <c r="B1167" t="str">
        <f>"603733"</f>
        <v>603733</v>
      </c>
      <c r="C1167" t="s">
        <v>2611</v>
      </c>
      <c r="D1167" t="s">
        <v>2612</v>
      </c>
      <c r="E1167">
        <v>11060468623</v>
      </c>
      <c r="F1167">
        <v>8309249328</v>
      </c>
      <c r="G1167">
        <v>7253122537</v>
      </c>
      <c r="H1167">
        <v>5403601652</v>
      </c>
      <c r="I1167">
        <v>5137548802</v>
      </c>
      <c r="P1167">
        <v>233</v>
      </c>
      <c r="Q1167" t="s">
        <v>2613</v>
      </c>
    </row>
    <row r="1168" spans="1:17" x14ac:dyDescent="0.3">
      <c r="A1168" t="s">
        <v>47</v>
      </c>
      <c r="B1168" t="str">
        <f>"000636"</f>
        <v>000636</v>
      </c>
      <c r="C1168" t="s">
        <v>2614</v>
      </c>
      <c r="D1168" t="s">
        <v>1808</v>
      </c>
      <c r="E1168">
        <v>11060241197</v>
      </c>
      <c r="F1168">
        <v>9125217212</v>
      </c>
      <c r="G1168">
        <v>7093636135</v>
      </c>
      <c r="H1168">
        <v>6848791925</v>
      </c>
      <c r="I1168">
        <v>6112845623</v>
      </c>
      <c r="J1168">
        <v>6694696268</v>
      </c>
      <c r="K1168">
        <v>6390760437</v>
      </c>
      <c r="L1168">
        <v>5035168366</v>
      </c>
      <c r="M1168">
        <v>3686911382</v>
      </c>
      <c r="N1168">
        <v>3203213418</v>
      </c>
      <c r="O1168">
        <v>3233153257</v>
      </c>
      <c r="P1168">
        <v>896</v>
      </c>
      <c r="Q1168" t="s">
        <v>2615</v>
      </c>
    </row>
    <row r="1169" spans="1:17" x14ac:dyDescent="0.3">
      <c r="A1169" t="s">
        <v>17</v>
      </c>
      <c r="B1169" t="str">
        <f>"600131"</f>
        <v>600131</v>
      </c>
      <c r="C1169" t="s">
        <v>2616</v>
      </c>
      <c r="D1169" t="s">
        <v>700</v>
      </c>
      <c r="E1169">
        <v>11057685957</v>
      </c>
      <c r="F1169">
        <v>10029468001</v>
      </c>
      <c r="G1169">
        <v>8740427568</v>
      </c>
      <c r="H1169">
        <v>2397416277</v>
      </c>
      <c r="I1169">
        <v>2406085732</v>
      </c>
      <c r="J1169">
        <v>2405876443</v>
      </c>
      <c r="K1169">
        <v>2432599369</v>
      </c>
      <c r="L1169">
        <v>2300212914</v>
      </c>
      <c r="M1169">
        <v>2346192046</v>
      </c>
      <c r="N1169">
        <v>2447857970</v>
      </c>
      <c r="O1169">
        <v>2437988865</v>
      </c>
      <c r="P1169">
        <v>209</v>
      </c>
      <c r="Q1169" t="s">
        <v>2617</v>
      </c>
    </row>
    <row r="1170" spans="1:17" x14ac:dyDescent="0.3">
      <c r="A1170" t="s">
        <v>47</v>
      </c>
      <c r="B1170" t="str">
        <f>"002798"</f>
        <v>002798</v>
      </c>
      <c r="C1170" t="s">
        <v>2618</v>
      </c>
      <c r="D1170" t="s">
        <v>2406</v>
      </c>
      <c r="E1170">
        <v>11052714151</v>
      </c>
      <c r="F1170">
        <v>9077695485</v>
      </c>
      <c r="G1170">
        <v>7311819409</v>
      </c>
      <c r="H1170">
        <v>5888977484</v>
      </c>
      <c r="I1170">
        <v>4576756635</v>
      </c>
      <c r="J1170">
        <v>672314040</v>
      </c>
      <c r="K1170">
        <v>448918700</v>
      </c>
      <c r="P1170">
        <v>374</v>
      </c>
      <c r="Q1170" t="s">
        <v>2619</v>
      </c>
    </row>
    <row r="1171" spans="1:17" x14ac:dyDescent="0.3">
      <c r="A1171" t="s">
        <v>17</v>
      </c>
      <c r="B1171" t="str">
        <f>"600512"</f>
        <v>600512</v>
      </c>
      <c r="C1171" t="s">
        <v>2620</v>
      </c>
      <c r="D1171" t="s">
        <v>84</v>
      </c>
      <c r="E1171">
        <v>11040772944</v>
      </c>
      <c r="F1171">
        <v>10606850176</v>
      </c>
      <c r="G1171">
        <v>9635562926</v>
      </c>
      <c r="H1171">
        <v>11199957088</v>
      </c>
      <c r="I1171">
        <v>10829803885</v>
      </c>
      <c r="J1171">
        <v>7328868992</v>
      </c>
      <c r="K1171">
        <v>5857961610</v>
      </c>
      <c r="L1171">
        <v>5050969821</v>
      </c>
      <c r="M1171">
        <v>5638465270</v>
      </c>
      <c r="N1171">
        <v>4806483412</v>
      </c>
      <c r="O1171">
        <v>4043402074</v>
      </c>
      <c r="P1171">
        <v>161</v>
      </c>
      <c r="Q1171" t="s">
        <v>2621</v>
      </c>
    </row>
    <row r="1172" spans="1:17" x14ac:dyDescent="0.3">
      <c r="A1172" t="s">
        <v>47</v>
      </c>
      <c r="B1172" t="str">
        <f>"301216"</f>
        <v>301216</v>
      </c>
      <c r="C1172" t="s">
        <v>2622</v>
      </c>
      <c r="E1172">
        <v>11023966174</v>
      </c>
      <c r="P1172">
        <v>6</v>
      </c>
      <c r="Q1172" t="s">
        <v>2623</v>
      </c>
    </row>
    <row r="1173" spans="1:17" x14ac:dyDescent="0.3">
      <c r="A1173" t="s">
        <v>47</v>
      </c>
      <c r="B1173" t="str">
        <f>"300182"</f>
        <v>300182</v>
      </c>
      <c r="C1173" t="s">
        <v>2624</v>
      </c>
      <c r="D1173" t="s">
        <v>1673</v>
      </c>
      <c r="E1173">
        <v>11020317138</v>
      </c>
      <c r="F1173">
        <v>10948780329</v>
      </c>
      <c r="G1173">
        <v>12688199276</v>
      </c>
      <c r="H1173">
        <v>16337511402</v>
      </c>
      <c r="I1173">
        <v>15079903408</v>
      </c>
      <c r="J1173">
        <v>12693513093</v>
      </c>
      <c r="K1173">
        <v>10692070674</v>
      </c>
      <c r="L1173">
        <v>2338683067</v>
      </c>
      <c r="M1173">
        <v>1937498863</v>
      </c>
      <c r="N1173">
        <v>1308915952</v>
      </c>
      <c r="O1173">
        <v>1101599052</v>
      </c>
      <c r="P1173">
        <v>514</v>
      </c>
      <c r="Q1173" t="s">
        <v>2625</v>
      </c>
    </row>
    <row r="1174" spans="1:17" x14ac:dyDescent="0.3">
      <c r="A1174" t="s">
        <v>47</v>
      </c>
      <c r="B1174" t="str">
        <f>"002212"</f>
        <v>002212</v>
      </c>
      <c r="C1174" t="s">
        <v>2626</v>
      </c>
      <c r="D1174" t="s">
        <v>1010</v>
      </c>
      <c r="E1174">
        <v>11008613574</v>
      </c>
      <c r="F1174">
        <v>10738022728</v>
      </c>
      <c r="G1174">
        <v>10918641223</v>
      </c>
      <c r="H1174">
        <v>9846028578</v>
      </c>
      <c r="I1174">
        <v>9545544483</v>
      </c>
      <c r="J1174">
        <v>8770659433</v>
      </c>
      <c r="K1174">
        <v>2974912847</v>
      </c>
      <c r="L1174">
        <v>2944356351</v>
      </c>
      <c r="M1174">
        <v>2917153398</v>
      </c>
      <c r="N1174">
        <v>2167177488</v>
      </c>
      <c r="O1174">
        <v>1893132132</v>
      </c>
      <c r="P1174">
        <v>249</v>
      </c>
      <c r="Q1174" t="s">
        <v>2627</v>
      </c>
    </row>
    <row r="1175" spans="1:17" x14ac:dyDescent="0.3">
      <c r="A1175" t="s">
        <v>47</v>
      </c>
      <c r="B1175" t="str">
        <f>"000599"</f>
        <v>000599</v>
      </c>
      <c r="C1175" t="s">
        <v>2628</v>
      </c>
      <c r="D1175" t="s">
        <v>1102</v>
      </c>
      <c r="E1175">
        <v>10974519023</v>
      </c>
      <c r="F1175">
        <v>10082453938</v>
      </c>
      <c r="G1175">
        <v>10133046234</v>
      </c>
      <c r="H1175">
        <v>9167269444</v>
      </c>
      <c r="I1175">
        <v>9460949996</v>
      </c>
      <c r="J1175">
        <v>8119730988</v>
      </c>
      <c r="K1175">
        <v>7056909432</v>
      </c>
      <c r="L1175">
        <v>5430706557</v>
      </c>
      <c r="M1175">
        <v>4663948052</v>
      </c>
      <c r="N1175">
        <v>5067513668</v>
      </c>
      <c r="O1175">
        <v>5249308114</v>
      </c>
      <c r="P1175">
        <v>119</v>
      </c>
      <c r="Q1175" t="s">
        <v>2629</v>
      </c>
    </row>
    <row r="1176" spans="1:17" x14ac:dyDescent="0.3">
      <c r="A1176" t="s">
        <v>17</v>
      </c>
      <c r="B1176" t="str">
        <f>"603899"</f>
        <v>603899</v>
      </c>
      <c r="C1176" t="s">
        <v>2630</v>
      </c>
      <c r="D1176" t="s">
        <v>2631</v>
      </c>
      <c r="E1176">
        <v>10968552971</v>
      </c>
      <c r="F1176">
        <v>9713199097</v>
      </c>
      <c r="G1176">
        <v>6929848301</v>
      </c>
      <c r="H1176">
        <v>5588252398</v>
      </c>
      <c r="I1176">
        <v>4327127249</v>
      </c>
      <c r="J1176">
        <v>3511941336</v>
      </c>
      <c r="K1176">
        <v>2983774981</v>
      </c>
      <c r="L1176">
        <v>2585057750</v>
      </c>
      <c r="P1176">
        <v>25827</v>
      </c>
      <c r="Q1176" t="s">
        <v>2632</v>
      </c>
    </row>
    <row r="1177" spans="1:17" x14ac:dyDescent="0.3">
      <c r="A1177" t="s">
        <v>47</v>
      </c>
      <c r="B1177" t="str">
        <f>"002276"</f>
        <v>002276</v>
      </c>
      <c r="C1177" t="s">
        <v>2633</v>
      </c>
      <c r="D1177" t="s">
        <v>1616</v>
      </c>
      <c r="E1177">
        <v>10965048044</v>
      </c>
      <c r="F1177">
        <v>7990125085</v>
      </c>
      <c r="G1177">
        <v>7314621770</v>
      </c>
      <c r="H1177">
        <v>7429050545</v>
      </c>
      <c r="I1177">
        <v>6884339747</v>
      </c>
      <c r="J1177">
        <v>4968972049</v>
      </c>
      <c r="K1177">
        <v>4825482990</v>
      </c>
      <c r="L1177">
        <v>4323155061</v>
      </c>
      <c r="M1177">
        <v>3905085920</v>
      </c>
      <c r="N1177">
        <v>3783361012</v>
      </c>
      <c r="O1177">
        <v>2292766085</v>
      </c>
      <c r="P1177">
        <v>255</v>
      </c>
      <c r="Q1177" t="s">
        <v>2634</v>
      </c>
    </row>
    <row r="1178" spans="1:17" x14ac:dyDescent="0.3">
      <c r="A1178" t="s">
        <v>17</v>
      </c>
      <c r="B1178" t="str">
        <f>"600586"</f>
        <v>600586</v>
      </c>
      <c r="C1178" t="s">
        <v>2635</v>
      </c>
      <c r="D1178" t="s">
        <v>1635</v>
      </c>
      <c r="E1178">
        <v>10965036800</v>
      </c>
      <c r="F1178">
        <v>10311099909</v>
      </c>
      <c r="G1178">
        <v>9331145544</v>
      </c>
      <c r="H1178">
        <v>9893144151</v>
      </c>
      <c r="I1178">
        <v>9550532947</v>
      </c>
      <c r="J1178">
        <v>9826960554</v>
      </c>
      <c r="K1178">
        <v>9608308158</v>
      </c>
      <c r="L1178">
        <v>9408866251</v>
      </c>
      <c r="M1178">
        <v>8861862798</v>
      </c>
      <c r="N1178">
        <v>8526484944</v>
      </c>
      <c r="O1178">
        <v>8227971529</v>
      </c>
      <c r="P1178">
        <v>245</v>
      </c>
      <c r="Q1178" t="s">
        <v>2636</v>
      </c>
    </row>
    <row r="1179" spans="1:17" x14ac:dyDescent="0.3">
      <c r="A1179" t="s">
        <v>47</v>
      </c>
      <c r="B1179" t="str">
        <f>"000735"</f>
        <v>000735</v>
      </c>
      <c r="C1179" t="s">
        <v>2637</v>
      </c>
      <c r="D1179" t="s">
        <v>354</v>
      </c>
      <c r="E1179">
        <v>10954243384</v>
      </c>
      <c r="F1179">
        <v>8569600806</v>
      </c>
      <c r="G1179">
        <v>6902984969</v>
      </c>
      <c r="H1179">
        <v>6250323000</v>
      </c>
      <c r="I1179">
        <v>6480922200</v>
      </c>
      <c r="J1179">
        <v>5870960499</v>
      </c>
      <c r="K1179">
        <v>6199649670</v>
      </c>
      <c r="L1179">
        <v>4170383978</v>
      </c>
      <c r="M1179">
        <v>4260738569</v>
      </c>
      <c r="N1179">
        <v>4514577058</v>
      </c>
      <c r="O1179">
        <v>3628938487</v>
      </c>
      <c r="P1179">
        <v>290</v>
      </c>
      <c r="Q1179" t="s">
        <v>2638</v>
      </c>
    </row>
    <row r="1180" spans="1:17" x14ac:dyDescent="0.3">
      <c r="A1180" t="s">
        <v>17</v>
      </c>
      <c r="B1180" t="str">
        <f>"688180"</f>
        <v>688180</v>
      </c>
      <c r="C1180" t="s">
        <v>2639</v>
      </c>
      <c r="D1180" t="s">
        <v>1480</v>
      </c>
      <c r="E1180">
        <v>10953222269</v>
      </c>
      <c r="F1180">
        <v>8552401129</v>
      </c>
      <c r="H1180">
        <v>4415774690</v>
      </c>
      <c r="P1180">
        <v>206</v>
      </c>
      <c r="Q1180" t="s">
        <v>2640</v>
      </c>
    </row>
    <row r="1181" spans="1:17" x14ac:dyDescent="0.3">
      <c r="A1181" t="s">
        <v>17</v>
      </c>
      <c r="B1181" t="str">
        <f>"603087"</f>
        <v>603087</v>
      </c>
      <c r="C1181" t="s">
        <v>2641</v>
      </c>
      <c r="D1181" t="s">
        <v>1480</v>
      </c>
      <c r="E1181">
        <v>10917097240</v>
      </c>
      <c r="F1181">
        <v>9647480925</v>
      </c>
      <c r="G1181">
        <v>6004084983</v>
      </c>
      <c r="P1181">
        <v>677</v>
      </c>
      <c r="Q1181" t="s">
        <v>2642</v>
      </c>
    </row>
    <row r="1182" spans="1:17" x14ac:dyDescent="0.3">
      <c r="A1182" t="s">
        <v>47</v>
      </c>
      <c r="B1182" t="str">
        <f>"000536"</f>
        <v>000536</v>
      </c>
      <c r="C1182" t="s">
        <v>2643</v>
      </c>
      <c r="D1182" t="s">
        <v>181</v>
      </c>
      <c r="E1182">
        <v>10912891493</v>
      </c>
      <c r="F1182">
        <v>12476838144</v>
      </c>
      <c r="G1182">
        <v>13703149581</v>
      </c>
      <c r="H1182">
        <v>17897377932</v>
      </c>
      <c r="I1182">
        <v>22223815914</v>
      </c>
      <c r="J1182">
        <v>19500370236</v>
      </c>
      <c r="K1182">
        <v>9490664819</v>
      </c>
      <c r="L1182">
        <v>10282937376</v>
      </c>
      <c r="M1182">
        <v>10398878823</v>
      </c>
      <c r="N1182">
        <v>6546819116</v>
      </c>
      <c r="O1182">
        <v>4646605856</v>
      </c>
      <c r="P1182">
        <v>142</v>
      </c>
      <c r="Q1182" t="s">
        <v>2644</v>
      </c>
    </row>
    <row r="1183" spans="1:17" x14ac:dyDescent="0.3">
      <c r="A1183" t="s">
        <v>47</v>
      </c>
      <c r="B1183" t="str">
        <f>"300080"</f>
        <v>300080</v>
      </c>
      <c r="C1183" t="s">
        <v>2645</v>
      </c>
      <c r="D1183" t="s">
        <v>2646</v>
      </c>
      <c r="E1183">
        <v>10903784245</v>
      </c>
      <c r="F1183">
        <v>9108234092</v>
      </c>
      <c r="G1183">
        <v>8925615820</v>
      </c>
      <c r="H1183">
        <v>4830190569</v>
      </c>
      <c r="I1183">
        <v>6836170473</v>
      </c>
      <c r="J1183">
        <v>6625186158</v>
      </c>
      <c r="K1183">
        <v>5563079530</v>
      </c>
      <c r="L1183">
        <v>5654453393</v>
      </c>
      <c r="M1183">
        <v>5188504363</v>
      </c>
      <c r="N1183">
        <v>2990009061</v>
      </c>
      <c r="O1183">
        <v>2533281008</v>
      </c>
      <c r="P1183">
        <v>111</v>
      </c>
      <c r="Q1183" t="s">
        <v>2647</v>
      </c>
    </row>
    <row r="1184" spans="1:17" x14ac:dyDescent="0.3">
      <c r="A1184" t="s">
        <v>47</v>
      </c>
      <c r="B1184" t="str">
        <f>"000546"</f>
        <v>000546</v>
      </c>
      <c r="C1184" t="s">
        <v>2648</v>
      </c>
      <c r="D1184" t="s">
        <v>253</v>
      </c>
      <c r="E1184">
        <v>10903590869</v>
      </c>
      <c r="F1184">
        <v>9834252232</v>
      </c>
      <c r="G1184">
        <v>9074239278</v>
      </c>
      <c r="H1184">
        <v>8227640146</v>
      </c>
      <c r="I1184">
        <v>7916889020</v>
      </c>
      <c r="J1184">
        <v>4877808133</v>
      </c>
      <c r="K1184">
        <v>4520422773</v>
      </c>
      <c r="L1184">
        <v>4067193078</v>
      </c>
      <c r="M1184">
        <v>268161907</v>
      </c>
      <c r="N1184">
        <v>427041301</v>
      </c>
      <c r="O1184">
        <v>351152079</v>
      </c>
      <c r="P1184">
        <v>181</v>
      </c>
      <c r="Q1184" t="s">
        <v>2649</v>
      </c>
    </row>
    <row r="1185" spans="1:17" x14ac:dyDescent="0.3">
      <c r="A1185" t="s">
        <v>47</v>
      </c>
      <c r="B1185" t="str">
        <f>"002191"</f>
        <v>002191</v>
      </c>
      <c r="C1185" t="s">
        <v>2650</v>
      </c>
      <c r="D1185" t="s">
        <v>1842</v>
      </c>
      <c r="E1185">
        <v>10892288091</v>
      </c>
      <c r="F1185">
        <v>10640740974</v>
      </c>
      <c r="G1185">
        <v>8820022746</v>
      </c>
      <c r="H1185">
        <v>8302311193</v>
      </c>
      <c r="I1185">
        <v>8263035732</v>
      </c>
      <c r="J1185">
        <v>6246173412</v>
      </c>
      <c r="K1185">
        <v>6168777490</v>
      </c>
      <c r="L1185">
        <v>5155130541</v>
      </c>
      <c r="M1185">
        <v>4516061363</v>
      </c>
      <c r="N1185">
        <v>4304510219</v>
      </c>
      <c r="O1185">
        <v>3962172100</v>
      </c>
      <c r="P1185">
        <v>6347</v>
      </c>
      <c r="Q1185" t="s">
        <v>2651</v>
      </c>
    </row>
    <row r="1186" spans="1:17" x14ac:dyDescent="0.3">
      <c r="A1186" t="s">
        <v>47</v>
      </c>
      <c r="B1186" t="str">
        <f>"300017"</f>
        <v>300017</v>
      </c>
      <c r="C1186" t="s">
        <v>2652</v>
      </c>
      <c r="D1186" t="s">
        <v>700</v>
      </c>
      <c r="E1186">
        <v>10853737748</v>
      </c>
      <c r="F1186">
        <v>10249090858</v>
      </c>
      <c r="G1186">
        <v>10363111556</v>
      </c>
      <c r="H1186">
        <v>13274910202</v>
      </c>
      <c r="I1186">
        <v>10811405319</v>
      </c>
      <c r="J1186">
        <v>9175923315</v>
      </c>
      <c r="K1186">
        <v>7271838587</v>
      </c>
      <c r="L1186">
        <v>2153155218</v>
      </c>
      <c r="M1186">
        <v>1462853730</v>
      </c>
      <c r="N1186">
        <v>1029215367</v>
      </c>
      <c r="O1186">
        <v>832969628</v>
      </c>
      <c r="P1186">
        <v>759</v>
      </c>
      <c r="Q1186" t="s">
        <v>2653</v>
      </c>
    </row>
    <row r="1187" spans="1:17" x14ac:dyDescent="0.3">
      <c r="A1187" t="s">
        <v>17</v>
      </c>
      <c r="B1187" t="str">
        <f>"600151"</f>
        <v>600151</v>
      </c>
      <c r="C1187" t="s">
        <v>2654</v>
      </c>
      <c r="D1187" t="s">
        <v>664</v>
      </c>
      <c r="E1187">
        <v>10814472248</v>
      </c>
      <c r="F1187">
        <v>10728357036</v>
      </c>
      <c r="G1187">
        <v>10523785700</v>
      </c>
      <c r="H1187">
        <v>11223047185</v>
      </c>
      <c r="I1187">
        <v>14414822520</v>
      </c>
      <c r="J1187">
        <v>13243843061</v>
      </c>
      <c r="K1187">
        <v>12598537210</v>
      </c>
      <c r="L1187">
        <v>8877186880</v>
      </c>
      <c r="M1187">
        <v>8029567224</v>
      </c>
      <c r="N1187">
        <v>7183772943</v>
      </c>
      <c r="O1187">
        <v>10071894305</v>
      </c>
      <c r="P1187">
        <v>165</v>
      </c>
      <c r="Q1187" t="s">
        <v>2655</v>
      </c>
    </row>
    <row r="1188" spans="1:17" x14ac:dyDescent="0.3">
      <c r="A1188" t="s">
        <v>47</v>
      </c>
      <c r="B1188" t="str">
        <f>"002497"</f>
        <v>002497</v>
      </c>
      <c r="C1188" t="s">
        <v>2656</v>
      </c>
      <c r="D1188" t="s">
        <v>1995</v>
      </c>
      <c r="E1188">
        <v>10800434740</v>
      </c>
      <c r="F1188">
        <v>7216701290</v>
      </c>
      <c r="G1188">
        <v>5143829680</v>
      </c>
      <c r="H1188">
        <v>4809616280</v>
      </c>
      <c r="I1188">
        <v>4549451441</v>
      </c>
      <c r="J1188">
        <v>3350177754</v>
      </c>
      <c r="K1188">
        <v>2946601623</v>
      </c>
      <c r="L1188">
        <v>2961577102</v>
      </c>
      <c r="M1188">
        <v>2808415895</v>
      </c>
      <c r="N1188">
        <v>2424677601</v>
      </c>
      <c r="O1188">
        <v>2077601008</v>
      </c>
      <c r="P1188">
        <v>481</v>
      </c>
      <c r="Q1188" t="s">
        <v>2657</v>
      </c>
    </row>
    <row r="1189" spans="1:17" x14ac:dyDescent="0.3">
      <c r="A1189" t="s">
        <v>47</v>
      </c>
      <c r="B1189" t="str">
        <f>"002312"</f>
        <v>002312</v>
      </c>
      <c r="C1189" t="s">
        <v>2658</v>
      </c>
      <c r="D1189" t="s">
        <v>760</v>
      </c>
      <c r="E1189">
        <v>10800340127</v>
      </c>
      <c r="F1189">
        <v>9262561222</v>
      </c>
      <c r="G1189">
        <v>7282840554</v>
      </c>
      <c r="H1189">
        <v>3432446257</v>
      </c>
      <c r="I1189">
        <v>3686115958</v>
      </c>
      <c r="J1189">
        <v>4592576481</v>
      </c>
      <c r="K1189">
        <v>6487946537</v>
      </c>
      <c r="L1189">
        <v>2577371562</v>
      </c>
      <c r="M1189">
        <v>1809220250</v>
      </c>
      <c r="N1189">
        <v>1375165407</v>
      </c>
      <c r="O1189">
        <v>988455933</v>
      </c>
      <c r="P1189">
        <v>249</v>
      </c>
      <c r="Q1189" t="s">
        <v>2659</v>
      </c>
    </row>
    <row r="1190" spans="1:17" x14ac:dyDescent="0.3">
      <c r="A1190" t="s">
        <v>47</v>
      </c>
      <c r="B1190" t="str">
        <f>"000680"</f>
        <v>000680</v>
      </c>
      <c r="C1190" t="s">
        <v>2660</v>
      </c>
      <c r="D1190" t="s">
        <v>429</v>
      </c>
      <c r="E1190">
        <v>10789890493</v>
      </c>
      <c r="F1190">
        <v>10295170711</v>
      </c>
      <c r="G1190">
        <v>9294498702</v>
      </c>
      <c r="H1190">
        <v>9712098783</v>
      </c>
      <c r="I1190">
        <v>10143333494</v>
      </c>
      <c r="J1190">
        <v>9721767031</v>
      </c>
      <c r="K1190">
        <v>9543644276</v>
      </c>
      <c r="L1190">
        <v>10837546049</v>
      </c>
      <c r="M1190">
        <v>12458990961</v>
      </c>
      <c r="N1190">
        <v>14202325423</v>
      </c>
      <c r="O1190">
        <v>14752091542</v>
      </c>
      <c r="P1190">
        <v>120</v>
      </c>
      <c r="Q1190" t="s">
        <v>2661</v>
      </c>
    </row>
    <row r="1191" spans="1:17" x14ac:dyDescent="0.3">
      <c r="A1191" t="s">
        <v>47</v>
      </c>
      <c r="B1191" t="str">
        <f>"300773"</f>
        <v>300773</v>
      </c>
      <c r="C1191" t="s">
        <v>2662</v>
      </c>
      <c r="D1191" t="s">
        <v>2663</v>
      </c>
      <c r="E1191">
        <v>10772652420</v>
      </c>
      <c r="F1191">
        <v>11372868954</v>
      </c>
      <c r="G1191">
        <v>9904486486</v>
      </c>
      <c r="H1191">
        <v>5064022539</v>
      </c>
      <c r="P1191">
        <v>472</v>
      </c>
      <c r="Q1191" t="s">
        <v>2664</v>
      </c>
    </row>
    <row r="1192" spans="1:17" x14ac:dyDescent="0.3">
      <c r="A1192" t="s">
        <v>47</v>
      </c>
      <c r="B1192" t="str">
        <f>"002029"</f>
        <v>002029</v>
      </c>
      <c r="C1192" t="s">
        <v>2665</v>
      </c>
      <c r="D1192" t="s">
        <v>628</v>
      </c>
      <c r="E1192">
        <v>10747359849</v>
      </c>
      <c r="F1192">
        <v>9320339303</v>
      </c>
      <c r="G1192">
        <v>9688789566</v>
      </c>
      <c r="H1192">
        <v>8658190394</v>
      </c>
      <c r="I1192">
        <v>8493895741</v>
      </c>
      <c r="J1192">
        <v>7844804048</v>
      </c>
      <c r="K1192">
        <v>7173075614</v>
      </c>
      <c r="L1192">
        <v>6884817876</v>
      </c>
      <c r="M1192">
        <v>6828299539</v>
      </c>
      <c r="N1192">
        <v>5939249074</v>
      </c>
      <c r="O1192">
        <v>3226111758</v>
      </c>
      <c r="P1192">
        <v>217</v>
      </c>
      <c r="Q1192" t="s">
        <v>2666</v>
      </c>
    </row>
    <row r="1193" spans="1:17" x14ac:dyDescent="0.3">
      <c r="A1193" t="s">
        <v>17</v>
      </c>
      <c r="B1193" t="str">
        <f>"688111"</f>
        <v>688111</v>
      </c>
      <c r="C1193" t="s">
        <v>2667</v>
      </c>
      <c r="D1193" t="s">
        <v>1010</v>
      </c>
      <c r="E1193">
        <v>10701665088</v>
      </c>
      <c r="F1193">
        <v>8871988714</v>
      </c>
      <c r="G1193">
        <v>6957055080</v>
      </c>
      <c r="H1193">
        <v>1644965759</v>
      </c>
      <c r="P1193">
        <v>964</v>
      </c>
      <c r="Q1193" t="s">
        <v>2668</v>
      </c>
    </row>
    <row r="1194" spans="1:17" x14ac:dyDescent="0.3">
      <c r="A1194" t="s">
        <v>17</v>
      </c>
      <c r="B1194" t="str">
        <f>"603300"</f>
        <v>603300</v>
      </c>
      <c r="C1194" t="s">
        <v>2669</v>
      </c>
      <c r="D1194" t="s">
        <v>293</v>
      </c>
      <c r="E1194">
        <v>10693423065</v>
      </c>
      <c r="F1194">
        <v>7456189421</v>
      </c>
      <c r="G1194">
        <v>5184685395</v>
      </c>
      <c r="H1194">
        <v>5966421872</v>
      </c>
      <c r="I1194">
        <v>5977075017</v>
      </c>
      <c r="J1194">
        <v>4636531512</v>
      </c>
      <c r="K1194">
        <v>2982494116</v>
      </c>
      <c r="L1194">
        <v>1107595232</v>
      </c>
      <c r="P1194">
        <v>123</v>
      </c>
      <c r="Q1194" t="s">
        <v>2670</v>
      </c>
    </row>
    <row r="1195" spans="1:17" x14ac:dyDescent="0.3">
      <c r="A1195" t="s">
        <v>47</v>
      </c>
      <c r="B1195" t="str">
        <f>"002326"</f>
        <v>002326</v>
      </c>
      <c r="C1195" t="s">
        <v>2671</v>
      </c>
      <c r="D1195" t="s">
        <v>1796</v>
      </c>
      <c r="E1195">
        <v>10673567609</v>
      </c>
      <c r="F1195">
        <v>8054641806</v>
      </c>
      <c r="G1195">
        <v>6756527876</v>
      </c>
      <c r="H1195">
        <v>6856397401</v>
      </c>
      <c r="I1195">
        <v>5915269176</v>
      </c>
      <c r="J1195">
        <v>5533084350</v>
      </c>
      <c r="K1195">
        <v>3555635286</v>
      </c>
      <c r="L1195">
        <v>2532215007</v>
      </c>
      <c r="M1195">
        <v>1975308357</v>
      </c>
      <c r="N1195">
        <v>1946497284</v>
      </c>
      <c r="O1195">
        <v>1727927005</v>
      </c>
      <c r="P1195">
        <v>298</v>
      </c>
      <c r="Q1195" t="s">
        <v>2672</v>
      </c>
    </row>
    <row r="1196" spans="1:17" x14ac:dyDescent="0.3">
      <c r="A1196" t="s">
        <v>17</v>
      </c>
      <c r="B1196" t="str">
        <f>"600846"</f>
        <v>600846</v>
      </c>
      <c r="C1196" t="s">
        <v>2673</v>
      </c>
      <c r="D1196" t="s">
        <v>76</v>
      </c>
      <c r="E1196">
        <v>10671363695</v>
      </c>
      <c r="F1196">
        <v>10211070793</v>
      </c>
      <c r="G1196">
        <v>12617360407</v>
      </c>
      <c r="H1196">
        <v>13050362327</v>
      </c>
      <c r="I1196">
        <v>10409123170</v>
      </c>
      <c r="J1196">
        <v>9507121494</v>
      </c>
      <c r="K1196">
        <v>8841103371</v>
      </c>
      <c r="L1196">
        <v>6600500249</v>
      </c>
      <c r="M1196">
        <v>7120428303</v>
      </c>
      <c r="N1196">
        <v>7015037098</v>
      </c>
      <c r="O1196">
        <v>6405848306</v>
      </c>
      <c r="P1196">
        <v>357</v>
      </c>
      <c r="Q1196" t="s">
        <v>2674</v>
      </c>
    </row>
    <row r="1197" spans="1:17" x14ac:dyDescent="0.3">
      <c r="A1197" t="s">
        <v>17</v>
      </c>
      <c r="B1197" t="str">
        <f>"603486"</f>
        <v>603486</v>
      </c>
      <c r="C1197" t="s">
        <v>2675</v>
      </c>
      <c r="D1197" t="s">
        <v>2676</v>
      </c>
      <c r="E1197">
        <v>10657281047</v>
      </c>
      <c r="F1197">
        <v>6748264318</v>
      </c>
      <c r="G1197">
        <v>3832611530</v>
      </c>
      <c r="H1197">
        <v>3894032199</v>
      </c>
      <c r="I1197">
        <v>2583008300</v>
      </c>
      <c r="P1197">
        <v>833</v>
      </c>
      <c r="Q1197" t="s">
        <v>2677</v>
      </c>
    </row>
    <row r="1198" spans="1:17" x14ac:dyDescent="0.3">
      <c r="A1198" t="s">
        <v>47</v>
      </c>
      <c r="B1198" t="str">
        <f>"000657"</f>
        <v>000657</v>
      </c>
      <c r="C1198" t="s">
        <v>2678</v>
      </c>
      <c r="D1198" t="s">
        <v>1097</v>
      </c>
      <c r="E1198">
        <v>10629912654</v>
      </c>
      <c r="F1198">
        <v>9744080801</v>
      </c>
      <c r="G1198">
        <v>8228708702</v>
      </c>
      <c r="H1198">
        <v>7683698324</v>
      </c>
      <c r="I1198">
        <v>7632233390</v>
      </c>
      <c r="J1198">
        <v>6793316570</v>
      </c>
      <c r="K1198">
        <v>6769540352</v>
      </c>
      <c r="L1198">
        <v>8032921428</v>
      </c>
      <c r="M1198">
        <v>10217268641</v>
      </c>
      <c r="N1198">
        <v>383409144</v>
      </c>
      <c r="O1198">
        <v>456353917</v>
      </c>
      <c r="P1198">
        <v>177</v>
      </c>
      <c r="Q1198" t="s">
        <v>2679</v>
      </c>
    </row>
    <row r="1199" spans="1:17" x14ac:dyDescent="0.3">
      <c r="A1199" t="s">
        <v>47</v>
      </c>
      <c r="B1199" t="str">
        <f>"000056"</f>
        <v>000056</v>
      </c>
      <c r="C1199" t="s">
        <v>2680</v>
      </c>
      <c r="D1199" t="s">
        <v>1988</v>
      </c>
      <c r="E1199">
        <v>10625018630</v>
      </c>
      <c r="F1199">
        <v>12061306834</v>
      </c>
      <c r="G1199">
        <v>12403956884</v>
      </c>
      <c r="H1199">
        <v>13189286048</v>
      </c>
      <c r="I1199">
        <v>14137354742</v>
      </c>
      <c r="J1199">
        <v>10769394940</v>
      </c>
      <c r="K1199">
        <v>8393698902</v>
      </c>
      <c r="L1199">
        <v>7879674008</v>
      </c>
      <c r="M1199">
        <v>9053896740</v>
      </c>
      <c r="N1199">
        <v>2079218205</v>
      </c>
      <c r="O1199">
        <v>1774567088</v>
      </c>
      <c r="P1199">
        <v>100</v>
      </c>
      <c r="Q1199" t="s">
        <v>2681</v>
      </c>
    </row>
    <row r="1200" spans="1:17" x14ac:dyDescent="0.3">
      <c r="A1200" t="s">
        <v>47</v>
      </c>
      <c r="B1200" t="str">
        <f>"002920"</f>
        <v>002920</v>
      </c>
      <c r="C1200" t="s">
        <v>2682</v>
      </c>
      <c r="D1200" t="s">
        <v>1859</v>
      </c>
      <c r="E1200">
        <v>10622990467</v>
      </c>
      <c r="F1200">
        <v>7660737925</v>
      </c>
      <c r="G1200">
        <v>5876892321</v>
      </c>
      <c r="H1200">
        <v>5649755242</v>
      </c>
      <c r="I1200">
        <v>5726678483</v>
      </c>
      <c r="P1200">
        <v>688</v>
      </c>
      <c r="Q1200" t="s">
        <v>2683</v>
      </c>
    </row>
    <row r="1201" spans="1:17" x14ac:dyDescent="0.3">
      <c r="A1201" t="s">
        <v>17</v>
      </c>
      <c r="B1201" t="str">
        <f>"600246"</f>
        <v>600246</v>
      </c>
      <c r="C1201" t="s">
        <v>2684</v>
      </c>
      <c r="D1201" t="s">
        <v>76</v>
      </c>
      <c r="E1201">
        <v>10609095968</v>
      </c>
      <c r="F1201">
        <v>11095541845</v>
      </c>
      <c r="G1201">
        <v>12348575654</v>
      </c>
      <c r="H1201">
        <v>12771411505</v>
      </c>
      <c r="I1201">
        <v>12803819976</v>
      </c>
      <c r="J1201">
        <v>13877783224</v>
      </c>
      <c r="K1201">
        <v>13310154484</v>
      </c>
      <c r="L1201">
        <v>13319904283</v>
      </c>
      <c r="M1201">
        <v>12132070753</v>
      </c>
      <c r="N1201">
        <v>10463740723</v>
      </c>
      <c r="O1201">
        <v>10934458072</v>
      </c>
      <c r="P1201">
        <v>122</v>
      </c>
      <c r="Q1201" t="s">
        <v>2685</v>
      </c>
    </row>
    <row r="1202" spans="1:17" x14ac:dyDescent="0.3">
      <c r="A1202" t="s">
        <v>47</v>
      </c>
      <c r="B1202" t="str">
        <f>"002138"</f>
        <v>002138</v>
      </c>
      <c r="C1202" t="s">
        <v>2686</v>
      </c>
      <c r="D1202" t="s">
        <v>1808</v>
      </c>
      <c r="E1202">
        <v>10552814908</v>
      </c>
      <c r="F1202">
        <v>7979603655</v>
      </c>
      <c r="G1202">
        <v>6204693422</v>
      </c>
      <c r="H1202">
        <v>5410960691</v>
      </c>
      <c r="I1202">
        <v>4835047544</v>
      </c>
      <c r="J1202">
        <v>4114423461</v>
      </c>
      <c r="K1202">
        <v>3454509867</v>
      </c>
      <c r="L1202">
        <v>2824894873</v>
      </c>
      <c r="M1202">
        <v>2190414412</v>
      </c>
      <c r="N1202">
        <v>1675323487</v>
      </c>
      <c r="O1202">
        <v>1381216568</v>
      </c>
      <c r="P1202">
        <v>1065</v>
      </c>
      <c r="Q1202" t="s">
        <v>2687</v>
      </c>
    </row>
    <row r="1203" spans="1:17" x14ac:dyDescent="0.3">
      <c r="A1203" t="s">
        <v>47</v>
      </c>
      <c r="B1203" t="str">
        <f>"000970"</f>
        <v>000970</v>
      </c>
      <c r="C1203" t="s">
        <v>2688</v>
      </c>
      <c r="D1203" t="s">
        <v>2108</v>
      </c>
      <c r="E1203">
        <v>10552639891</v>
      </c>
      <c r="F1203">
        <v>7245635348</v>
      </c>
      <c r="G1203">
        <v>6556488172</v>
      </c>
      <c r="H1203">
        <v>6376717297</v>
      </c>
      <c r="I1203">
        <v>6099333893</v>
      </c>
      <c r="J1203">
        <v>5708358331</v>
      </c>
      <c r="K1203">
        <v>5349219760</v>
      </c>
      <c r="L1203">
        <v>5216057917</v>
      </c>
      <c r="M1203">
        <v>5337842534</v>
      </c>
      <c r="N1203">
        <v>5047978236</v>
      </c>
      <c r="O1203">
        <v>4885763408</v>
      </c>
      <c r="P1203">
        <v>364</v>
      </c>
      <c r="Q1203" t="s">
        <v>2689</v>
      </c>
    </row>
    <row r="1204" spans="1:17" x14ac:dyDescent="0.3">
      <c r="A1204" t="s">
        <v>17</v>
      </c>
      <c r="B1204" t="str">
        <f>"600399"</f>
        <v>600399</v>
      </c>
      <c r="C1204" t="s">
        <v>2690</v>
      </c>
      <c r="D1204" t="s">
        <v>555</v>
      </c>
      <c r="E1204">
        <v>10550413988</v>
      </c>
      <c r="F1204">
        <v>9571118502</v>
      </c>
      <c r="G1204">
        <v>8636049298</v>
      </c>
      <c r="H1204">
        <v>8169605264</v>
      </c>
      <c r="I1204">
        <v>9135357776</v>
      </c>
      <c r="J1204">
        <v>12549256073</v>
      </c>
      <c r="K1204">
        <v>12899758768</v>
      </c>
      <c r="L1204">
        <v>12369798508</v>
      </c>
      <c r="M1204">
        <v>11729256287</v>
      </c>
      <c r="N1204">
        <v>10761243922</v>
      </c>
      <c r="O1204">
        <v>8177274060</v>
      </c>
      <c r="P1204">
        <v>256</v>
      </c>
      <c r="Q1204" t="s">
        <v>2691</v>
      </c>
    </row>
    <row r="1205" spans="1:17" x14ac:dyDescent="0.3">
      <c r="A1205" t="s">
        <v>47</v>
      </c>
      <c r="B1205" t="str">
        <f>"000629"</f>
        <v>000629</v>
      </c>
      <c r="C1205" t="s">
        <v>2692</v>
      </c>
      <c r="D1205" t="s">
        <v>887</v>
      </c>
      <c r="E1205">
        <v>10544682789</v>
      </c>
      <c r="F1205">
        <v>11868916285</v>
      </c>
      <c r="G1205">
        <v>12645592509</v>
      </c>
      <c r="H1205">
        <v>12995127629</v>
      </c>
      <c r="I1205">
        <v>10359015292</v>
      </c>
      <c r="J1205">
        <v>9439278027</v>
      </c>
      <c r="K1205">
        <v>56765740660</v>
      </c>
      <c r="L1205">
        <v>52420952982</v>
      </c>
      <c r="M1205">
        <v>38223973529</v>
      </c>
      <c r="N1205">
        <v>33439938822</v>
      </c>
      <c r="O1205">
        <v>35034577327</v>
      </c>
      <c r="P1205">
        <v>335</v>
      </c>
      <c r="Q1205" t="s">
        <v>2693</v>
      </c>
    </row>
    <row r="1206" spans="1:17" x14ac:dyDescent="0.3">
      <c r="A1206" t="s">
        <v>17</v>
      </c>
      <c r="B1206" t="str">
        <f>"603308"</f>
        <v>603308</v>
      </c>
      <c r="C1206" t="s">
        <v>2694</v>
      </c>
      <c r="D1206" t="s">
        <v>401</v>
      </c>
      <c r="E1206">
        <v>10540350500</v>
      </c>
      <c r="F1206">
        <v>8765259787</v>
      </c>
      <c r="G1206">
        <v>8038519475</v>
      </c>
      <c r="H1206">
        <v>7640819709</v>
      </c>
      <c r="I1206">
        <v>6886062652</v>
      </c>
      <c r="J1206">
        <v>6593960448</v>
      </c>
      <c r="K1206">
        <v>4944955561</v>
      </c>
      <c r="L1206">
        <v>4524363268</v>
      </c>
      <c r="M1206">
        <v>4545090753</v>
      </c>
      <c r="P1206">
        <v>233</v>
      </c>
      <c r="Q1206" t="s">
        <v>2695</v>
      </c>
    </row>
    <row r="1207" spans="1:17" x14ac:dyDescent="0.3">
      <c r="A1207" t="s">
        <v>47</v>
      </c>
      <c r="B1207" t="str">
        <f>"300190"</f>
        <v>300190</v>
      </c>
      <c r="C1207" t="s">
        <v>2696</v>
      </c>
      <c r="D1207" t="s">
        <v>1269</v>
      </c>
      <c r="E1207">
        <v>10531882328</v>
      </c>
      <c r="F1207">
        <v>9976608434</v>
      </c>
      <c r="G1207">
        <v>8083026623</v>
      </c>
      <c r="H1207">
        <v>7322963684</v>
      </c>
      <c r="I1207">
        <v>6079932758</v>
      </c>
      <c r="J1207">
        <v>4715801473</v>
      </c>
      <c r="K1207">
        <v>2799958076</v>
      </c>
      <c r="L1207">
        <v>2079207917</v>
      </c>
      <c r="M1207">
        <v>1217880771</v>
      </c>
      <c r="N1207">
        <v>1110749900</v>
      </c>
      <c r="O1207">
        <v>1060096929</v>
      </c>
      <c r="P1207">
        <v>233</v>
      </c>
      <c r="Q1207" t="s">
        <v>2697</v>
      </c>
    </row>
    <row r="1208" spans="1:17" x14ac:dyDescent="0.3">
      <c r="A1208" t="s">
        <v>47</v>
      </c>
      <c r="B1208" t="str">
        <f>"301219"</f>
        <v>301219</v>
      </c>
      <c r="C1208" t="s">
        <v>2698</v>
      </c>
      <c r="E1208">
        <v>10525139532</v>
      </c>
      <c r="G1208">
        <v>2426074413</v>
      </c>
      <c r="P1208">
        <v>8</v>
      </c>
      <c r="Q1208" t="s">
        <v>2699</v>
      </c>
    </row>
    <row r="1209" spans="1:17" x14ac:dyDescent="0.3">
      <c r="A1209" t="s">
        <v>47</v>
      </c>
      <c r="B1209" t="str">
        <f>"002788"</f>
        <v>002788</v>
      </c>
      <c r="C1209" t="s">
        <v>2700</v>
      </c>
      <c r="D1209" t="s">
        <v>362</v>
      </c>
      <c r="E1209">
        <v>10515566739</v>
      </c>
      <c r="F1209">
        <v>8908751620</v>
      </c>
      <c r="G1209">
        <v>7725839139</v>
      </c>
      <c r="H1209">
        <v>6664044491</v>
      </c>
      <c r="I1209">
        <v>5576793651</v>
      </c>
      <c r="J1209">
        <v>3694538658</v>
      </c>
      <c r="K1209">
        <v>4183824371</v>
      </c>
      <c r="P1209">
        <v>162</v>
      </c>
      <c r="Q1209" t="s">
        <v>2701</v>
      </c>
    </row>
    <row r="1210" spans="1:17" x14ac:dyDescent="0.3">
      <c r="A1210" t="s">
        <v>17</v>
      </c>
      <c r="B1210" t="str">
        <f>"600577"</f>
        <v>600577</v>
      </c>
      <c r="C1210" t="s">
        <v>2702</v>
      </c>
      <c r="D1210" t="s">
        <v>1616</v>
      </c>
      <c r="E1210">
        <v>10510453565</v>
      </c>
      <c r="F1210">
        <v>9612294446</v>
      </c>
      <c r="G1210">
        <v>6489940930</v>
      </c>
      <c r="H1210">
        <v>5762233398</v>
      </c>
      <c r="I1210">
        <v>6139937736</v>
      </c>
      <c r="J1210">
        <v>5325691098</v>
      </c>
      <c r="K1210">
        <v>4500848664</v>
      </c>
      <c r="L1210">
        <v>5130608355</v>
      </c>
      <c r="M1210">
        <v>4764047166</v>
      </c>
      <c r="N1210">
        <v>4161912303</v>
      </c>
      <c r="O1210">
        <v>4894230152</v>
      </c>
      <c r="P1210">
        <v>247</v>
      </c>
      <c r="Q1210" t="s">
        <v>2703</v>
      </c>
    </row>
    <row r="1211" spans="1:17" x14ac:dyDescent="0.3">
      <c r="A1211" t="s">
        <v>47</v>
      </c>
      <c r="B1211" t="str">
        <f>"300232"</f>
        <v>300232</v>
      </c>
      <c r="C1211" t="s">
        <v>2704</v>
      </c>
      <c r="D1211" t="s">
        <v>862</v>
      </c>
      <c r="E1211">
        <v>10505791538</v>
      </c>
      <c r="F1211">
        <v>9088875826</v>
      </c>
      <c r="G1211">
        <v>7451335347</v>
      </c>
      <c r="H1211">
        <v>6313747365</v>
      </c>
      <c r="I1211">
        <v>4991659361</v>
      </c>
      <c r="J1211">
        <v>2887022981</v>
      </c>
      <c r="K1211">
        <v>1761749549</v>
      </c>
      <c r="L1211">
        <v>1459976236</v>
      </c>
      <c r="M1211">
        <v>1024237460</v>
      </c>
      <c r="N1211">
        <v>928927205</v>
      </c>
      <c r="O1211">
        <v>759383530</v>
      </c>
      <c r="P1211">
        <v>922</v>
      </c>
      <c r="Q1211" t="s">
        <v>2705</v>
      </c>
    </row>
    <row r="1212" spans="1:17" x14ac:dyDescent="0.3">
      <c r="A1212" t="s">
        <v>47</v>
      </c>
      <c r="B1212" t="str">
        <f>"002280"</f>
        <v>002280</v>
      </c>
      <c r="C1212" t="s">
        <v>2706</v>
      </c>
      <c r="D1212" t="s">
        <v>2707</v>
      </c>
      <c r="E1212">
        <v>10489547238</v>
      </c>
      <c r="F1212">
        <v>9798580461</v>
      </c>
      <c r="G1212">
        <v>9417192599</v>
      </c>
      <c r="H1212">
        <v>13365763758</v>
      </c>
      <c r="I1212">
        <v>13644596629</v>
      </c>
      <c r="J1212">
        <v>13581978539</v>
      </c>
      <c r="K1212">
        <v>6499100707</v>
      </c>
      <c r="L1212">
        <v>1011240123</v>
      </c>
      <c r="M1212">
        <v>427998539</v>
      </c>
      <c r="N1212">
        <v>537331989</v>
      </c>
      <c r="O1212">
        <v>565968847</v>
      </c>
      <c r="P1212">
        <v>179</v>
      </c>
      <c r="Q1212" t="s">
        <v>2708</v>
      </c>
    </row>
    <row r="1213" spans="1:17" x14ac:dyDescent="0.3">
      <c r="A1213" t="s">
        <v>47</v>
      </c>
      <c r="B1213" t="str">
        <f>"301035"</f>
        <v>301035</v>
      </c>
      <c r="C1213" t="s">
        <v>2709</v>
      </c>
      <c r="D1213" t="s">
        <v>819</v>
      </c>
      <c r="E1213">
        <v>10478339575</v>
      </c>
      <c r="F1213">
        <v>6642361791</v>
      </c>
      <c r="P1213">
        <v>40</v>
      </c>
      <c r="Q1213" t="s">
        <v>2710</v>
      </c>
    </row>
    <row r="1214" spans="1:17" x14ac:dyDescent="0.3">
      <c r="A1214" t="s">
        <v>47</v>
      </c>
      <c r="B1214" t="str">
        <f>"002239"</f>
        <v>002239</v>
      </c>
      <c r="C1214" t="s">
        <v>2711</v>
      </c>
      <c r="D1214" t="s">
        <v>836</v>
      </c>
      <c r="E1214">
        <v>10465135066</v>
      </c>
      <c r="F1214">
        <v>9294404402</v>
      </c>
      <c r="G1214">
        <v>8119164545</v>
      </c>
      <c r="H1214">
        <v>8275328473</v>
      </c>
      <c r="I1214">
        <v>8723167034</v>
      </c>
      <c r="J1214">
        <v>8353749080</v>
      </c>
      <c r="K1214">
        <v>6858470853</v>
      </c>
      <c r="L1214">
        <v>698308421</v>
      </c>
      <c r="M1214">
        <v>827936281</v>
      </c>
      <c r="N1214">
        <v>661205818</v>
      </c>
      <c r="O1214">
        <v>627320409</v>
      </c>
      <c r="P1214">
        <v>242</v>
      </c>
      <c r="Q1214" t="s">
        <v>2712</v>
      </c>
    </row>
    <row r="1215" spans="1:17" x14ac:dyDescent="0.3">
      <c r="A1215" t="s">
        <v>47</v>
      </c>
      <c r="B1215" t="str">
        <f>"300251"</f>
        <v>300251</v>
      </c>
      <c r="C1215" t="s">
        <v>2713</v>
      </c>
      <c r="D1215" t="s">
        <v>1673</v>
      </c>
      <c r="E1215">
        <v>10460784021</v>
      </c>
      <c r="F1215">
        <v>10242580303</v>
      </c>
      <c r="G1215">
        <v>10388629512</v>
      </c>
      <c r="H1215">
        <v>10287999470</v>
      </c>
      <c r="I1215">
        <v>13672376336</v>
      </c>
      <c r="J1215">
        <v>9237985447</v>
      </c>
      <c r="K1215">
        <v>8117778216</v>
      </c>
      <c r="L1215">
        <v>7960322925</v>
      </c>
      <c r="M1215">
        <v>2814859107</v>
      </c>
      <c r="N1215">
        <v>2240884280</v>
      </c>
      <c r="O1215">
        <v>1875012587</v>
      </c>
      <c r="P1215">
        <v>807</v>
      </c>
      <c r="Q1215" t="s">
        <v>2714</v>
      </c>
    </row>
    <row r="1216" spans="1:17" x14ac:dyDescent="0.3">
      <c r="A1216" t="s">
        <v>47</v>
      </c>
      <c r="B1216" t="str">
        <f>"002245"</f>
        <v>002245</v>
      </c>
      <c r="C1216" t="s">
        <v>2715</v>
      </c>
      <c r="D1216" t="s">
        <v>215</v>
      </c>
      <c r="E1216">
        <v>10397470406</v>
      </c>
      <c r="F1216">
        <v>7560706099</v>
      </c>
      <c r="G1216">
        <v>6740102419</v>
      </c>
      <c r="H1216">
        <v>7304059272</v>
      </c>
      <c r="I1216">
        <v>6838061795</v>
      </c>
      <c r="J1216">
        <v>5038547633</v>
      </c>
      <c r="K1216">
        <v>3024132352</v>
      </c>
      <c r="L1216">
        <v>2445859016</v>
      </c>
      <c r="M1216">
        <v>2530709106</v>
      </c>
      <c r="N1216">
        <v>1759995659</v>
      </c>
      <c r="O1216">
        <v>1751572221</v>
      </c>
      <c r="P1216">
        <v>377</v>
      </c>
      <c r="Q1216" t="s">
        <v>2716</v>
      </c>
    </row>
    <row r="1217" spans="1:17" x14ac:dyDescent="0.3">
      <c r="A1217" t="s">
        <v>47</v>
      </c>
      <c r="B1217" t="str">
        <f>"002768"</f>
        <v>002768</v>
      </c>
      <c r="C1217" t="s">
        <v>2717</v>
      </c>
      <c r="D1217" t="s">
        <v>833</v>
      </c>
      <c r="E1217">
        <v>10377183440</v>
      </c>
      <c r="F1217">
        <v>5679870795</v>
      </c>
      <c r="G1217">
        <v>4956495667</v>
      </c>
      <c r="H1217">
        <v>3771461047</v>
      </c>
      <c r="I1217">
        <v>2814179028</v>
      </c>
      <c r="J1217">
        <v>1704963719</v>
      </c>
      <c r="K1217">
        <v>1077039582</v>
      </c>
      <c r="L1217">
        <v>753793900</v>
      </c>
      <c r="P1217">
        <v>595</v>
      </c>
      <c r="Q1217" t="s">
        <v>2718</v>
      </c>
    </row>
    <row r="1218" spans="1:17" x14ac:dyDescent="0.3">
      <c r="A1218" t="s">
        <v>47</v>
      </c>
      <c r="B1218" t="str">
        <f>"002472"</f>
        <v>002472</v>
      </c>
      <c r="C1218" t="s">
        <v>2719</v>
      </c>
      <c r="D1218" t="s">
        <v>274</v>
      </c>
      <c r="E1218">
        <v>10361521562</v>
      </c>
      <c r="F1218">
        <v>8685183064</v>
      </c>
      <c r="G1218">
        <v>8348069275</v>
      </c>
      <c r="H1218">
        <v>8302335955</v>
      </c>
      <c r="I1218">
        <v>7423356131</v>
      </c>
      <c r="J1218">
        <v>4218769586</v>
      </c>
      <c r="K1218">
        <v>3430140142</v>
      </c>
      <c r="L1218">
        <v>2586220056</v>
      </c>
      <c r="M1218">
        <v>2238030223</v>
      </c>
      <c r="N1218">
        <v>1892091206</v>
      </c>
      <c r="O1218">
        <v>1760504968</v>
      </c>
      <c r="P1218">
        <v>258</v>
      </c>
      <c r="Q1218" t="s">
        <v>2720</v>
      </c>
    </row>
    <row r="1219" spans="1:17" x14ac:dyDescent="0.3">
      <c r="A1219" t="s">
        <v>17</v>
      </c>
      <c r="B1219" t="str">
        <f>"603613"</f>
        <v>603613</v>
      </c>
      <c r="C1219" t="s">
        <v>2721</v>
      </c>
      <c r="D1219" t="s">
        <v>383</v>
      </c>
      <c r="E1219">
        <v>10354482521</v>
      </c>
      <c r="F1219">
        <v>6419723649</v>
      </c>
      <c r="G1219">
        <v>2950456105</v>
      </c>
      <c r="H1219">
        <v>952968500</v>
      </c>
      <c r="P1219">
        <v>827</v>
      </c>
      <c r="Q1219" t="s">
        <v>2722</v>
      </c>
    </row>
    <row r="1220" spans="1:17" x14ac:dyDescent="0.3">
      <c r="A1220" t="s">
        <v>47</v>
      </c>
      <c r="B1220" t="str">
        <f>"000969"</f>
        <v>000969</v>
      </c>
      <c r="C1220" t="s">
        <v>2723</v>
      </c>
      <c r="D1220" t="s">
        <v>2432</v>
      </c>
      <c r="E1220">
        <v>10343446765</v>
      </c>
      <c r="F1220">
        <v>9222721319</v>
      </c>
      <c r="G1220">
        <v>9449984163</v>
      </c>
      <c r="H1220">
        <v>9578448290</v>
      </c>
      <c r="I1220">
        <v>10409690930</v>
      </c>
      <c r="J1220">
        <v>9899437220</v>
      </c>
      <c r="K1220">
        <v>9424103720</v>
      </c>
      <c r="L1220">
        <v>8079893841</v>
      </c>
      <c r="M1220">
        <v>7615884827</v>
      </c>
      <c r="N1220">
        <v>7629164518</v>
      </c>
      <c r="O1220">
        <v>7173424397</v>
      </c>
      <c r="P1220">
        <v>224</v>
      </c>
      <c r="Q1220" t="s">
        <v>2724</v>
      </c>
    </row>
    <row r="1221" spans="1:17" x14ac:dyDescent="0.3">
      <c r="A1221" t="s">
        <v>47</v>
      </c>
      <c r="B1221" t="str">
        <f>"300751"</f>
        <v>300751</v>
      </c>
      <c r="C1221" t="s">
        <v>2725</v>
      </c>
      <c r="D1221" t="s">
        <v>1789</v>
      </c>
      <c r="E1221">
        <v>10342837914</v>
      </c>
      <c r="F1221">
        <v>5695651187</v>
      </c>
      <c r="G1221">
        <v>3983686995</v>
      </c>
      <c r="H1221">
        <v>2989077297</v>
      </c>
      <c r="P1221">
        <v>627</v>
      </c>
      <c r="Q1221" t="s">
        <v>2726</v>
      </c>
    </row>
    <row r="1222" spans="1:17" x14ac:dyDescent="0.3">
      <c r="A1222" t="s">
        <v>47</v>
      </c>
      <c r="B1222" t="str">
        <f>"002087"</f>
        <v>002087</v>
      </c>
      <c r="C1222" t="s">
        <v>2727</v>
      </c>
      <c r="D1222" t="s">
        <v>1682</v>
      </c>
      <c r="E1222">
        <v>10329095354</v>
      </c>
      <c r="F1222">
        <v>9957759712</v>
      </c>
      <c r="G1222">
        <v>9168990608</v>
      </c>
      <c r="H1222">
        <v>9156314599</v>
      </c>
      <c r="I1222">
        <v>8783365312</v>
      </c>
      <c r="J1222">
        <v>8377958122</v>
      </c>
      <c r="K1222">
        <v>6690897622</v>
      </c>
      <c r="L1222">
        <v>5917368201</v>
      </c>
      <c r="M1222">
        <v>5203047671</v>
      </c>
      <c r="N1222">
        <v>4514981602</v>
      </c>
      <c r="O1222">
        <v>4156252847</v>
      </c>
      <c r="P1222">
        <v>208</v>
      </c>
      <c r="Q1222" t="s">
        <v>2728</v>
      </c>
    </row>
    <row r="1223" spans="1:17" x14ac:dyDescent="0.3">
      <c r="A1223" t="s">
        <v>17</v>
      </c>
      <c r="B1223" t="str">
        <f>"600481"</f>
        <v>600481</v>
      </c>
      <c r="C1223" t="s">
        <v>2729</v>
      </c>
      <c r="D1223" t="s">
        <v>2730</v>
      </c>
      <c r="E1223">
        <v>10325644854</v>
      </c>
      <c r="F1223">
        <v>4468272285</v>
      </c>
      <c r="G1223">
        <v>3752575225</v>
      </c>
      <c r="H1223">
        <v>3937221648</v>
      </c>
      <c r="I1223">
        <v>3617975376</v>
      </c>
      <c r="J1223">
        <v>4246450330</v>
      </c>
      <c r="K1223">
        <v>4645492811</v>
      </c>
      <c r="L1223">
        <v>7498356763</v>
      </c>
      <c r="M1223">
        <v>7222408183</v>
      </c>
      <c r="N1223">
        <v>7159645772</v>
      </c>
      <c r="O1223">
        <v>5602499652</v>
      </c>
      <c r="P1223">
        <v>185</v>
      </c>
      <c r="Q1223" t="s">
        <v>2731</v>
      </c>
    </row>
    <row r="1224" spans="1:17" x14ac:dyDescent="0.3">
      <c r="A1224" t="s">
        <v>17</v>
      </c>
      <c r="B1224" t="str">
        <f>"600172"</f>
        <v>600172</v>
      </c>
      <c r="C1224" t="s">
        <v>2732</v>
      </c>
      <c r="D1224" t="s">
        <v>2646</v>
      </c>
      <c r="E1224">
        <v>10309312467</v>
      </c>
      <c r="F1224">
        <v>10585826382</v>
      </c>
      <c r="G1224">
        <v>11275993448</v>
      </c>
      <c r="H1224">
        <v>11501480977</v>
      </c>
      <c r="I1224">
        <v>10941558685</v>
      </c>
      <c r="J1224">
        <v>9135450029</v>
      </c>
      <c r="K1224">
        <v>8112927324</v>
      </c>
      <c r="L1224">
        <v>6019001616</v>
      </c>
      <c r="M1224">
        <v>4737123727</v>
      </c>
      <c r="N1224">
        <v>4117230525</v>
      </c>
      <c r="O1224">
        <v>3300269474</v>
      </c>
      <c r="P1224">
        <v>325</v>
      </c>
      <c r="Q1224" t="s">
        <v>2733</v>
      </c>
    </row>
    <row r="1225" spans="1:17" x14ac:dyDescent="0.3">
      <c r="A1225" t="s">
        <v>17</v>
      </c>
      <c r="B1225" t="str">
        <f>"603128"</f>
        <v>603128</v>
      </c>
      <c r="C1225" t="s">
        <v>2734</v>
      </c>
      <c r="D1225" t="s">
        <v>618</v>
      </c>
      <c r="E1225">
        <v>10295658661</v>
      </c>
      <c r="F1225">
        <v>7645497909</v>
      </c>
      <c r="G1225">
        <v>6611011689</v>
      </c>
      <c r="H1225">
        <v>5147052858</v>
      </c>
      <c r="I1225">
        <v>5244781270</v>
      </c>
      <c r="J1225">
        <v>4888407047</v>
      </c>
      <c r="K1225">
        <v>4269605600</v>
      </c>
      <c r="L1225">
        <v>3051251169</v>
      </c>
      <c r="M1225">
        <v>3012247411</v>
      </c>
      <c r="N1225">
        <v>2723603488</v>
      </c>
      <c r="P1225">
        <v>273</v>
      </c>
      <c r="Q1225" t="s">
        <v>2735</v>
      </c>
    </row>
    <row r="1226" spans="1:17" x14ac:dyDescent="0.3">
      <c r="A1226" t="s">
        <v>17</v>
      </c>
      <c r="B1226" t="str">
        <f>"600831"</f>
        <v>600831</v>
      </c>
      <c r="C1226" t="s">
        <v>2736</v>
      </c>
      <c r="D1226" t="s">
        <v>973</v>
      </c>
      <c r="E1226">
        <v>10292014374</v>
      </c>
      <c r="F1226">
        <v>9082192162</v>
      </c>
      <c r="G1226">
        <v>8644492218</v>
      </c>
      <c r="H1226">
        <v>8001927362</v>
      </c>
      <c r="I1226">
        <v>7235264676</v>
      </c>
      <c r="J1226">
        <v>6498705305</v>
      </c>
      <c r="K1226">
        <v>5430188452</v>
      </c>
      <c r="L1226">
        <v>5120229993</v>
      </c>
      <c r="M1226">
        <v>4647937828</v>
      </c>
      <c r="N1226">
        <v>4126640431</v>
      </c>
      <c r="O1226">
        <v>3545862249</v>
      </c>
      <c r="P1226">
        <v>199</v>
      </c>
      <c r="Q1226" t="s">
        <v>2737</v>
      </c>
    </row>
    <row r="1227" spans="1:17" x14ac:dyDescent="0.3">
      <c r="A1227" t="s">
        <v>47</v>
      </c>
      <c r="B1227" t="str">
        <f>"000632"</f>
        <v>000632</v>
      </c>
      <c r="C1227" t="s">
        <v>2738</v>
      </c>
      <c r="D1227" t="s">
        <v>810</v>
      </c>
      <c r="E1227">
        <v>10285860438</v>
      </c>
      <c r="F1227">
        <v>9915908965</v>
      </c>
      <c r="G1227">
        <v>9026028330</v>
      </c>
      <c r="H1227">
        <v>7900625387</v>
      </c>
      <c r="I1227">
        <v>7157408890</v>
      </c>
      <c r="J1227">
        <v>7785191727</v>
      </c>
      <c r="K1227">
        <v>7103996118</v>
      </c>
      <c r="L1227">
        <v>6896333147</v>
      </c>
      <c r="M1227">
        <v>6156977868</v>
      </c>
      <c r="N1227">
        <v>5144971470</v>
      </c>
      <c r="O1227">
        <v>3945576562</v>
      </c>
      <c r="P1227">
        <v>69</v>
      </c>
      <c r="Q1227" t="s">
        <v>2739</v>
      </c>
    </row>
    <row r="1228" spans="1:17" x14ac:dyDescent="0.3">
      <c r="A1228" t="s">
        <v>47</v>
      </c>
      <c r="B1228" t="str">
        <f>"002047"</f>
        <v>002047</v>
      </c>
      <c r="C1228" t="s">
        <v>2740</v>
      </c>
      <c r="D1228" t="s">
        <v>1163</v>
      </c>
      <c r="E1228">
        <v>10284970321</v>
      </c>
      <c r="F1228">
        <v>12194023846</v>
      </c>
      <c r="G1228">
        <v>10073208755</v>
      </c>
      <c r="H1228">
        <v>9881074658</v>
      </c>
      <c r="I1228">
        <v>8464971132</v>
      </c>
      <c r="J1228">
        <v>8687929971</v>
      </c>
      <c r="K1228">
        <v>6926660158</v>
      </c>
      <c r="L1228">
        <v>4968608047</v>
      </c>
      <c r="M1228">
        <v>3580949577</v>
      </c>
      <c r="N1228">
        <v>1070735263</v>
      </c>
      <c r="O1228">
        <v>1186963090</v>
      </c>
      <c r="P1228">
        <v>103</v>
      </c>
      <c r="Q1228" t="s">
        <v>2741</v>
      </c>
    </row>
    <row r="1229" spans="1:17" x14ac:dyDescent="0.3">
      <c r="A1229" t="s">
        <v>17</v>
      </c>
      <c r="B1229" t="str">
        <f>"688777"</f>
        <v>688777</v>
      </c>
      <c r="C1229" t="s">
        <v>2742</v>
      </c>
      <c r="D1229" t="s">
        <v>1360</v>
      </c>
      <c r="E1229">
        <v>10281830672</v>
      </c>
      <c r="F1229">
        <v>8195345734</v>
      </c>
      <c r="P1229">
        <v>180</v>
      </c>
      <c r="Q1229" t="s">
        <v>2743</v>
      </c>
    </row>
    <row r="1230" spans="1:17" x14ac:dyDescent="0.3">
      <c r="A1230" t="s">
        <v>17</v>
      </c>
      <c r="B1230" t="str">
        <f>"600292"</f>
        <v>600292</v>
      </c>
      <c r="C1230" t="s">
        <v>2744</v>
      </c>
      <c r="D1230" t="s">
        <v>1426</v>
      </c>
      <c r="E1230">
        <v>10269693077</v>
      </c>
      <c r="F1230">
        <v>9676365836</v>
      </c>
      <c r="G1230">
        <v>10095513253</v>
      </c>
      <c r="H1230">
        <v>9140185227</v>
      </c>
      <c r="I1230">
        <v>9012041733</v>
      </c>
      <c r="J1230">
        <v>8576527951</v>
      </c>
      <c r="K1230">
        <v>8413748095</v>
      </c>
      <c r="L1230">
        <v>8469084319</v>
      </c>
      <c r="M1230">
        <v>6199440256</v>
      </c>
      <c r="N1230">
        <v>5148137855</v>
      </c>
      <c r="O1230">
        <v>7207370879</v>
      </c>
      <c r="P1230">
        <v>144</v>
      </c>
      <c r="Q1230" t="s">
        <v>2745</v>
      </c>
    </row>
    <row r="1231" spans="1:17" x14ac:dyDescent="0.3">
      <c r="A1231" t="s">
        <v>47</v>
      </c>
      <c r="B1231" t="str">
        <f>"000912"</f>
        <v>000912</v>
      </c>
      <c r="C1231" t="s">
        <v>2746</v>
      </c>
      <c r="D1231" t="s">
        <v>1538</v>
      </c>
      <c r="E1231">
        <v>10254768553</v>
      </c>
      <c r="F1231">
        <v>8127199194</v>
      </c>
      <c r="G1231">
        <v>6965436155</v>
      </c>
      <c r="H1231">
        <v>6919600155</v>
      </c>
      <c r="I1231">
        <v>6032133545</v>
      </c>
      <c r="J1231">
        <v>7720730612</v>
      </c>
      <c r="K1231">
        <v>8181074089</v>
      </c>
      <c r="L1231">
        <v>12662589086</v>
      </c>
      <c r="M1231">
        <v>13573105237</v>
      </c>
      <c r="N1231">
        <v>13734734870</v>
      </c>
      <c r="O1231">
        <v>10243165140</v>
      </c>
      <c r="P1231">
        <v>110</v>
      </c>
      <c r="Q1231" t="s">
        <v>2747</v>
      </c>
    </row>
    <row r="1232" spans="1:17" x14ac:dyDescent="0.3">
      <c r="A1232" t="s">
        <v>47</v>
      </c>
      <c r="B1232" t="str">
        <f>"002153"</f>
        <v>002153</v>
      </c>
      <c r="C1232" t="s">
        <v>2748</v>
      </c>
      <c r="D1232" t="s">
        <v>1859</v>
      </c>
      <c r="E1232">
        <v>10250178904</v>
      </c>
      <c r="F1232">
        <v>10459446306</v>
      </c>
      <c r="G1232">
        <v>10740474864</v>
      </c>
      <c r="H1232">
        <v>10344751557</v>
      </c>
      <c r="I1232">
        <v>7130179784</v>
      </c>
      <c r="J1232">
        <v>6148606087</v>
      </c>
      <c r="K1232">
        <v>5550293859</v>
      </c>
      <c r="L1232">
        <v>2433905543</v>
      </c>
      <c r="M1232">
        <v>2429613450</v>
      </c>
      <c r="N1232">
        <v>1572927736</v>
      </c>
      <c r="O1232">
        <v>1341397212</v>
      </c>
      <c r="P1232">
        <v>679</v>
      </c>
      <c r="Q1232" t="s">
        <v>2749</v>
      </c>
    </row>
    <row r="1233" spans="1:17" x14ac:dyDescent="0.3">
      <c r="A1233" t="s">
        <v>17</v>
      </c>
      <c r="B1233" t="str">
        <f>"600764"</f>
        <v>600764</v>
      </c>
      <c r="C1233" t="s">
        <v>2750</v>
      </c>
      <c r="D1233" t="s">
        <v>351</v>
      </c>
      <c r="E1233">
        <v>10248470357</v>
      </c>
      <c r="F1233">
        <v>9721831854</v>
      </c>
      <c r="G1233">
        <v>8868442896</v>
      </c>
      <c r="H1233">
        <v>1459197432</v>
      </c>
      <c r="I1233">
        <v>1568781495</v>
      </c>
      <c r="J1233">
        <v>1252375242</v>
      </c>
      <c r="K1233">
        <v>861168590</v>
      </c>
      <c r="L1233">
        <v>1419850931</v>
      </c>
      <c r="M1233">
        <v>1400792559</v>
      </c>
      <c r="N1233">
        <v>1517822361</v>
      </c>
      <c r="O1233">
        <v>1325064294</v>
      </c>
      <c r="P1233">
        <v>233</v>
      </c>
      <c r="Q1233" t="s">
        <v>2751</v>
      </c>
    </row>
    <row r="1234" spans="1:17" x14ac:dyDescent="0.3">
      <c r="A1234" t="s">
        <v>17</v>
      </c>
      <c r="B1234" t="str">
        <f>"600728"</f>
        <v>600728</v>
      </c>
      <c r="C1234" t="s">
        <v>2752</v>
      </c>
      <c r="D1234" t="s">
        <v>700</v>
      </c>
      <c r="E1234">
        <v>10246756405</v>
      </c>
      <c r="F1234">
        <v>9994858662</v>
      </c>
      <c r="G1234">
        <v>9320389308</v>
      </c>
      <c r="H1234">
        <v>7682478615</v>
      </c>
      <c r="I1234">
        <v>5877100696</v>
      </c>
      <c r="J1234">
        <v>5098052812</v>
      </c>
      <c r="K1234">
        <v>4030548255</v>
      </c>
      <c r="L1234">
        <v>2498352223</v>
      </c>
      <c r="M1234">
        <v>2198637563</v>
      </c>
      <c r="N1234">
        <v>1170055766</v>
      </c>
      <c r="O1234">
        <v>696928482</v>
      </c>
      <c r="P1234">
        <v>345</v>
      </c>
      <c r="Q1234" t="s">
        <v>2753</v>
      </c>
    </row>
    <row r="1235" spans="1:17" x14ac:dyDescent="0.3">
      <c r="A1235" t="s">
        <v>17</v>
      </c>
      <c r="B1235" t="str">
        <f>"600936"</f>
        <v>600936</v>
      </c>
      <c r="C1235" t="s">
        <v>2754</v>
      </c>
      <c r="D1235" t="s">
        <v>973</v>
      </c>
      <c r="E1235">
        <v>10238520447</v>
      </c>
      <c r="F1235">
        <v>10763481491</v>
      </c>
      <c r="G1235">
        <v>9477742139</v>
      </c>
      <c r="H1235">
        <v>8070186970</v>
      </c>
      <c r="I1235">
        <v>7543748889</v>
      </c>
      <c r="J1235">
        <v>6569374721</v>
      </c>
      <c r="K1235">
        <v>5477996428</v>
      </c>
      <c r="P1235">
        <v>80</v>
      </c>
      <c r="Q1235" t="s">
        <v>2755</v>
      </c>
    </row>
    <row r="1236" spans="1:17" x14ac:dyDescent="0.3">
      <c r="A1236" t="s">
        <v>17</v>
      </c>
      <c r="B1236" t="str">
        <f>"600618"</f>
        <v>600618</v>
      </c>
      <c r="C1236" t="s">
        <v>2756</v>
      </c>
      <c r="D1236" t="s">
        <v>625</v>
      </c>
      <c r="E1236">
        <v>10238214946</v>
      </c>
      <c r="F1236">
        <v>6918494067</v>
      </c>
      <c r="G1236">
        <v>6069963116</v>
      </c>
      <c r="H1236">
        <v>5583332264</v>
      </c>
      <c r="I1236">
        <v>4748756350</v>
      </c>
      <c r="J1236">
        <v>4775942200</v>
      </c>
      <c r="K1236">
        <v>4918125307</v>
      </c>
      <c r="L1236">
        <v>5871305575</v>
      </c>
      <c r="M1236">
        <v>5916094459</v>
      </c>
      <c r="N1236">
        <v>6216378958</v>
      </c>
      <c r="O1236">
        <v>6128526107</v>
      </c>
      <c r="P1236">
        <v>253</v>
      </c>
      <c r="Q1236" t="s">
        <v>2757</v>
      </c>
    </row>
    <row r="1237" spans="1:17" x14ac:dyDescent="0.3">
      <c r="A1237" t="s">
        <v>47</v>
      </c>
      <c r="B1237" t="str">
        <f>"000628"</f>
        <v>000628</v>
      </c>
      <c r="C1237" t="s">
        <v>2758</v>
      </c>
      <c r="D1237" t="s">
        <v>65</v>
      </c>
      <c r="E1237">
        <v>10200017204</v>
      </c>
      <c r="F1237">
        <v>8075102246</v>
      </c>
      <c r="G1237">
        <v>5894931227</v>
      </c>
      <c r="H1237">
        <v>4218773287</v>
      </c>
      <c r="I1237">
        <v>2984929406</v>
      </c>
      <c r="J1237">
        <v>3442802316</v>
      </c>
      <c r="K1237">
        <v>3982011353</v>
      </c>
      <c r="L1237">
        <v>4301766122</v>
      </c>
      <c r="M1237">
        <v>3097671797</v>
      </c>
      <c r="N1237">
        <v>2676712798</v>
      </c>
      <c r="O1237">
        <v>2710738728</v>
      </c>
      <c r="P1237">
        <v>127</v>
      </c>
      <c r="Q1237" t="s">
        <v>2759</v>
      </c>
    </row>
    <row r="1238" spans="1:17" x14ac:dyDescent="0.3">
      <c r="A1238" t="s">
        <v>17</v>
      </c>
      <c r="B1238" t="str">
        <f>"603995"</f>
        <v>603995</v>
      </c>
      <c r="C1238" t="s">
        <v>2760</v>
      </c>
      <c r="D1238" t="s">
        <v>555</v>
      </c>
      <c r="E1238">
        <v>10196838928</v>
      </c>
      <c r="F1238">
        <v>6809740738</v>
      </c>
      <c r="G1238">
        <v>5470381066</v>
      </c>
      <c r="P1238">
        <v>128</v>
      </c>
      <c r="Q1238" t="s">
        <v>2761</v>
      </c>
    </row>
    <row r="1239" spans="1:17" x14ac:dyDescent="0.3">
      <c r="A1239" t="s">
        <v>47</v>
      </c>
      <c r="B1239" t="str">
        <f>"000049"</f>
        <v>000049</v>
      </c>
      <c r="C1239" t="s">
        <v>2762</v>
      </c>
      <c r="D1239" t="s">
        <v>215</v>
      </c>
      <c r="E1239">
        <v>10189691364</v>
      </c>
      <c r="F1239">
        <v>7871999148</v>
      </c>
      <c r="G1239">
        <v>7595614187</v>
      </c>
      <c r="H1239">
        <v>7223317410</v>
      </c>
      <c r="I1239">
        <v>6001385637</v>
      </c>
      <c r="J1239">
        <v>4354314966</v>
      </c>
      <c r="K1239">
        <v>2798996454</v>
      </c>
      <c r="L1239">
        <v>3420150629</v>
      </c>
      <c r="M1239">
        <v>2373949604</v>
      </c>
      <c r="N1239">
        <v>1603873115</v>
      </c>
      <c r="O1239">
        <v>1242030655</v>
      </c>
      <c r="P1239">
        <v>41582</v>
      </c>
      <c r="Q1239" t="s">
        <v>2763</v>
      </c>
    </row>
    <row r="1240" spans="1:17" x14ac:dyDescent="0.3">
      <c r="A1240" t="s">
        <v>47</v>
      </c>
      <c r="B1240" t="str">
        <f>"002743"</f>
        <v>002743</v>
      </c>
      <c r="C1240" t="s">
        <v>2764</v>
      </c>
      <c r="D1240" t="s">
        <v>1764</v>
      </c>
      <c r="E1240">
        <v>10177087429</v>
      </c>
      <c r="F1240">
        <v>8731654453</v>
      </c>
      <c r="G1240">
        <v>7590745770</v>
      </c>
      <c r="H1240">
        <v>7117601472</v>
      </c>
      <c r="I1240">
        <v>6002872076</v>
      </c>
      <c r="J1240">
        <v>5326964785</v>
      </c>
      <c r="K1240">
        <v>3832899703</v>
      </c>
      <c r="L1240">
        <v>3116978143</v>
      </c>
      <c r="P1240">
        <v>77</v>
      </c>
      <c r="Q1240" t="s">
        <v>2765</v>
      </c>
    </row>
    <row r="1241" spans="1:17" x14ac:dyDescent="0.3">
      <c r="A1241" t="s">
        <v>47</v>
      </c>
      <c r="B1241" t="str">
        <f>"300171"</f>
        <v>300171</v>
      </c>
      <c r="C1241" t="s">
        <v>2766</v>
      </c>
      <c r="D1241" t="s">
        <v>1083</v>
      </c>
      <c r="E1241">
        <v>10145815250</v>
      </c>
      <c r="F1241">
        <v>7093847889</v>
      </c>
      <c r="G1241">
        <v>5100077234</v>
      </c>
      <c r="H1241">
        <v>4756932536</v>
      </c>
      <c r="I1241">
        <v>4371714183</v>
      </c>
      <c r="J1241">
        <v>4145425803</v>
      </c>
      <c r="K1241">
        <v>4018262007</v>
      </c>
      <c r="L1241">
        <v>4158990253</v>
      </c>
      <c r="M1241">
        <v>3871645619</v>
      </c>
      <c r="N1241">
        <v>3412491247</v>
      </c>
      <c r="O1241">
        <v>2643904155</v>
      </c>
      <c r="P1241">
        <v>248</v>
      </c>
      <c r="Q1241" t="s">
        <v>2767</v>
      </c>
    </row>
    <row r="1242" spans="1:17" x14ac:dyDescent="0.3">
      <c r="A1242" t="s">
        <v>47</v>
      </c>
      <c r="B1242" t="str">
        <f>"001696"</f>
        <v>001696</v>
      </c>
      <c r="C1242" t="s">
        <v>2768</v>
      </c>
      <c r="D1242" t="s">
        <v>1433</v>
      </c>
      <c r="E1242">
        <v>10115909190</v>
      </c>
      <c r="F1242">
        <v>9639626157</v>
      </c>
      <c r="G1242">
        <v>8965402859</v>
      </c>
      <c r="H1242">
        <v>8238754476</v>
      </c>
      <c r="I1242">
        <v>8169344104</v>
      </c>
      <c r="J1242">
        <v>6724729778</v>
      </c>
      <c r="K1242">
        <v>6400872321</v>
      </c>
      <c r="L1242">
        <v>6183129489</v>
      </c>
      <c r="M1242">
        <v>5529678359</v>
      </c>
      <c r="N1242">
        <v>4731808613</v>
      </c>
      <c r="O1242">
        <v>4591575226</v>
      </c>
      <c r="P1242">
        <v>274</v>
      </c>
      <c r="Q1242" t="s">
        <v>2769</v>
      </c>
    </row>
    <row r="1243" spans="1:17" x14ac:dyDescent="0.3">
      <c r="A1243" t="s">
        <v>47</v>
      </c>
      <c r="B1243" t="str">
        <f>"300158"</f>
        <v>300158</v>
      </c>
      <c r="C1243" t="s">
        <v>2770</v>
      </c>
      <c r="D1243" t="s">
        <v>550</v>
      </c>
      <c r="E1243">
        <v>10103932797</v>
      </c>
      <c r="F1243">
        <v>7595336104</v>
      </c>
      <c r="G1243">
        <v>7237633082</v>
      </c>
      <c r="H1243">
        <v>7349002483</v>
      </c>
      <c r="I1243">
        <v>7437687679</v>
      </c>
      <c r="J1243">
        <v>6982064343</v>
      </c>
      <c r="K1243">
        <v>4178426272</v>
      </c>
      <c r="L1243">
        <v>2885244117</v>
      </c>
      <c r="M1243">
        <v>2744941932</v>
      </c>
      <c r="N1243">
        <v>2699344257</v>
      </c>
      <c r="O1243">
        <v>2532793680</v>
      </c>
      <c r="P1243">
        <v>176</v>
      </c>
      <c r="Q1243" t="s">
        <v>2771</v>
      </c>
    </row>
    <row r="1244" spans="1:17" x14ac:dyDescent="0.3">
      <c r="A1244" t="s">
        <v>47</v>
      </c>
      <c r="B1244" t="str">
        <f>"300203"</f>
        <v>300203</v>
      </c>
      <c r="C1244" t="s">
        <v>2772</v>
      </c>
      <c r="D1244" t="s">
        <v>1269</v>
      </c>
      <c r="E1244">
        <v>10090067113</v>
      </c>
      <c r="F1244">
        <v>9535105788</v>
      </c>
      <c r="G1244">
        <v>8437316362</v>
      </c>
      <c r="H1244">
        <v>8003148290</v>
      </c>
      <c r="I1244">
        <v>6338954718</v>
      </c>
      <c r="J1244">
        <v>5448872466</v>
      </c>
      <c r="K1244">
        <v>4181544902</v>
      </c>
      <c r="L1244">
        <v>2836412171</v>
      </c>
      <c r="M1244">
        <v>2565386701</v>
      </c>
      <c r="N1244">
        <v>2266507482</v>
      </c>
      <c r="O1244">
        <v>2103192438</v>
      </c>
      <c r="P1244">
        <v>431</v>
      </c>
      <c r="Q1244" t="s">
        <v>2773</v>
      </c>
    </row>
    <row r="1245" spans="1:17" x14ac:dyDescent="0.3">
      <c r="A1245" t="s">
        <v>47</v>
      </c>
      <c r="B1245" t="str">
        <f>"002434"</f>
        <v>002434</v>
      </c>
      <c r="C1245" t="s">
        <v>2774</v>
      </c>
      <c r="D1245" t="s">
        <v>274</v>
      </c>
      <c r="E1245">
        <v>10089577168</v>
      </c>
      <c r="F1245">
        <v>11600711551</v>
      </c>
      <c r="G1245">
        <v>10518724361</v>
      </c>
      <c r="H1245">
        <v>10037211224</v>
      </c>
      <c r="I1245">
        <v>9140784337</v>
      </c>
      <c r="J1245">
        <v>9380239400</v>
      </c>
      <c r="K1245">
        <v>6398378352</v>
      </c>
      <c r="L1245">
        <v>4180472410</v>
      </c>
      <c r="M1245">
        <v>3592703004</v>
      </c>
      <c r="N1245">
        <v>2982611746</v>
      </c>
      <c r="O1245">
        <v>2813740967</v>
      </c>
      <c r="P1245">
        <v>238</v>
      </c>
      <c r="Q1245" t="s">
        <v>2775</v>
      </c>
    </row>
    <row r="1246" spans="1:17" x14ac:dyDescent="0.3">
      <c r="A1246" t="s">
        <v>47</v>
      </c>
      <c r="B1246" t="str">
        <f>"002984"</f>
        <v>002984</v>
      </c>
      <c r="C1246" t="s">
        <v>2776</v>
      </c>
      <c r="D1246" t="s">
        <v>1102</v>
      </c>
      <c r="E1246">
        <v>10071025536</v>
      </c>
      <c r="F1246">
        <v>7803469286</v>
      </c>
      <c r="P1246">
        <v>203</v>
      </c>
      <c r="Q1246" t="s">
        <v>2777</v>
      </c>
    </row>
    <row r="1247" spans="1:17" x14ac:dyDescent="0.3">
      <c r="A1247" t="s">
        <v>17</v>
      </c>
      <c r="B1247" t="str">
        <f>"603797"</f>
        <v>603797</v>
      </c>
      <c r="C1247" t="s">
        <v>2778</v>
      </c>
      <c r="D1247" t="s">
        <v>520</v>
      </c>
      <c r="E1247">
        <v>10068950279</v>
      </c>
      <c r="F1247">
        <v>8847950521</v>
      </c>
      <c r="G1247">
        <v>5586921901</v>
      </c>
      <c r="H1247">
        <v>4592881733</v>
      </c>
      <c r="I1247">
        <v>3129700757</v>
      </c>
      <c r="J1247">
        <v>2409823295</v>
      </c>
      <c r="P1247">
        <v>243</v>
      </c>
      <c r="Q1247" t="s">
        <v>2779</v>
      </c>
    </row>
    <row r="1248" spans="1:17" x14ac:dyDescent="0.3">
      <c r="A1248" t="s">
        <v>17</v>
      </c>
      <c r="B1248" t="str">
        <f>"603018"</f>
        <v>603018</v>
      </c>
      <c r="C1248" t="s">
        <v>2780</v>
      </c>
      <c r="D1248" t="s">
        <v>2178</v>
      </c>
      <c r="E1248">
        <v>10065523377</v>
      </c>
      <c r="F1248">
        <v>8811370510</v>
      </c>
      <c r="G1248">
        <v>7802208876</v>
      </c>
      <c r="H1248">
        <v>6380751658</v>
      </c>
      <c r="I1248">
        <v>5244644192</v>
      </c>
      <c r="J1248">
        <v>4228141279</v>
      </c>
      <c r="K1248">
        <v>3587779436</v>
      </c>
      <c r="L1248">
        <v>2960178783</v>
      </c>
      <c r="M1248">
        <v>2228802451</v>
      </c>
      <c r="P1248">
        <v>400</v>
      </c>
      <c r="Q1248" t="s">
        <v>2781</v>
      </c>
    </row>
    <row r="1249" spans="1:17" x14ac:dyDescent="0.3">
      <c r="A1249" t="s">
        <v>47</v>
      </c>
      <c r="B1249" t="str">
        <f>"002793"</f>
        <v>002793</v>
      </c>
      <c r="C1249" t="s">
        <v>2782</v>
      </c>
      <c r="D1249" t="s">
        <v>550</v>
      </c>
      <c r="E1249">
        <v>10056682341</v>
      </c>
      <c r="F1249">
        <v>7970518167</v>
      </c>
      <c r="G1249">
        <v>7571134833</v>
      </c>
      <c r="H1249">
        <v>1540061993</v>
      </c>
      <c r="I1249">
        <v>894474712</v>
      </c>
      <c r="J1249">
        <v>922911221</v>
      </c>
      <c r="K1249">
        <v>541408663</v>
      </c>
      <c r="P1249">
        <v>213</v>
      </c>
      <c r="Q1249" t="s">
        <v>2783</v>
      </c>
    </row>
    <row r="1250" spans="1:17" x14ac:dyDescent="0.3">
      <c r="A1250" t="s">
        <v>17</v>
      </c>
      <c r="B1250" t="str">
        <f>"601226"</f>
        <v>601226</v>
      </c>
      <c r="C1250" t="s">
        <v>2784</v>
      </c>
      <c r="D1250" t="s">
        <v>152</v>
      </c>
      <c r="E1250">
        <v>10036058738</v>
      </c>
      <c r="F1250">
        <v>8564019486</v>
      </c>
      <c r="G1250">
        <v>8732600566</v>
      </c>
      <c r="H1250">
        <v>8261732207</v>
      </c>
      <c r="I1250">
        <v>7862952964</v>
      </c>
      <c r="J1250">
        <v>7671857925</v>
      </c>
      <c r="K1250">
        <v>8288302470</v>
      </c>
      <c r="L1250">
        <v>8676591124</v>
      </c>
      <c r="P1250">
        <v>114</v>
      </c>
      <c r="Q1250" t="s">
        <v>2785</v>
      </c>
    </row>
    <row r="1251" spans="1:17" x14ac:dyDescent="0.3">
      <c r="A1251" t="s">
        <v>17</v>
      </c>
      <c r="B1251" t="str">
        <f>"600536"</f>
        <v>600536</v>
      </c>
      <c r="C1251" t="s">
        <v>2786</v>
      </c>
      <c r="D1251" t="s">
        <v>700</v>
      </c>
      <c r="E1251">
        <v>10022715457</v>
      </c>
      <c r="F1251">
        <v>8697002622</v>
      </c>
      <c r="G1251">
        <v>5851824557</v>
      </c>
      <c r="H1251">
        <v>5619934624</v>
      </c>
      <c r="I1251">
        <v>4704466054</v>
      </c>
      <c r="J1251">
        <v>5481714961</v>
      </c>
      <c r="K1251">
        <v>4998239747</v>
      </c>
      <c r="L1251">
        <v>4024880682</v>
      </c>
      <c r="M1251">
        <v>4060086599</v>
      </c>
      <c r="N1251">
        <v>3180387915</v>
      </c>
      <c r="O1251">
        <v>3391984936</v>
      </c>
      <c r="P1251">
        <v>621</v>
      </c>
      <c r="Q1251" t="s">
        <v>2787</v>
      </c>
    </row>
    <row r="1252" spans="1:17" x14ac:dyDescent="0.3">
      <c r="A1252" t="s">
        <v>47</v>
      </c>
      <c r="B1252" t="str">
        <f>"002281"</f>
        <v>002281</v>
      </c>
      <c r="C1252" t="s">
        <v>2788</v>
      </c>
      <c r="D1252" t="s">
        <v>367</v>
      </c>
      <c r="E1252">
        <v>10021342330</v>
      </c>
      <c r="F1252">
        <v>9104672669</v>
      </c>
      <c r="G1252">
        <v>7004657945</v>
      </c>
      <c r="H1252">
        <v>6040404064</v>
      </c>
      <c r="I1252">
        <v>5593396778</v>
      </c>
      <c r="J1252">
        <v>4955147828</v>
      </c>
      <c r="K1252">
        <v>4688375571</v>
      </c>
      <c r="L1252">
        <v>3784359252</v>
      </c>
      <c r="M1252">
        <v>2740323463</v>
      </c>
      <c r="N1252">
        <v>2651912702</v>
      </c>
      <c r="O1252">
        <v>1640784876</v>
      </c>
      <c r="P1252">
        <v>894</v>
      </c>
      <c r="Q1252" t="s">
        <v>2789</v>
      </c>
    </row>
    <row r="1253" spans="1:17" x14ac:dyDescent="0.3">
      <c r="A1253" t="s">
        <v>47</v>
      </c>
      <c r="B1253" t="str">
        <f>"000739"</f>
        <v>000739</v>
      </c>
      <c r="C1253" t="s">
        <v>2790</v>
      </c>
      <c r="D1253" t="s">
        <v>1112</v>
      </c>
      <c r="E1253">
        <v>10019157968</v>
      </c>
      <c r="F1253">
        <v>8054953628</v>
      </c>
      <c r="G1253">
        <v>7070877319</v>
      </c>
      <c r="H1253">
        <v>5718775909</v>
      </c>
      <c r="I1253">
        <v>5844572565</v>
      </c>
      <c r="J1253">
        <v>5840156668</v>
      </c>
      <c r="K1253">
        <v>5568373072</v>
      </c>
      <c r="L1253">
        <v>5151504427</v>
      </c>
      <c r="M1253">
        <v>4644499480</v>
      </c>
      <c r="N1253">
        <v>4497656089</v>
      </c>
      <c r="O1253">
        <v>2053957991</v>
      </c>
      <c r="P1253">
        <v>758</v>
      </c>
      <c r="Q1253" t="s">
        <v>2791</v>
      </c>
    </row>
    <row r="1254" spans="1:17" x14ac:dyDescent="0.3">
      <c r="A1254" t="s">
        <v>17</v>
      </c>
      <c r="B1254" t="str">
        <f>"603603"</f>
        <v>603603</v>
      </c>
      <c r="C1254" t="s">
        <v>2792</v>
      </c>
      <c r="D1254" t="s">
        <v>520</v>
      </c>
      <c r="E1254">
        <v>10013135415</v>
      </c>
      <c r="F1254">
        <v>11933523154</v>
      </c>
      <c r="G1254">
        <v>12384385626</v>
      </c>
      <c r="H1254">
        <v>12145515383</v>
      </c>
      <c r="I1254">
        <v>9187924481</v>
      </c>
      <c r="J1254">
        <v>6263586232</v>
      </c>
      <c r="P1254">
        <v>118</v>
      </c>
      <c r="Q1254" t="s">
        <v>2793</v>
      </c>
    </row>
    <row r="1255" spans="1:17" x14ac:dyDescent="0.3">
      <c r="A1255" t="s">
        <v>17</v>
      </c>
      <c r="B1255" t="str">
        <f>"603160"</f>
        <v>603160</v>
      </c>
      <c r="C1255" t="s">
        <v>2794</v>
      </c>
      <c r="D1255" t="s">
        <v>2795</v>
      </c>
      <c r="E1255">
        <v>10012396487</v>
      </c>
      <c r="F1255">
        <v>10349459643</v>
      </c>
      <c r="G1255">
        <v>8017163626</v>
      </c>
      <c r="H1255">
        <v>5786484897</v>
      </c>
      <c r="I1255">
        <v>4317517666</v>
      </c>
      <c r="J1255">
        <v>3395909322</v>
      </c>
      <c r="K1255">
        <v>1600480377</v>
      </c>
      <c r="P1255">
        <v>2243</v>
      </c>
      <c r="Q1255" t="s">
        <v>2796</v>
      </c>
    </row>
    <row r="1256" spans="1:17" x14ac:dyDescent="0.3">
      <c r="A1256" t="s">
        <v>47</v>
      </c>
      <c r="B1256" t="str">
        <f>"002053"</f>
        <v>002053</v>
      </c>
      <c r="C1256" t="s">
        <v>2797</v>
      </c>
      <c r="D1256" t="s">
        <v>1930</v>
      </c>
      <c r="E1256">
        <v>9996318316</v>
      </c>
      <c r="F1256">
        <v>9728595400</v>
      </c>
      <c r="G1256">
        <v>8954548226</v>
      </c>
      <c r="H1256">
        <v>7564206309</v>
      </c>
      <c r="I1256">
        <v>3783812030</v>
      </c>
      <c r="J1256">
        <v>3382980106</v>
      </c>
      <c r="K1256">
        <v>4147843497</v>
      </c>
      <c r="L1256">
        <v>3855477345</v>
      </c>
      <c r="M1256">
        <v>3445433002</v>
      </c>
      <c r="N1256">
        <v>3436119642</v>
      </c>
      <c r="O1256">
        <v>2886441325</v>
      </c>
      <c r="P1256">
        <v>105</v>
      </c>
      <c r="Q1256" t="s">
        <v>2798</v>
      </c>
    </row>
    <row r="1257" spans="1:17" x14ac:dyDescent="0.3">
      <c r="A1257" t="s">
        <v>47</v>
      </c>
      <c r="B1257" t="str">
        <f>"002195"</f>
        <v>002195</v>
      </c>
      <c r="C1257" t="s">
        <v>2799</v>
      </c>
      <c r="D1257" t="s">
        <v>700</v>
      </c>
      <c r="E1257">
        <v>9992119345</v>
      </c>
      <c r="F1257">
        <v>9844338362</v>
      </c>
      <c r="G1257">
        <v>11429023138</v>
      </c>
      <c r="H1257">
        <v>12029776374</v>
      </c>
      <c r="I1257">
        <v>9577372616</v>
      </c>
      <c r="J1257">
        <v>7738415871</v>
      </c>
      <c r="K1257">
        <v>6483999060</v>
      </c>
      <c r="L1257">
        <v>4346818526</v>
      </c>
      <c r="M1257">
        <v>495914236</v>
      </c>
      <c r="N1257">
        <v>491309886</v>
      </c>
      <c r="O1257">
        <v>464047062</v>
      </c>
      <c r="P1257">
        <v>558</v>
      </c>
      <c r="Q1257" t="s">
        <v>2800</v>
      </c>
    </row>
    <row r="1258" spans="1:17" x14ac:dyDescent="0.3">
      <c r="A1258" t="s">
        <v>17</v>
      </c>
      <c r="B1258" t="str">
        <f>"600122"</f>
        <v>600122</v>
      </c>
      <c r="C1258" t="s">
        <v>2801</v>
      </c>
      <c r="D1258" t="s">
        <v>1904</v>
      </c>
      <c r="E1258">
        <v>9988721503</v>
      </c>
      <c r="F1258">
        <v>10150613230</v>
      </c>
      <c r="G1258">
        <v>11691552867</v>
      </c>
      <c r="H1258">
        <v>16633673770</v>
      </c>
      <c r="I1258">
        <v>20508132887</v>
      </c>
      <c r="J1258">
        <v>20654624957</v>
      </c>
      <c r="K1258">
        <v>17634465827</v>
      </c>
      <c r="L1258">
        <v>18782312526</v>
      </c>
      <c r="M1258">
        <v>14491024070</v>
      </c>
      <c r="N1258">
        <v>13994173662</v>
      </c>
      <c r="O1258">
        <v>12524179880</v>
      </c>
      <c r="P1258">
        <v>96</v>
      </c>
      <c r="Q1258" t="s">
        <v>2802</v>
      </c>
    </row>
    <row r="1259" spans="1:17" x14ac:dyDescent="0.3">
      <c r="A1259" t="s">
        <v>47</v>
      </c>
      <c r="B1259" t="str">
        <f>"002929"</f>
        <v>002929</v>
      </c>
      <c r="C1259" t="s">
        <v>2803</v>
      </c>
      <c r="D1259" t="s">
        <v>2804</v>
      </c>
      <c r="E1259">
        <v>9968049140</v>
      </c>
      <c r="F1259">
        <v>7033181747</v>
      </c>
      <c r="G1259">
        <v>5214933021</v>
      </c>
      <c r="H1259">
        <v>4111181219</v>
      </c>
      <c r="I1259">
        <v>3915610018</v>
      </c>
      <c r="P1259">
        <v>270</v>
      </c>
      <c r="Q1259" t="s">
        <v>2805</v>
      </c>
    </row>
    <row r="1260" spans="1:17" x14ac:dyDescent="0.3">
      <c r="A1260" t="s">
        <v>17</v>
      </c>
      <c r="B1260" t="str">
        <f>"688169"</f>
        <v>688169</v>
      </c>
      <c r="C1260" t="s">
        <v>2806</v>
      </c>
      <c r="D1260" t="s">
        <v>2676</v>
      </c>
      <c r="E1260">
        <v>9967157346</v>
      </c>
      <c r="F1260">
        <v>8216446037</v>
      </c>
      <c r="G1260">
        <v>6369611589</v>
      </c>
      <c r="P1260">
        <v>758</v>
      </c>
      <c r="Q1260" t="s">
        <v>2807</v>
      </c>
    </row>
    <row r="1261" spans="1:17" x14ac:dyDescent="0.3">
      <c r="A1261" t="s">
        <v>17</v>
      </c>
      <c r="B1261" t="str">
        <f>"605222"</f>
        <v>605222</v>
      </c>
      <c r="C1261" t="s">
        <v>2808</v>
      </c>
      <c r="D1261" t="s">
        <v>1616</v>
      </c>
      <c r="E1261">
        <v>9961151573</v>
      </c>
      <c r="F1261">
        <v>6714782590</v>
      </c>
      <c r="G1261">
        <v>3928438292</v>
      </c>
      <c r="P1261">
        <v>110</v>
      </c>
      <c r="Q1261" t="s">
        <v>2809</v>
      </c>
    </row>
    <row r="1262" spans="1:17" x14ac:dyDescent="0.3">
      <c r="A1262" t="s">
        <v>47</v>
      </c>
      <c r="B1262" t="str">
        <f>"002140"</f>
        <v>002140</v>
      </c>
      <c r="C1262" t="s">
        <v>2810</v>
      </c>
      <c r="D1262" t="s">
        <v>370</v>
      </c>
      <c r="E1262">
        <v>9957140463</v>
      </c>
      <c r="F1262">
        <v>8169562100</v>
      </c>
      <c r="G1262">
        <v>6522326386</v>
      </c>
      <c r="H1262">
        <v>6144415142</v>
      </c>
      <c r="I1262">
        <v>6101027687</v>
      </c>
      <c r="J1262">
        <v>5987369972</v>
      </c>
      <c r="K1262">
        <v>5509639853</v>
      </c>
      <c r="L1262">
        <v>6795673861</v>
      </c>
      <c r="M1262">
        <v>5069943673</v>
      </c>
      <c r="N1262">
        <v>4739368359</v>
      </c>
      <c r="O1262">
        <v>4069766690</v>
      </c>
      <c r="P1262">
        <v>129</v>
      </c>
      <c r="Q1262" t="s">
        <v>2811</v>
      </c>
    </row>
    <row r="1263" spans="1:17" x14ac:dyDescent="0.3">
      <c r="A1263" t="s">
        <v>47</v>
      </c>
      <c r="B1263" t="str">
        <f>"002389"</f>
        <v>002389</v>
      </c>
      <c r="C1263" t="s">
        <v>2812</v>
      </c>
      <c r="D1263" t="s">
        <v>570</v>
      </c>
      <c r="E1263">
        <v>9946171533</v>
      </c>
      <c r="F1263">
        <v>8492792698</v>
      </c>
      <c r="G1263">
        <v>7959898441</v>
      </c>
      <c r="H1263">
        <v>7754022564</v>
      </c>
      <c r="I1263">
        <v>7423474332</v>
      </c>
      <c r="J1263">
        <v>4025869712</v>
      </c>
      <c r="K1263">
        <v>3811833209</v>
      </c>
      <c r="L1263">
        <v>2883533394</v>
      </c>
      <c r="M1263">
        <v>1844107081</v>
      </c>
      <c r="N1263">
        <v>1777333720</v>
      </c>
      <c r="O1263">
        <v>940717458</v>
      </c>
      <c r="P1263">
        <v>435</v>
      </c>
      <c r="Q1263" t="s">
        <v>2813</v>
      </c>
    </row>
    <row r="1264" spans="1:17" x14ac:dyDescent="0.3">
      <c r="A1264" t="s">
        <v>47</v>
      </c>
      <c r="B1264" t="str">
        <f>"300237"</f>
        <v>300237</v>
      </c>
      <c r="C1264" t="s">
        <v>2814</v>
      </c>
      <c r="D1264" t="s">
        <v>952</v>
      </c>
      <c r="E1264">
        <v>9894652661</v>
      </c>
      <c r="F1264">
        <v>10743339430</v>
      </c>
      <c r="G1264">
        <v>10548013941</v>
      </c>
      <c r="H1264">
        <v>9110528321</v>
      </c>
      <c r="I1264">
        <v>8215927793</v>
      </c>
      <c r="J1264">
        <v>5774842206</v>
      </c>
      <c r="K1264">
        <v>4266167114</v>
      </c>
      <c r="L1264">
        <v>2705262158</v>
      </c>
      <c r="M1264">
        <v>1043918376</v>
      </c>
      <c r="N1264">
        <v>940860024</v>
      </c>
      <c r="O1264">
        <v>931253215</v>
      </c>
      <c r="P1264">
        <v>315</v>
      </c>
      <c r="Q1264" t="s">
        <v>2815</v>
      </c>
    </row>
    <row r="1265" spans="1:17" x14ac:dyDescent="0.3">
      <c r="A1265" t="s">
        <v>17</v>
      </c>
      <c r="B1265" t="str">
        <f>"688739"</f>
        <v>688739</v>
      </c>
      <c r="C1265" t="s">
        <v>2816</v>
      </c>
      <c r="D1265" t="s">
        <v>894</v>
      </c>
      <c r="E1265">
        <v>9889979318</v>
      </c>
      <c r="G1265">
        <v>4057739829</v>
      </c>
      <c r="P1265">
        <v>36</v>
      </c>
      <c r="Q1265" t="s">
        <v>2817</v>
      </c>
    </row>
    <row r="1266" spans="1:17" x14ac:dyDescent="0.3">
      <c r="A1266" t="s">
        <v>47</v>
      </c>
      <c r="B1266" t="str">
        <f>"000525"</f>
        <v>000525</v>
      </c>
      <c r="C1266" t="s">
        <v>2818</v>
      </c>
      <c r="D1266" t="s">
        <v>819</v>
      </c>
      <c r="E1266">
        <v>9889473248</v>
      </c>
      <c r="F1266">
        <v>11520565374</v>
      </c>
      <c r="G1266">
        <v>13334116352</v>
      </c>
      <c r="H1266">
        <v>14008759872</v>
      </c>
      <c r="I1266">
        <v>12701451792</v>
      </c>
      <c r="J1266">
        <v>11078096495</v>
      </c>
      <c r="K1266">
        <v>9224933237</v>
      </c>
      <c r="L1266">
        <v>11515606032</v>
      </c>
      <c r="M1266">
        <v>10381940016</v>
      </c>
      <c r="N1266">
        <v>9465293973</v>
      </c>
      <c r="O1266">
        <v>7923908235</v>
      </c>
      <c r="P1266">
        <v>150</v>
      </c>
      <c r="Q1266" t="s">
        <v>2819</v>
      </c>
    </row>
    <row r="1267" spans="1:17" x14ac:dyDescent="0.3">
      <c r="A1267" t="s">
        <v>17</v>
      </c>
      <c r="B1267" t="str">
        <f>"601008"</f>
        <v>601008</v>
      </c>
      <c r="C1267" t="s">
        <v>2820</v>
      </c>
      <c r="D1267" t="s">
        <v>357</v>
      </c>
      <c r="E1267">
        <v>9852190772</v>
      </c>
      <c r="F1267">
        <v>8952312983</v>
      </c>
      <c r="G1267">
        <v>9813231699</v>
      </c>
      <c r="H1267">
        <v>8989483141</v>
      </c>
      <c r="I1267">
        <v>7303378452</v>
      </c>
      <c r="J1267">
        <v>7118653678</v>
      </c>
      <c r="K1267">
        <v>6772104290</v>
      </c>
      <c r="L1267">
        <v>6675934740</v>
      </c>
      <c r="M1267">
        <v>6314869112</v>
      </c>
      <c r="N1267">
        <v>4420496452</v>
      </c>
      <c r="O1267">
        <v>3709269678</v>
      </c>
      <c r="P1267">
        <v>131</v>
      </c>
      <c r="Q1267" t="s">
        <v>2821</v>
      </c>
    </row>
    <row r="1268" spans="1:17" x14ac:dyDescent="0.3">
      <c r="A1268" t="s">
        <v>47</v>
      </c>
      <c r="B1268" t="str">
        <f>"300454"</f>
        <v>300454</v>
      </c>
      <c r="C1268" t="s">
        <v>2822</v>
      </c>
      <c r="D1268" t="s">
        <v>1010</v>
      </c>
      <c r="E1268">
        <v>9844949234</v>
      </c>
      <c r="F1268">
        <v>9237035842</v>
      </c>
      <c r="G1268">
        <v>5754642778</v>
      </c>
      <c r="H1268">
        <v>4768349915</v>
      </c>
      <c r="I1268">
        <v>2563535175</v>
      </c>
      <c r="P1268">
        <v>799</v>
      </c>
      <c r="Q1268" t="s">
        <v>2823</v>
      </c>
    </row>
    <row r="1269" spans="1:17" x14ac:dyDescent="0.3">
      <c r="A1269" t="s">
        <v>17</v>
      </c>
      <c r="B1269" t="str">
        <f>"603118"</f>
        <v>603118</v>
      </c>
      <c r="C1269" t="s">
        <v>2824</v>
      </c>
      <c r="D1269" t="s">
        <v>962</v>
      </c>
      <c r="E1269">
        <v>9820194119</v>
      </c>
      <c r="F1269">
        <v>8792164422</v>
      </c>
      <c r="G1269">
        <v>7645058887</v>
      </c>
      <c r="H1269">
        <v>8088107333</v>
      </c>
      <c r="I1269">
        <v>7111929174</v>
      </c>
      <c r="J1269">
        <v>7236846206</v>
      </c>
      <c r="K1269">
        <v>4617484691</v>
      </c>
      <c r="L1269">
        <v>4828920652</v>
      </c>
      <c r="P1269">
        <v>243</v>
      </c>
      <c r="Q1269" t="s">
        <v>2825</v>
      </c>
    </row>
    <row r="1270" spans="1:17" x14ac:dyDescent="0.3">
      <c r="A1270" t="s">
        <v>17</v>
      </c>
      <c r="B1270" t="str">
        <f>"600979"</f>
        <v>600979</v>
      </c>
      <c r="C1270" t="s">
        <v>2826</v>
      </c>
      <c r="D1270" t="s">
        <v>652</v>
      </c>
      <c r="E1270">
        <v>9810050207</v>
      </c>
      <c r="F1270">
        <v>9193207942</v>
      </c>
      <c r="G1270">
        <v>8789109902</v>
      </c>
      <c r="H1270">
        <v>7938390236</v>
      </c>
      <c r="I1270">
        <v>7762164975</v>
      </c>
      <c r="J1270">
        <v>8007238509</v>
      </c>
      <c r="K1270">
        <v>6686314686</v>
      </c>
      <c r="L1270">
        <v>6284422076</v>
      </c>
      <c r="M1270">
        <v>4552641276</v>
      </c>
      <c r="N1270">
        <v>4012052193</v>
      </c>
      <c r="O1270">
        <v>3334429670</v>
      </c>
      <c r="P1270">
        <v>117</v>
      </c>
      <c r="Q1270" t="s">
        <v>2827</v>
      </c>
    </row>
    <row r="1271" spans="1:17" x14ac:dyDescent="0.3">
      <c r="A1271" t="s">
        <v>47</v>
      </c>
      <c r="B1271" t="str">
        <f>"000861"</f>
        <v>000861</v>
      </c>
      <c r="C1271" t="s">
        <v>2828</v>
      </c>
      <c r="D1271" t="s">
        <v>454</v>
      </c>
      <c r="E1271">
        <v>9783730907</v>
      </c>
      <c r="F1271">
        <v>10382696531</v>
      </c>
      <c r="G1271">
        <v>10858554971</v>
      </c>
      <c r="H1271">
        <v>11429750354</v>
      </c>
      <c r="I1271">
        <v>11966439812</v>
      </c>
      <c r="J1271">
        <v>10358400410</v>
      </c>
      <c r="K1271">
        <v>7904218734</v>
      </c>
      <c r="L1271">
        <v>6934680790</v>
      </c>
      <c r="M1271">
        <v>5462540057</v>
      </c>
      <c r="N1271">
        <v>4203758775</v>
      </c>
      <c r="O1271">
        <v>3579529494</v>
      </c>
      <c r="P1271">
        <v>184</v>
      </c>
      <c r="Q1271" t="s">
        <v>2829</v>
      </c>
    </row>
    <row r="1272" spans="1:17" x14ac:dyDescent="0.3">
      <c r="A1272" t="s">
        <v>47</v>
      </c>
      <c r="B1272" t="str">
        <f>"000851"</f>
        <v>000851</v>
      </c>
      <c r="C1272" t="s">
        <v>2830</v>
      </c>
      <c r="D1272" t="s">
        <v>367</v>
      </c>
      <c r="E1272">
        <v>9774137588</v>
      </c>
      <c r="F1272">
        <v>10054767676</v>
      </c>
      <c r="G1272">
        <v>9192397033</v>
      </c>
      <c r="H1272">
        <v>9238257253</v>
      </c>
      <c r="I1272">
        <v>8037801708</v>
      </c>
      <c r="J1272">
        <v>7604388140</v>
      </c>
      <c r="K1272">
        <v>6669033492</v>
      </c>
      <c r="L1272">
        <v>6562196476</v>
      </c>
      <c r="M1272">
        <v>5472860463</v>
      </c>
      <c r="N1272">
        <v>3659549009</v>
      </c>
      <c r="O1272">
        <v>2654451549</v>
      </c>
      <c r="P1272">
        <v>224</v>
      </c>
      <c r="Q1272" t="s">
        <v>2831</v>
      </c>
    </row>
    <row r="1273" spans="1:17" x14ac:dyDescent="0.3">
      <c r="A1273" t="s">
        <v>47</v>
      </c>
      <c r="B1273" t="str">
        <f>"000899"</f>
        <v>000899</v>
      </c>
      <c r="C1273" t="s">
        <v>2832</v>
      </c>
      <c r="D1273" t="s">
        <v>171</v>
      </c>
      <c r="E1273">
        <v>9744267979</v>
      </c>
      <c r="F1273">
        <v>7930686383</v>
      </c>
      <c r="G1273">
        <v>7384518255</v>
      </c>
      <c r="H1273">
        <v>7445819930</v>
      </c>
      <c r="I1273">
        <v>7388105183</v>
      </c>
      <c r="J1273">
        <v>7690777949</v>
      </c>
      <c r="K1273">
        <v>7705039862</v>
      </c>
      <c r="L1273">
        <v>5957292337</v>
      </c>
      <c r="M1273">
        <v>6220834730</v>
      </c>
      <c r="N1273">
        <v>6265499071</v>
      </c>
      <c r="O1273">
        <v>6496589979</v>
      </c>
      <c r="P1273">
        <v>174</v>
      </c>
      <c r="Q1273" t="s">
        <v>2833</v>
      </c>
    </row>
    <row r="1274" spans="1:17" x14ac:dyDescent="0.3">
      <c r="A1274" t="s">
        <v>47</v>
      </c>
      <c r="B1274" t="str">
        <f>"002240"</f>
        <v>002240</v>
      </c>
      <c r="C1274" t="s">
        <v>2834</v>
      </c>
      <c r="D1274" t="s">
        <v>915</v>
      </c>
      <c r="E1274">
        <v>9735745921</v>
      </c>
      <c r="F1274">
        <v>4950532497</v>
      </c>
      <c r="G1274">
        <v>5426004732</v>
      </c>
      <c r="H1274">
        <v>3740334197</v>
      </c>
      <c r="I1274">
        <v>2929336630</v>
      </c>
      <c r="J1274">
        <v>2546661660</v>
      </c>
      <c r="K1274">
        <v>2384131380</v>
      </c>
      <c r="L1274">
        <v>2722225872</v>
      </c>
      <c r="M1274">
        <v>2823414105</v>
      </c>
      <c r="N1274">
        <v>3019490515</v>
      </c>
      <c r="O1274">
        <v>3193708839</v>
      </c>
      <c r="P1274">
        <v>389</v>
      </c>
      <c r="Q1274" t="s">
        <v>2835</v>
      </c>
    </row>
    <row r="1275" spans="1:17" x14ac:dyDescent="0.3">
      <c r="A1275" t="s">
        <v>17</v>
      </c>
      <c r="B1275" t="str">
        <f>"600903"</f>
        <v>600903</v>
      </c>
      <c r="C1275" t="s">
        <v>2836</v>
      </c>
      <c r="D1275" t="s">
        <v>476</v>
      </c>
      <c r="E1275">
        <v>9728902088</v>
      </c>
      <c r="F1275">
        <v>9037328924</v>
      </c>
      <c r="G1275">
        <v>8925444994</v>
      </c>
      <c r="H1275">
        <v>8714304936</v>
      </c>
      <c r="I1275">
        <v>7775157232</v>
      </c>
      <c r="P1275">
        <v>186</v>
      </c>
      <c r="Q1275" t="s">
        <v>2837</v>
      </c>
    </row>
    <row r="1276" spans="1:17" x14ac:dyDescent="0.3">
      <c r="A1276" t="s">
        <v>47</v>
      </c>
      <c r="B1276" t="str">
        <f>"300144"</f>
        <v>300144</v>
      </c>
      <c r="C1276" t="s">
        <v>2838</v>
      </c>
      <c r="D1276" t="s">
        <v>1942</v>
      </c>
      <c r="E1276">
        <v>9714380354</v>
      </c>
      <c r="F1276">
        <v>9576342192</v>
      </c>
      <c r="G1276">
        <v>10937042154</v>
      </c>
      <c r="H1276">
        <v>12091538522</v>
      </c>
      <c r="I1276">
        <v>9102091428</v>
      </c>
      <c r="J1276">
        <v>7846809178</v>
      </c>
      <c r="K1276">
        <v>7167558272</v>
      </c>
      <c r="L1276">
        <v>3905977659</v>
      </c>
      <c r="M1276">
        <v>3452965969</v>
      </c>
      <c r="N1276">
        <v>3208268888</v>
      </c>
      <c r="O1276">
        <v>3067772083</v>
      </c>
      <c r="P1276">
        <v>3022</v>
      </c>
      <c r="Q1276" t="s">
        <v>2839</v>
      </c>
    </row>
    <row r="1277" spans="1:17" x14ac:dyDescent="0.3">
      <c r="A1277" t="s">
        <v>17</v>
      </c>
      <c r="B1277" t="str">
        <f>"600626"</f>
        <v>600626</v>
      </c>
      <c r="C1277" t="s">
        <v>2840</v>
      </c>
      <c r="D1277" t="s">
        <v>416</v>
      </c>
      <c r="E1277">
        <v>9705246640</v>
      </c>
      <c r="F1277">
        <v>10542047867</v>
      </c>
      <c r="G1277">
        <v>10583595821</v>
      </c>
      <c r="H1277">
        <v>12113426320</v>
      </c>
      <c r="I1277">
        <v>10686866131</v>
      </c>
      <c r="J1277">
        <v>5641582264</v>
      </c>
      <c r="K1277">
        <v>4967602394</v>
      </c>
      <c r="L1277">
        <v>4063882010</v>
      </c>
      <c r="M1277">
        <v>3913605847</v>
      </c>
      <c r="N1277">
        <v>3714544467</v>
      </c>
      <c r="O1277">
        <v>3315914552</v>
      </c>
      <c r="P1277">
        <v>93</v>
      </c>
      <c r="Q1277" t="s">
        <v>2841</v>
      </c>
    </row>
    <row r="1278" spans="1:17" x14ac:dyDescent="0.3">
      <c r="A1278" t="s">
        <v>47</v>
      </c>
      <c r="B1278" t="str">
        <f>"002294"</f>
        <v>002294</v>
      </c>
      <c r="C1278" t="s">
        <v>2842</v>
      </c>
      <c r="D1278" t="s">
        <v>550</v>
      </c>
      <c r="E1278">
        <v>9697573102</v>
      </c>
      <c r="F1278">
        <v>6948336006</v>
      </c>
      <c r="G1278">
        <v>8025965419</v>
      </c>
      <c r="H1278">
        <v>8103061747</v>
      </c>
      <c r="I1278">
        <v>7169006178</v>
      </c>
      <c r="J1278">
        <v>6843020875</v>
      </c>
      <c r="K1278">
        <v>5752391581</v>
      </c>
      <c r="L1278">
        <v>4713127011</v>
      </c>
      <c r="M1278">
        <v>3855198311</v>
      </c>
      <c r="N1278">
        <v>3165873927</v>
      </c>
      <c r="O1278">
        <v>2608426337</v>
      </c>
      <c r="P1278">
        <v>25590</v>
      </c>
      <c r="Q1278" t="s">
        <v>2843</v>
      </c>
    </row>
    <row r="1279" spans="1:17" x14ac:dyDescent="0.3">
      <c r="A1279" t="s">
        <v>47</v>
      </c>
      <c r="B1279" t="str">
        <f>"002273"</f>
        <v>002273</v>
      </c>
      <c r="C1279" t="s">
        <v>2844</v>
      </c>
      <c r="D1279" t="s">
        <v>1487</v>
      </c>
      <c r="E1279">
        <v>9668717291</v>
      </c>
      <c r="F1279">
        <v>7204766978</v>
      </c>
      <c r="G1279">
        <v>6530170302</v>
      </c>
      <c r="H1279">
        <v>5631398773</v>
      </c>
      <c r="I1279">
        <v>5116920392</v>
      </c>
      <c r="J1279">
        <v>3445161424</v>
      </c>
      <c r="K1279">
        <v>2979726872</v>
      </c>
      <c r="L1279">
        <v>1874616868</v>
      </c>
      <c r="M1279">
        <v>1288941773</v>
      </c>
      <c r="N1279">
        <v>1189036236</v>
      </c>
      <c r="O1279">
        <v>1059944806</v>
      </c>
      <c r="P1279">
        <v>949</v>
      </c>
      <c r="Q1279" t="s">
        <v>2845</v>
      </c>
    </row>
    <row r="1280" spans="1:17" x14ac:dyDescent="0.3">
      <c r="A1280" t="s">
        <v>47</v>
      </c>
      <c r="B1280" t="str">
        <f>"300748"</f>
        <v>300748</v>
      </c>
      <c r="C1280" t="s">
        <v>2846</v>
      </c>
      <c r="D1280" t="s">
        <v>2108</v>
      </c>
      <c r="E1280">
        <v>9664485442</v>
      </c>
      <c r="F1280">
        <v>4258555030</v>
      </c>
      <c r="G1280">
        <v>2876630527</v>
      </c>
      <c r="H1280">
        <v>2066652293</v>
      </c>
      <c r="P1280">
        <v>341</v>
      </c>
      <c r="Q1280" t="s">
        <v>2847</v>
      </c>
    </row>
    <row r="1281" spans="1:17" x14ac:dyDescent="0.3">
      <c r="A1281" t="s">
        <v>47</v>
      </c>
      <c r="B1281" t="str">
        <f>"300083"</f>
        <v>300083</v>
      </c>
      <c r="C1281" t="s">
        <v>2848</v>
      </c>
      <c r="D1281" t="s">
        <v>1360</v>
      </c>
      <c r="E1281">
        <v>9647476516</v>
      </c>
      <c r="F1281">
        <v>9675485370</v>
      </c>
      <c r="G1281">
        <v>7109928666</v>
      </c>
      <c r="H1281">
        <v>8547719551</v>
      </c>
      <c r="I1281">
        <v>11213158142</v>
      </c>
      <c r="J1281">
        <v>9961163090</v>
      </c>
      <c r="K1281">
        <v>8417417576</v>
      </c>
      <c r="L1281">
        <v>4351525238</v>
      </c>
      <c r="M1281">
        <v>2968635882</v>
      </c>
      <c r="N1281">
        <v>2220785435</v>
      </c>
      <c r="O1281">
        <v>1612722094</v>
      </c>
      <c r="P1281">
        <v>487</v>
      </c>
      <c r="Q1281" t="s">
        <v>2849</v>
      </c>
    </row>
    <row r="1282" spans="1:17" x14ac:dyDescent="0.3">
      <c r="A1282" t="s">
        <v>17</v>
      </c>
      <c r="B1282" t="str">
        <f>"600641"</f>
        <v>600641</v>
      </c>
      <c r="C1282" t="s">
        <v>2850</v>
      </c>
      <c r="D1282" t="s">
        <v>76</v>
      </c>
      <c r="E1282">
        <v>9646084581</v>
      </c>
      <c r="F1282">
        <v>7696171894</v>
      </c>
      <c r="G1282">
        <v>7039916854</v>
      </c>
      <c r="H1282">
        <v>7862914665</v>
      </c>
      <c r="I1282">
        <v>8547662591</v>
      </c>
      <c r="J1282">
        <v>7531036287</v>
      </c>
      <c r="K1282">
        <v>6868416195</v>
      </c>
      <c r="L1282">
        <v>6920212277</v>
      </c>
      <c r="M1282">
        <v>7921535239</v>
      </c>
      <c r="N1282">
        <v>7052191729</v>
      </c>
      <c r="O1282">
        <v>6757078336</v>
      </c>
      <c r="P1282">
        <v>404</v>
      </c>
      <c r="Q1282" t="s">
        <v>2851</v>
      </c>
    </row>
    <row r="1283" spans="1:17" x14ac:dyDescent="0.3">
      <c r="A1283" t="s">
        <v>17</v>
      </c>
      <c r="B1283" t="str">
        <f>"600368"</f>
        <v>600368</v>
      </c>
      <c r="C1283" t="s">
        <v>2852</v>
      </c>
      <c r="D1283" t="s">
        <v>471</v>
      </c>
      <c r="E1283">
        <v>9637058177</v>
      </c>
      <c r="F1283">
        <v>10580095902</v>
      </c>
      <c r="G1283">
        <v>10779821221</v>
      </c>
      <c r="H1283">
        <v>11098485847</v>
      </c>
      <c r="I1283">
        <v>10814109419</v>
      </c>
      <c r="J1283">
        <v>11472630938</v>
      </c>
      <c r="K1283">
        <v>11600973730</v>
      </c>
      <c r="L1283">
        <v>14362939152</v>
      </c>
      <c r="M1283">
        <v>14318822990</v>
      </c>
      <c r="N1283">
        <v>13199998993</v>
      </c>
      <c r="O1283">
        <v>10157231164</v>
      </c>
      <c r="P1283">
        <v>302</v>
      </c>
      <c r="Q1283" t="s">
        <v>2853</v>
      </c>
    </row>
    <row r="1284" spans="1:17" x14ac:dyDescent="0.3">
      <c r="A1284" t="s">
        <v>47</v>
      </c>
      <c r="B1284" t="str">
        <f>"002139"</f>
        <v>002139</v>
      </c>
      <c r="C1284" t="s">
        <v>2854</v>
      </c>
      <c r="D1284" t="s">
        <v>283</v>
      </c>
      <c r="E1284">
        <v>9633216944</v>
      </c>
      <c r="F1284">
        <v>7605880403</v>
      </c>
      <c r="G1284">
        <v>5267487830</v>
      </c>
      <c r="H1284">
        <v>4464626418</v>
      </c>
      <c r="I1284">
        <v>3450936634</v>
      </c>
      <c r="J1284">
        <v>2693751687</v>
      </c>
      <c r="K1284">
        <v>2145494134</v>
      </c>
      <c r="L1284">
        <v>1280799415</v>
      </c>
      <c r="M1284">
        <v>893197163</v>
      </c>
      <c r="N1284">
        <v>849565861</v>
      </c>
      <c r="O1284">
        <v>823520432</v>
      </c>
      <c r="P1284">
        <v>919</v>
      </c>
      <c r="Q1284" t="s">
        <v>2855</v>
      </c>
    </row>
    <row r="1285" spans="1:17" x14ac:dyDescent="0.3">
      <c r="A1285" t="s">
        <v>17</v>
      </c>
      <c r="B1285" t="str">
        <f>"603658"</f>
        <v>603658</v>
      </c>
      <c r="C1285" t="s">
        <v>2856</v>
      </c>
      <c r="D1285" t="s">
        <v>2322</v>
      </c>
      <c r="E1285">
        <v>9628036185</v>
      </c>
      <c r="F1285">
        <v>8067980135</v>
      </c>
      <c r="G1285">
        <v>4728469351</v>
      </c>
      <c r="H1285">
        <v>2848210965</v>
      </c>
      <c r="I1285">
        <v>2322203779</v>
      </c>
      <c r="J1285">
        <v>1925426833</v>
      </c>
      <c r="P1285">
        <v>2606</v>
      </c>
      <c r="Q1285" t="s">
        <v>2857</v>
      </c>
    </row>
    <row r="1286" spans="1:17" x14ac:dyDescent="0.3">
      <c r="A1286" t="s">
        <v>17</v>
      </c>
      <c r="B1286" t="str">
        <f>"603338"</f>
        <v>603338</v>
      </c>
      <c r="C1286" t="s">
        <v>2858</v>
      </c>
      <c r="D1286" t="s">
        <v>429</v>
      </c>
      <c r="E1286">
        <v>9595758343</v>
      </c>
      <c r="F1286">
        <v>6190107819</v>
      </c>
      <c r="G1286">
        <v>4919656865</v>
      </c>
      <c r="H1286">
        <v>3892560413</v>
      </c>
      <c r="I1286">
        <v>2912679436</v>
      </c>
      <c r="J1286">
        <v>1502047198</v>
      </c>
      <c r="K1286">
        <v>1204900147</v>
      </c>
      <c r="L1286">
        <v>934794362</v>
      </c>
      <c r="P1286">
        <v>12811</v>
      </c>
      <c r="Q1286" t="s">
        <v>2859</v>
      </c>
    </row>
    <row r="1287" spans="1:17" x14ac:dyDescent="0.3">
      <c r="A1287" t="s">
        <v>17</v>
      </c>
      <c r="B1287" t="str">
        <f>"600337"</f>
        <v>600337</v>
      </c>
      <c r="C1287" t="s">
        <v>2860</v>
      </c>
      <c r="D1287" t="s">
        <v>2082</v>
      </c>
      <c r="E1287">
        <v>9572616314</v>
      </c>
      <c r="F1287">
        <v>9402380073</v>
      </c>
      <c r="G1287">
        <v>8243841626</v>
      </c>
      <c r="H1287">
        <v>8428158158</v>
      </c>
      <c r="I1287">
        <v>7287797512</v>
      </c>
      <c r="J1287">
        <v>5555290512</v>
      </c>
      <c r="K1287">
        <v>4892823114</v>
      </c>
      <c r="L1287">
        <v>4096860343</v>
      </c>
      <c r="M1287">
        <v>3855597668</v>
      </c>
      <c r="N1287">
        <v>3634252451</v>
      </c>
      <c r="O1287">
        <v>3543180439</v>
      </c>
      <c r="P1287">
        <v>226</v>
      </c>
      <c r="Q1287" t="s">
        <v>2861</v>
      </c>
    </row>
    <row r="1288" spans="1:17" x14ac:dyDescent="0.3">
      <c r="A1288" t="s">
        <v>47</v>
      </c>
      <c r="B1288" t="str">
        <f>"002025"</f>
        <v>002025</v>
      </c>
      <c r="C1288" t="s">
        <v>2862</v>
      </c>
      <c r="D1288" t="s">
        <v>1385</v>
      </c>
      <c r="E1288">
        <v>9556464642</v>
      </c>
      <c r="F1288">
        <v>6764192954</v>
      </c>
      <c r="G1288">
        <v>5589253691</v>
      </c>
      <c r="H1288">
        <v>4865958549</v>
      </c>
      <c r="I1288">
        <v>4423795394</v>
      </c>
      <c r="J1288">
        <v>3902840469</v>
      </c>
      <c r="K1288">
        <v>3374229641</v>
      </c>
      <c r="L1288">
        <v>2986862024</v>
      </c>
      <c r="M1288">
        <v>2637020493</v>
      </c>
      <c r="N1288">
        <v>2289791913</v>
      </c>
      <c r="O1288">
        <v>2017194897</v>
      </c>
      <c r="P1288">
        <v>468</v>
      </c>
      <c r="Q1288" t="s">
        <v>2863</v>
      </c>
    </row>
    <row r="1289" spans="1:17" x14ac:dyDescent="0.3">
      <c r="A1289" t="s">
        <v>47</v>
      </c>
      <c r="B1289" t="str">
        <f>"002390"</f>
        <v>002390</v>
      </c>
      <c r="C1289" t="s">
        <v>2864</v>
      </c>
      <c r="D1289" t="s">
        <v>695</v>
      </c>
      <c r="E1289">
        <v>9545697702</v>
      </c>
      <c r="F1289">
        <v>9657719563</v>
      </c>
      <c r="G1289">
        <v>10318922713</v>
      </c>
      <c r="H1289">
        <v>10623821003</v>
      </c>
      <c r="I1289">
        <v>11764138303</v>
      </c>
      <c r="J1289">
        <v>10980933960</v>
      </c>
      <c r="K1289">
        <v>10285530227</v>
      </c>
      <c r="L1289">
        <v>5458892668</v>
      </c>
      <c r="M1289">
        <v>3706838696</v>
      </c>
      <c r="N1289">
        <v>1336470007</v>
      </c>
      <c r="O1289">
        <v>1245347844</v>
      </c>
      <c r="P1289">
        <v>272</v>
      </c>
      <c r="Q1289" t="s">
        <v>2865</v>
      </c>
    </row>
    <row r="1290" spans="1:17" x14ac:dyDescent="0.3">
      <c r="A1290" t="s">
        <v>47</v>
      </c>
      <c r="B1290" t="str">
        <f>"002616"</f>
        <v>002616</v>
      </c>
      <c r="C1290" t="s">
        <v>2866</v>
      </c>
      <c r="D1290" t="s">
        <v>2867</v>
      </c>
      <c r="E1290">
        <v>9540896042</v>
      </c>
      <c r="F1290">
        <v>9052794851</v>
      </c>
      <c r="G1290">
        <v>7375022111</v>
      </c>
      <c r="H1290">
        <v>4982709972</v>
      </c>
      <c r="I1290">
        <v>4553780558</v>
      </c>
      <c r="J1290">
        <v>3443431869</v>
      </c>
      <c r="K1290">
        <v>3127112846</v>
      </c>
      <c r="L1290">
        <v>2557474365</v>
      </c>
      <c r="M1290">
        <v>2124761464</v>
      </c>
      <c r="N1290">
        <v>1916767293</v>
      </c>
      <c r="O1290">
        <v>1768598265</v>
      </c>
      <c r="P1290">
        <v>202</v>
      </c>
      <c r="Q1290" t="s">
        <v>2868</v>
      </c>
    </row>
    <row r="1291" spans="1:17" x14ac:dyDescent="0.3">
      <c r="A1291" t="s">
        <v>47</v>
      </c>
      <c r="B1291" t="str">
        <f>"002102"</f>
        <v>002102</v>
      </c>
      <c r="C1291" t="s">
        <v>2869</v>
      </c>
      <c r="D1291" t="s">
        <v>1112</v>
      </c>
      <c r="E1291">
        <v>9537808792</v>
      </c>
      <c r="F1291">
        <v>9350281732</v>
      </c>
      <c r="G1291">
        <v>8709501604</v>
      </c>
      <c r="H1291">
        <v>8176802983</v>
      </c>
      <c r="I1291">
        <v>8521207155</v>
      </c>
      <c r="J1291">
        <v>7442412270</v>
      </c>
      <c r="K1291">
        <v>4767995553</v>
      </c>
      <c r="L1291">
        <v>4540621326</v>
      </c>
      <c r="M1291">
        <v>2128911067</v>
      </c>
      <c r="N1291">
        <v>1987008991</v>
      </c>
      <c r="O1291">
        <v>1700993410</v>
      </c>
      <c r="P1291">
        <v>119</v>
      </c>
      <c r="Q1291" t="s">
        <v>2870</v>
      </c>
    </row>
    <row r="1292" spans="1:17" x14ac:dyDescent="0.3">
      <c r="A1292" t="s">
        <v>47</v>
      </c>
      <c r="B1292" t="str">
        <f>"002610"</f>
        <v>002610</v>
      </c>
      <c r="C1292" t="s">
        <v>2871</v>
      </c>
      <c r="D1292" t="s">
        <v>1555</v>
      </c>
      <c r="E1292">
        <v>9533075412</v>
      </c>
      <c r="F1292">
        <v>8776832902</v>
      </c>
      <c r="G1292">
        <v>11111568714</v>
      </c>
      <c r="H1292">
        <v>14139604740</v>
      </c>
      <c r="I1292">
        <v>16522148880</v>
      </c>
      <c r="J1292">
        <v>16916179553</v>
      </c>
      <c r="K1292">
        <v>14694721512</v>
      </c>
      <c r="L1292">
        <v>8667534329</v>
      </c>
      <c r="M1292">
        <v>5164188704</v>
      </c>
      <c r="N1292">
        <v>3711247710</v>
      </c>
      <c r="O1292">
        <v>3026407662</v>
      </c>
      <c r="P1292">
        <v>301</v>
      </c>
      <c r="Q1292" t="s">
        <v>2872</v>
      </c>
    </row>
    <row r="1293" spans="1:17" x14ac:dyDescent="0.3">
      <c r="A1293" t="s">
        <v>17</v>
      </c>
      <c r="B1293" t="str">
        <f>"600955"</f>
        <v>600955</v>
      </c>
      <c r="C1293" t="s">
        <v>2873</v>
      </c>
      <c r="D1293" t="s">
        <v>2874</v>
      </c>
      <c r="E1293">
        <v>9526396248</v>
      </c>
      <c r="P1293">
        <v>46</v>
      </c>
      <c r="Q1293" t="s">
        <v>2875</v>
      </c>
    </row>
    <row r="1294" spans="1:17" x14ac:dyDescent="0.3">
      <c r="A1294" t="s">
        <v>47</v>
      </c>
      <c r="B1294" t="str">
        <f>"002055"</f>
        <v>002055</v>
      </c>
      <c r="C1294" t="s">
        <v>2876</v>
      </c>
      <c r="D1294" t="s">
        <v>283</v>
      </c>
      <c r="E1294">
        <v>9512342739</v>
      </c>
      <c r="F1294">
        <v>9848584850</v>
      </c>
      <c r="G1294">
        <v>10006686529</v>
      </c>
      <c r="H1294">
        <v>10176575519</v>
      </c>
      <c r="I1294">
        <v>9484883649</v>
      </c>
      <c r="J1294">
        <v>6801523586</v>
      </c>
      <c r="K1294">
        <v>5499367126</v>
      </c>
      <c r="L1294">
        <v>3612385087</v>
      </c>
      <c r="M1294">
        <v>2860462981</v>
      </c>
      <c r="N1294">
        <v>2370704218</v>
      </c>
      <c r="O1294">
        <v>2097463756</v>
      </c>
      <c r="P1294">
        <v>245</v>
      </c>
      <c r="Q1294" t="s">
        <v>2877</v>
      </c>
    </row>
    <row r="1295" spans="1:17" x14ac:dyDescent="0.3">
      <c r="A1295" t="s">
        <v>47</v>
      </c>
      <c r="B1295" t="str">
        <f>"300358"</f>
        <v>300358</v>
      </c>
      <c r="C1295" t="s">
        <v>2878</v>
      </c>
      <c r="D1295" t="s">
        <v>1083</v>
      </c>
      <c r="E1295">
        <v>9511857159</v>
      </c>
      <c r="F1295">
        <v>7422654419</v>
      </c>
      <c r="G1295">
        <v>4375532381</v>
      </c>
      <c r="H1295">
        <v>4060285597</v>
      </c>
      <c r="I1295">
        <v>3914640673</v>
      </c>
      <c r="J1295">
        <v>2949785329</v>
      </c>
      <c r="K1295">
        <v>2496694821</v>
      </c>
      <c r="L1295">
        <v>1396740762</v>
      </c>
      <c r="M1295">
        <v>1334136414</v>
      </c>
      <c r="P1295">
        <v>185</v>
      </c>
      <c r="Q1295" t="s">
        <v>2879</v>
      </c>
    </row>
    <row r="1296" spans="1:17" x14ac:dyDescent="0.3">
      <c r="A1296" t="s">
        <v>47</v>
      </c>
      <c r="B1296" t="str">
        <f>"000852"</f>
        <v>000852</v>
      </c>
      <c r="C1296" t="s">
        <v>2880</v>
      </c>
      <c r="D1296" t="s">
        <v>607</v>
      </c>
      <c r="E1296">
        <v>9492899576</v>
      </c>
      <c r="F1296">
        <v>8383253804</v>
      </c>
      <c r="G1296">
        <v>9122526256</v>
      </c>
      <c r="H1296">
        <v>8919768385</v>
      </c>
      <c r="I1296">
        <v>6894911249</v>
      </c>
      <c r="J1296">
        <v>6573487745</v>
      </c>
      <c r="K1296">
        <v>7231967656</v>
      </c>
      <c r="L1296">
        <v>2410386481</v>
      </c>
      <c r="M1296">
        <v>2302417967</v>
      </c>
      <c r="N1296">
        <v>2287529152</v>
      </c>
      <c r="O1296">
        <v>2009720625</v>
      </c>
      <c r="P1296">
        <v>155</v>
      </c>
      <c r="Q1296" t="s">
        <v>2881</v>
      </c>
    </row>
    <row r="1297" spans="1:17" x14ac:dyDescent="0.3">
      <c r="A1297" t="s">
        <v>47</v>
      </c>
      <c r="B1297" t="str">
        <f>"002489"</f>
        <v>002489</v>
      </c>
      <c r="C1297" t="s">
        <v>2882</v>
      </c>
      <c r="D1297" t="s">
        <v>2082</v>
      </c>
      <c r="E1297">
        <v>9492230307</v>
      </c>
      <c r="F1297">
        <v>7724967508</v>
      </c>
      <c r="G1297">
        <v>7096165669</v>
      </c>
      <c r="H1297">
        <v>6632635462</v>
      </c>
      <c r="I1297">
        <v>7682344873</v>
      </c>
      <c r="J1297">
        <v>7855575435</v>
      </c>
      <c r="K1297">
        <v>5635552812</v>
      </c>
      <c r="L1297">
        <v>6055974464</v>
      </c>
      <c r="M1297">
        <v>5053569918</v>
      </c>
      <c r="N1297">
        <v>4951082620</v>
      </c>
      <c r="O1297">
        <v>4080919452</v>
      </c>
      <c r="P1297">
        <v>206</v>
      </c>
      <c r="Q1297" t="s">
        <v>2883</v>
      </c>
    </row>
    <row r="1298" spans="1:17" x14ac:dyDescent="0.3">
      <c r="A1298" t="s">
        <v>17</v>
      </c>
      <c r="B1298" t="str">
        <f>"600081"</f>
        <v>600081</v>
      </c>
      <c r="C1298" t="s">
        <v>2884</v>
      </c>
      <c r="D1298" t="s">
        <v>416</v>
      </c>
      <c r="E1298">
        <v>9486222340</v>
      </c>
      <c r="F1298">
        <v>7452779122</v>
      </c>
      <c r="G1298">
        <v>5844291537</v>
      </c>
      <c r="H1298">
        <v>5861695937</v>
      </c>
      <c r="I1298">
        <v>5529235621</v>
      </c>
      <c r="J1298">
        <v>4671850319</v>
      </c>
      <c r="K1298">
        <v>4210695582</v>
      </c>
      <c r="L1298">
        <v>4278995864</v>
      </c>
      <c r="M1298">
        <v>4150013638</v>
      </c>
      <c r="N1298">
        <v>2098370849</v>
      </c>
      <c r="O1298">
        <v>2114498676</v>
      </c>
      <c r="P1298">
        <v>205</v>
      </c>
      <c r="Q1298" t="s">
        <v>2885</v>
      </c>
    </row>
    <row r="1299" spans="1:17" x14ac:dyDescent="0.3">
      <c r="A1299" t="s">
        <v>47</v>
      </c>
      <c r="B1299" t="str">
        <f>"000631"</f>
        <v>000631</v>
      </c>
      <c r="C1299" t="s">
        <v>2886</v>
      </c>
      <c r="D1299" t="s">
        <v>76</v>
      </c>
      <c r="E1299">
        <v>9485284180</v>
      </c>
      <c r="F1299">
        <v>7898709311</v>
      </c>
      <c r="G1299">
        <v>8216937360</v>
      </c>
      <c r="H1299">
        <v>10729842729</v>
      </c>
      <c r="I1299">
        <v>13678262781</v>
      </c>
      <c r="J1299">
        <v>16642257209</v>
      </c>
      <c r="K1299">
        <v>12718445127</v>
      </c>
      <c r="L1299">
        <v>12324148698</v>
      </c>
      <c r="M1299">
        <v>13614233562</v>
      </c>
      <c r="N1299">
        <v>11496093141</v>
      </c>
      <c r="O1299">
        <v>10685053733</v>
      </c>
      <c r="P1299">
        <v>359</v>
      </c>
      <c r="Q1299" t="s">
        <v>2887</v>
      </c>
    </row>
    <row r="1300" spans="1:17" x14ac:dyDescent="0.3">
      <c r="A1300" t="s">
        <v>47</v>
      </c>
      <c r="B1300" t="str">
        <f>"000957"</f>
        <v>000957</v>
      </c>
      <c r="C1300" t="s">
        <v>2888</v>
      </c>
      <c r="D1300" t="s">
        <v>1329</v>
      </c>
      <c r="E1300">
        <v>9479963992</v>
      </c>
      <c r="F1300">
        <v>9395272451</v>
      </c>
      <c r="G1300">
        <v>11376262567</v>
      </c>
      <c r="H1300">
        <v>11819669355</v>
      </c>
      <c r="I1300">
        <v>12537847113</v>
      </c>
      <c r="J1300">
        <v>8306203604</v>
      </c>
      <c r="K1300">
        <v>8184562873</v>
      </c>
      <c r="L1300">
        <v>4026255946</v>
      </c>
      <c r="M1300">
        <v>3117944195</v>
      </c>
      <c r="N1300">
        <v>2697019523</v>
      </c>
      <c r="O1300">
        <v>2389453834</v>
      </c>
      <c r="P1300">
        <v>227</v>
      </c>
      <c r="Q1300" t="s">
        <v>2889</v>
      </c>
    </row>
    <row r="1301" spans="1:17" x14ac:dyDescent="0.3">
      <c r="A1301" t="s">
        <v>47</v>
      </c>
      <c r="B1301" t="str">
        <f>"002410"</f>
        <v>002410</v>
      </c>
      <c r="C1301" t="s">
        <v>2890</v>
      </c>
      <c r="D1301" t="s">
        <v>1859</v>
      </c>
      <c r="E1301">
        <v>9473710469</v>
      </c>
      <c r="F1301">
        <v>9759688802</v>
      </c>
      <c r="G1301">
        <v>5933780652</v>
      </c>
      <c r="H1301">
        <v>5450216648</v>
      </c>
      <c r="I1301">
        <v>4810635294</v>
      </c>
      <c r="J1301">
        <v>4431478478</v>
      </c>
      <c r="K1301">
        <v>2994758705</v>
      </c>
      <c r="L1301">
        <v>3071271382</v>
      </c>
      <c r="M1301">
        <v>2692643893</v>
      </c>
      <c r="N1301">
        <v>2287845610</v>
      </c>
      <c r="O1301">
        <v>2048971552</v>
      </c>
      <c r="P1301">
        <v>2190</v>
      </c>
      <c r="Q1301" t="s">
        <v>2891</v>
      </c>
    </row>
    <row r="1302" spans="1:17" x14ac:dyDescent="0.3">
      <c r="A1302" t="s">
        <v>17</v>
      </c>
      <c r="B1302" t="str">
        <f>"603355"</f>
        <v>603355</v>
      </c>
      <c r="C1302" t="s">
        <v>2892</v>
      </c>
      <c r="D1302" t="s">
        <v>2676</v>
      </c>
      <c r="E1302">
        <v>9441663989</v>
      </c>
      <c r="F1302">
        <v>7159060881</v>
      </c>
      <c r="G1302">
        <v>5427115801</v>
      </c>
      <c r="H1302">
        <v>4669988070</v>
      </c>
      <c r="I1302">
        <v>5015692599</v>
      </c>
      <c r="J1302">
        <v>5792176398</v>
      </c>
      <c r="K1302">
        <v>4246328905</v>
      </c>
      <c r="L1302">
        <v>2946860190</v>
      </c>
      <c r="P1302">
        <v>557</v>
      </c>
      <c r="Q1302" t="s">
        <v>2893</v>
      </c>
    </row>
    <row r="1303" spans="1:17" x14ac:dyDescent="0.3">
      <c r="A1303" t="s">
        <v>17</v>
      </c>
      <c r="B1303" t="str">
        <f>"603359"</f>
        <v>603359</v>
      </c>
      <c r="C1303" t="s">
        <v>2894</v>
      </c>
      <c r="D1303" t="s">
        <v>952</v>
      </c>
      <c r="E1303">
        <v>9440504958</v>
      </c>
      <c r="F1303">
        <v>7444291893</v>
      </c>
      <c r="G1303">
        <v>6160058201</v>
      </c>
      <c r="H1303">
        <v>4879409223</v>
      </c>
      <c r="I1303">
        <v>4081857621</v>
      </c>
      <c r="J1303">
        <v>2438340800</v>
      </c>
      <c r="P1303">
        <v>187</v>
      </c>
      <c r="Q1303" t="s">
        <v>2895</v>
      </c>
    </row>
    <row r="1304" spans="1:17" x14ac:dyDescent="0.3">
      <c r="A1304" t="s">
        <v>17</v>
      </c>
      <c r="B1304" t="str">
        <f>"600125"</f>
        <v>600125</v>
      </c>
      <c r="C1304" t="s">
        <v>2896</v>
      </c>
      <c r="D1304" t="s">
        <v>259</v>
      </c>
      <c r="E1304">
        <v>9437172083</v>
      </c>
      <c r="F1304">
        <v>10012784639</v>
      </c>
      <c r="G1304">
        <v>9044582545</v>
      </c>
      <c r="H1304">
        <v>9621327230</v>
      </c>
      <c r="I1304">
        <v>9356743419</v>
      </c>
      <c r="J1304">
        <v>7792431101</v>
      </c>
      <c r="K1304">
        <v>7486667147</v>
      </c>
      <c r="L1304">
        <v>7017534957</v>
      </c>
      <c r="M1304">
        <v>5451354961</v>
      </c>
      <c r="N1304">
        <v>5147378020</v>
      </c>
      <c r="O1304">
        <v>4096116425</v>
      </c>
      <c r="P1304">
        <v>203</v>
      </c>
      <c r="Q1304" t="s">
        <v>2897</v>
      </c>
    </row>
    <row r="1305" spans="1:17" x14ac:dyDescent="0.3">
      <c r="A1305" t="s">
        <v>47</v>
      </c>
      <c r="B1305" t="str">
        <f>"300438"</f>
        <v>300438</v>
      </c>
      <c r="C1305" t="s">
        <v>2898</v>
      </c>
      <c r="D1305" t="s">
        <v>215</v>
      </c>
      <c r="E1305">
        <v>9430598501</v>
      </c>
      <c r="F1305">
        <v>7146019378</v>
      </c>
      <c r="G1305">
        <v>5286532139</v>
      </c>
      <c r="H1305">
        <v>5137871747</v>
      </c>
      <c r="I1305">
        <v>3913172390</v>
      </c>
      <c r="J1305">
        <v>2877191868</v>
      </c>
      <c r="K1305">
        <v>1420240485</v>
      </c>
      <c r="L1305">
        <v>821996190</v>
      </c>
      <c r="P1305">
        <v>394</v>
      </c>
      <c r="Q1305" t="s">
        <v>2899</v>
      </c>
    </row>
    <row r="1306" spans="1:17" x14ac:dyDescent="0.3">
      <c r="A1306" t="s">
        <v>47</v>
      </c>
      <c r="B1306" t="str">
        <f>"200019"</f>
        <v>200019</v>
      </c>
      <c r="C1306" t="s">
        <v>2900</v>
      </c>
      <c r="E1306">
        <v>9412121485.9160004</v>
      </c>
      <c r="F1306">
        <v>9300280329.9580002</v>
      </c>
      <c r="G1306">
        <v>7342291572.2475004</v>
      </c>
      <c r="H1306">
        <v>7413591145.9526997</v>
      </c>
      <c r="I1306">
        <v>1299344620.036</v>
      </c>
      <c r="J1306">
        <v>1328662393.8288</v>
      </c>
      <c r="K1306">
        <v>1309410973.0778999</v>
      </c>
      <c r="L1306">
        <v>1380626796.25</v>
      </c>
      <c r="M1306">
        <v>1628032691.118</v>
      </c>
      <c r="N1306">
        <v>1631189171.7174001</v>
      </c>
      <c r="O1306">
        <v>1446830841.3570001</v>
      </c>
      <c r="P1306">
        <v>23</v>
      </c>
      <c r="Q1306" t="s">
        <v>2901</v>
      </c>
    </row>
    <row r="1307" spans="1:17" x14ac:dyDescent="0.3">
      <c r="A1307" t="s">
        <v>47</v>
      </c>
      <c r="B1307" t="str">
        <f>"300569"</f>
        <v>300569</v>
      </c>
      <c r="C1307" t="s">
        <v>2902</v>
      </c>
      <c r="D1307" t="s">
        <v>2013</v>
      </c>
      <c r="E1307">
        <v>9406569519</v>
      </c>
      <c r="F1307">
        <v>7895310337</v>
      </c>
      <c r="G1307">
        <v>6123390437</v>
      </c>
      <c r="H1307">
        <v>3760947167</v>
      </c>
      <c r="I1307">
        <v>3153123580</v>
      </c>
      <c r="J1307">
        <v>2161457900</v>
      </c>
      <c r="P1307">
        <v>201</v>
      </c>
      <c r="Q1307" t="s">
        <v>2903</v>
      </c>
    </row>
    <row r="1308" spans="1:17" x14ac:dyDescent="0.3">
      <c r="A1308" t="s">
        <v>47</v>
      </c>
      <c r="B1308" t="str">
        <f>"002335"</f>
        <v>002335</v>
      </c>
      <c r="C1308" t="s">
        <v>2904</v>
      </c>
      <c r="D1308" t="s">
        <v>2256</v>
      </c>
      <c r="E1308">
        <v>9396828924</v>
      </c>
      <c r="F1308">
        <v>9009976746</v>
      </c>
      <c r="G1308">
        <v>7785207683</v>
      </c>
      <c r="H1308">
        <v>7628708006</v>
      </c>
      <c r="I1308">
        <v>6724705765</v>
      </c>
      <c r="J1308">
        <v>5105936787</v>
      </c>
      <c r="K1308">
        <v>3223853825</v>
      </c>
      <c r="L1308">
        <v>2192232069</v>
      </c>
      <c r="M1308">
        <v>1414087252</v>
      </c>
      <c r="N1308">
        <v>1287672756</v>
      </c>
      <c r="O1308">
        <v>1150205660</v>
      </c>
      <c r="P1308">
        <v>431</v>
      </c>
      <c r="Q1308" t="s">
        <v>2905</v>
      </c>
    </row>
    <row r="1309" spans="1:17" x14ac:dyDescent="0.3">
      <c r="A1309" t="s">
        <v>17</v>
      </c>
      <c r="B1309" t="str">
        <f>"600856"</f>
        <v>600856</v>
      </c>
      <c r="C1309" t="s">
        <v>2906</v>
      </c>
      <c r="D1309" t="s">
        <v>1444</v>
      </c>
      <c r="E1309">
        <v>9392434458</v>
      </c>
      <c r="F1309">
        <v>11313632408</v>
      </c>
      <c r="G1309">
        <v>10441817983</v>
      </c>
      <c r="H1309">
        <v>14565166379</v>
      </c>
      <c r="I1309">
        <v>16712189549</v>
      </c>
      <c r="J1309">
        <v>13062232745</v>
      </c>
      <c r="K1309">
        <v>4939917529</v>
      </c>
      <c r="L1309">
        <v>2037673198</v>
      </c>
      <c r="M1309">
        <v>458207350</v>
      </c>
      <c r="N1309">
        <v>454011749</v>
      </c>
      <c r="O1309">
        <v>440943102</v>
      </c>
      <c r="P1309">
        <v>129</v>
      </c>
      <c r="Q1309" t="s">
        <v>2907</v>
      </c>
    </row>
    <row r="1310" spans="1:17" x14ac:dyDescent="0.3">
      <c r="A1310" t="s">
        <v>17</v>
      </c>
      <c r="B1310" t="str">
        <f>"688008"</f>
        <v>688008</v>
      </c>
      <c r="C1310" t="s">
        <v>2908</v>
      </c>
      <c r="D1310" t="s">
        <v>967</v>
      </c>
      <c r="E1310">
        <v>9391582318</v>
      </c>
      <c r="F1310">
        <v>8685978394</v>
      </c>
      <c r="G1310">
        <v>8174845258</v>
      </c>
      <c r="H1310">
        <v>4378212800</v>
      </c>
      <c r="P1310">
        <v>522</v>
      </c>
      <c r="Q1310" t="s">
        <v>2909</v>
      </c>
    </row>
    <row r="1311" spans="1:17" x14ac:dyDescent="0.3">
      <c r="A1311" t="s">
        <v>17</v>
      </c>
      <c r="B1311" t="str">
        <f>"600449"</f>
        <v>600449</v>
      </c>
      <c r="C1311" t="s">
        <v>2910</v>
      </c>
      <c r="D1311" t="s">
        <v>253</v>
      </c>
      <c r="E1311">
        <v>9376009606</v>
      </c>
      <c r="F1311">
        <v>8241121168</v>
      </c>
      <c r="G1311">
        <v>7413793073</v>
      </c>
      <c r="H1311">
        <v>7523984349</v>
      </c>
      <c r="I1311">
        <v>7146173500</v>
      </c>
      <c r="J1311">
        <v>7877410059</v>
      </c>
      <c r="K1311">
        <v>7783463566</v>
      </c>
      <c r="L1311">
        <v>8063624829</v>
      </c>
      <c r="M1311">
        <v>8086571326</v>
      </c>
      <c r="N1311">
        <v>7767039125</v>
      </c>
      <c r="O1311">
        <v>7502690357</v>
      </c>
      <c r="P1311">
        <v>558</v>
      </c>
      <c r="Q1311" t="s">
        <v>2911</v>
      </c>
    </row>
    <row r="1312" spans="1:17" x14ac:dyDescent="0.3">
      <c r="A1312" t="s">
        <v>47</v>
      </c>
      <c r="B1312" t="str">
        <f>"000698"</f>
        <v>000698</v>
      </c>
      <c r="C1312" t="s">
        <v>2912</v>
      </c>
      <c r="D1312" t="s">
        <v>62</v>
      </c>
      <c r="E1312">
        <v>9373981706</v>
      </c>
      <c r="F1312">
        <v>10555813648</v>
      </c>
      <c r="G1312">
        <v>9036250299</v>
      </c>
      <c r="H1312">
        <v>9183696780</v>
      </c>
      <c r="I1312">
        <v>9352085893</v>
      </c>
      <c r="J1312">
        <v>10804978772</v>
      </c>
      <c r="K1312">
        <v>10051606364</v>
      </c>
      <c r="L1312">
        <v>7913742839</v>
      </c>
      <c r="M1312">
        <v>7018707313</v>
      </c>
      <c r="N1312">
        <v>7411463292</v>
      </c>
      <c r="O1312">
        <v>6951464717</v>
      </c>
      <c r="P1312">
        <v>166</v>
      </c>
      <c r="Q1312" t="s">
        <v>2913</v>
      </c>
    </row>
    <row r="1313" spans="1:17" x14ac:dyDescent="0.3">
      <c r="A1313" t="s">
        <v>47</v>
      </c>
      <c r="B1313" t="str">
        <f>"002187"</f>
        <v>002187</v>
      </c>
      <c r="C1313" t="s">
        <v>2914</v>
      </c>
      <c r="D1313" t="s">
        <v>1073</v>
      </c>
      <c r="E1313">
        <v>9350367154</v>
      </c>
      <c r="F1313">
        <v>4899887955</v>
      </c>
      <c r="G1313">
        <v>4074521325</v>
      </c>
      <c r="H1313">
        <v>4230210134</v>
      </c>
      <c r="I1313">
        <v>4223557621</v>
      </c>
      <c r="J1313">
        <v>4069821275</v>
      </c>
      <c r="K1313">
        <v>4550123964</v>
      </c>
      <c r="L1313">
        <v>4502187319</v>
      </c>
      <c r="M1313">
        <v>4652463527</v>
      </c>
      <c r="N1313">
        <v>4721970412</v>
      </c>
      <c r="O1313">
        <v>3972610346</v>
      </c>
      <c r="P1313">
        <v>147</v>
      </c>
      <c r="Q1313" t="s">
        <v>2915</v>
      </c>
    </row>
    <row r="1314" spans="1:17" x14ac:dyDescent="0.3">
      <c r="A1314" t="s">
        <v>47</v>
      </c>
      <c r="B1314" t="str">
        <f>"300390"</f>
        <v>300390</v>
      </c>
      <c r="C1314" t="s">
        <v>2916</v>
      </c>
      <c r="D1314" t="s">
        <v>1609</v>
      </c>
      <c r="E1314">
        <v>9346713945</v>
      </c>
      <c r="F1314">
        <v>3044798171</v>
      </c>
      <c r="G1314">
        <v>1316907635</v>
      </c>
      <c r="H1314">
        <v>1144447070</v>
      </c>
      <c r="I1314">
        <v>1004377794</v>
      </c>
      <c r="J1314">
        <v>1012040265</v>
      </c>
      <c r="K1314">
        <v>937420766</v>
      </c>
      <c r="L1314">
        <v>417178864</v>
      </c>
      <c r="M1314">
        <v>281875300</v>
      </c>
      <c r="P1314">
        <v>460</v>
      </c>
      <c r="Q1314" t="s">
        <v>2917</v>
      </c>
    </row>
    <row r="1315" spans="1:17" x14ac:dyDescent="0.3">
      <c r="A1315" t="s">
        <v>47</v>
      </c>
      <c r="B1315" t="str">
        <f>"002542"</f>
        <v>002542</v>
      </c>
      <c r="C1315" t="s">
        <v>2918</v>
      </c>
      <c r="D1315" t="s">
        <v>152</v>
      </c>
      <c r="E1315">
        <v>9346161831</v>
      </c>
      <c r="F1315">
        <v>10185179270</v>
      </c>
      <c r="G1315">
        <v>8750500012</v>
      </c>
      <c r="H1315">
        <v>8200724206</v>
      </c>
      <c r="I1315">
        <v>7671825588</v>
      </c>
      <c r="J1315">
        <v>5553339712</v>
      </c>
      <c r="K1315">
        <v>4436326184</v>
      </c>
      <c r="L1315">
        <v>2947703913</v>
      </c>
      <c r="M1315">
        <v>1010633315</v>
      </c>
      <c r="N1315">
        <v>925743342</v>
      </c>
      <c r="O1315">
        <v>815584980</v>
      </c>
      <c r="P1315">
        <v>161</v>
      </c>
      <c r="Q1315" t="s">
        <v>2919</v>
      </c>
    </row>
    <row r="1316" spans="1:17" x14ac:dyDescent="0.3">
      <c r="A1316" t="s">
        <v>47</v>
      </c>
      <c r="B1316" t="str">
        <f>"002637"</f>
        <v>002637</v>
      </c>
      <c r="C1316" t="s">
        <v>2920</v>
      </c>
      <c r="D1316" t="s">
        <v>710</v>
      </c>
      <c r="E1316">
        <v>9335194272</v>
      </c>
      <c r="F1316">
        <v>8104138402</v>
      </c>
      <c r="G1316">
        <v>6727304295</v>
      </c>
      <c r="H1316">
        <v>6940710965</v>
      </c>
      <c r="I1316">
        <v>6447491287</v>
      </c>
      <c r="J1316">
        <v>5528460619</v>
      </c>
      <c r="K1316">
        <v>2440762971</v>
      </c>
      <c r="L1316">
        <v>2078237705</v>
      </c>
      <c r="M1316">
        <v>1842295993</v>
      </c>
      <c r="N1316">
        <v>1632809786</v>
      </c>
      <c r="O1316">
        <v>1737714863</v>
      </c>
      <c r="P1316">
        <v>145</v>
      </c>
      <c r="Q1316" t="s">
        <v>2921</v>
      </c>
    </row>
    <row r="1317" spans="1:17" x14ac:dyDescent="0.3">
      <c r="A1317" t="s">
        <v>47</v>
      </c>
      <c r="B1317" t="str">
        <f>"300035"</f>
        <v>300035</v>
      </c>
      <c r="C1317" t="s">
        <v>2922</v>
      </c>
      <c r="D1317" t="s">
        <v>1017</v>
      </c>
      <c r="E1317">
        <v>9320605045</v>
      </c>
      <c r="F1317">
        <v>3107257878</v>
      </c>
      <c r="G1317">
        <v>2662286743</v>
      </c>
      <c r="H1317">
        <v>2155161378</v>
      </c>
      <c r="I1317">
        <v>1775588506</v>
      </c>
      <c r="J1317">
        <v>1460253348</v>
      </c>
      <c r="K1317">
        <v>958457856</v>
      </c>
      <c r="L1317">
        <v>1010345045</v>
      </c>
      <c r="M1317">
        <v>1077187018</v>
      </c>
      <c r="N1317">
        <v>1049263871</v>
      </c>
      <c r="O1317">
        <v>952728065</v>
      </c>
      <c r="P1317">
        <v>272</v>
      </c>
      <c r="Q1317" t="s">
        <v>2923</v>
      </c>
    </row>
    <row r="1318" spans="1:17" x14ac:dyDescent="0.3">
      <c r="A1318" t="s">
        <v>17</v>
      </c>
      <c r="B1318" t="str">
        <f>"600329"</f>
        <v>600329</v>
      </c>
      <c r="C1318" t="s">
        <v>2924</v>
      </c>
      <c r="D1318" t="s">
        <v>695</v>
      </c>
      <c r="E1318">
        <v>9315344985</v>
      </c>
      <c r="F1318">
        <v>8801325030</v>
      </c>
      <c r="G1318">
        <v>8054874610</v>
      </c>
      <c r="H1318">
        <v>7462269778</v>
      </c>
      <c r="I1318">
        <v>6891574503</v>
      </c>
      <c r="J1318">
        <v>6415369131</v>
      </c>
      <c r="K1318">
        <v>6292839078</v>
      </c>
      <c r="L1318">
        <v>5685448048</v>
      </c>
      <c r="M1318">
        <v>5150298935</v>
      </c>
      <c r="N1318">
        <v>4697264014</v>
      </c>
      <c r="O1318">
        <v>4384488500</v>
      </c>
      <c r="P1318">
        <v>553</v>
      </c>
      <c r="Q1318" t="s">
        <v>2925</v>
      </c>
    </row>
    <row r="1319" spans="1:17" x14ac:dyDescent="0.3">
      <c r="A1319" t="s">
        <v>47</v>
      </c>
      <c r="B1319" t="str">
        <f>"002641"</f>
        <v>002641</v>
      </c>
      <c r="C1319" t="s">
        <v>2926</v>
      </c>
      <c r="D1319" t="s">
        <v>2927</v>
      </c>
      <c r="E1319">
        <v>9312161959</v>
      </c>
      <c r="F1319">
        <v>8355118285</v>
      </c>
      <c r="G1319">
        <v>7031472319</v>
      </c>
      <c r="H1319">
        <v>5583063361</v>
      </c>
      <c r="I1319">
        <v>4884278379</v>
      </c>
      <c r="J1319">
        <v>4497165050</v>
      </c>
      <c r="K1319">
        <v>4118245977</v>
      </c>
      <c r="L1319">
        <v>3667797546</v>
      </c>
      <c r="M1319">
        <v>3107541779</v>
      </c>
      <c r="N1319">
        <v>2750249291</v>
      </c>
      <c r="O1319">
        <v>2321210311</v>
      </c>
      <c r="P1319">
        <v>360</v>
      </c>
      <c r="Q1319" t="s">
        <v>2928</v>
      </c>
    </row>
    <row r="1320" spans="1:17" x14ac:dyDescent="0.3">
      <c r="A1320" t="s">
        <v>17</v>
      </c>
      <c r="B1320" t="str">
        <f>"600433"</f>
        <v>600433</v>
      </c>
      <c r="C1320" t="s">
        <v>2929</v>
      </c>
      <c r="D1320" t="s">
        <v>2612</v>
      </c>
      <c r="E1320">
        <v>9311270212</v>
      </c>
      <c r="F1320">
        <v>3869331504</v>
      </c>
      <c r="G1320">
        <v>3919675580</v>
      </c>
      <c r="H1320">
        <v>3975370779</v>
      </c>
      <c r="I1320">
        <v>4163124184</v>
      </c>
      <c r="J1320">
        <v>4145513634</v>
      </c>
      <c r="K1320">
        <v>4077907536</v>
      </c>
      <c r="L1320">
        <v>3915175595</v>
      </c>
      <c r="M1320">
        <v>3041481125</v>
      </c>
      <c r="N1320">
        <v>2452501509</v>
      </c>
      <c r="O1320">
        <v>2070476569</v>
      </c>
      <c r="P1320">
        <v>105</v>
      </c>
      <c r="Q1320" t="s">
        <v>2930</v>
      </c>
    </row>
    <row r="1321" spans="1:17" x14ac:dyDescent="0.3">
      <c r="A1321" t="s">
        <v>47</v>
      </c>
      <c r="B1321" t="str">
        <f>"002597"</f>
        <v>002597</v>
      </c>
      <c r="C1321" t="s">
        <v>2931</v>
      </c>
      <c r="D1321" t="s">
        <v>1699</v>
      </c>
      <c r="E1321">
        <v>9305090242</v>
      </c>
      <c r="F1321">
        <v>7393999992</v>
      </c>
      <c r="G1321">
        <v>6151468181</v>
      </c>
      <c r="H1321">
        <v>5741362307</v>
      </c>
      <c r="I1321">
        <v>5633306438</v>
      </c>
      <c r="J1321">
        <v>4702030873</v>
      </c>
      <c r="K1321">
        <v>3866198453</v>
      </c>
      <c r="L1321">
        <v>3447352461</v>
      </c>
      <c r="M1321">
        <v>3059979086</v>
      </c>
      <c r="N1321">
        <v>2723707921</v>
      </c>
      <c r="O1321">
        <v>2423845943</v>
      </c>
      <c r="P1321">
        <v>1878</v>
      </c>
      <c r="Q1321" t="s">
        <v>2932</v>
      </c>
    </row>
    <row r="1322" spans="1:17" x14ac:dyDescent="0.3">
      <c r="A1322" t="s">
        <v>47</v>
      </c>
      <c r="B1322" t="str">
        <f>"000910"</f>
        <v>000910</v>
      </c>
      <c r="C1322" t="s">
        <v>2933</v>
      </c>
      <c r="D1322" t="s">
        <v>2406</v>
      </c>
      <c r="E1322">
        <v>9301200196</v>
      </c>
      <c r="F1322">
        <v>8979325091</v>
      </c>
      <c r="G1322">
        <v>7853134036</v>
      </c>
      <c r="H1322">
        <v>6748758600</v>
      </c>
      <c r="I1322">
        <v>6234231834</v>
      </c>
      <c r="J1322">
        <v>5769797008</v>
      </c>
      <c r="K1322">
        <v>5592555732</v>
      </c>
      <c r="L1322">
        <v>8079633996</v>
      </c>
      <c r="M1322">
        <v>8258980509</v>
      </c>
      <c r="N1322">
        <v>8966925572</v>
      </c>
      <c r="O1322">
        <v>9141884208</v>
      </c>
      <c r="P1322">
        <v>813</v>
      </c>
      <c r="Q1322" t="s">
        <v>2934</v>
      </c>
    </row>
    <row r="1323" spans="1:17" x14ac:dyDescent="0.3">
      <c r="A1323" t="s">
        <v>17</v>
      </c>
      <c r="B1323" t="str">
        <f>"603843"</f>
        <v>603843</v>
      </c>
      <c r="C1323" t="s">
        <v>2935</v>
      </c>
      <c r="D1323" t="s">
        <v>84</v>
      </c>
      <c r="E1323">
        <v>9287125075</v>
      </c>
      <c r="F1323">
        <v>7465927089</v>
      </c>
      <c r="G1323">
        <v>6740263483</v>
      </c>
      <c r="H1323">
        <v>5660901884</v>
      </c>
      <c r="I1323">
        <v>4731997388</v>
      </c>
      <c r="J1323">
        <v>3226816674</v>
      </c>
      <c r="K1323">
        <v>2381063541</v>
      </c>
      <c r="P1323">
        <v>90</v>
      </c>
      <c r="Q1323" t="s">
        <v>2936</v>
      </c>
    </row>
    <row r="1324" spans="1:17" x14ac:dyDescent="0.3">
      <c r="A1324" t="s">
        <v>47</v>
      </c>
      <c r="B1324" t="str">
        <f>"002946"</f>
        <v>002946</v>
      </c>
      <c r="C1324" t="s">
        <v>2937</v>
      </c>
      <c r="D1324" t="s">
        <v>487</v>
      </c>
      <c r="E1324">
        <v>9278234261</v>
      </c>
      <c r="F1324">
        <v>8911519698</v>
      </c>
      <c r="G1324">
        <v>5319572886</v>
      </c>
      <c r="H1324">
        <v>4399628151</v>
      </c>
      <c r="P1324">
        <v>342</v>
      </c>
      <c r="Q1324" t="s">
        <v>2938</v>
      </c>
    </row>
    <row r="1325" spans="1:17" x14ac:dyDescent="0.3">
      <c r="A1325" t="s">
        <v>47</v>
      </c>
      <c r="B1325" t="str">
        <f>"002414"</f>
        <v>002414</v>
      </c>
      <c r="C1325" t="s">
        <v>2939</v>
      </c>
      <c r="D1325" t="s">
        <v>1385</v>
      </c>
      <c r="E1325">
        <v>9277884347</v>
      </c>
      <c r="F1325">
        <v>6633181218</v>
      </c>
      <c r="G1325">
        <v>5145663089</v>
      </c>
      <c r="H1325">
        <v>4103265530</v>
      </c>
      <c r="I1325">
        <v>4138437353</v>
      </c>
      <c r="J1325">
        <v>3976086654</v>
      </c>
      <c r="K1325">
        <v>3365411521</v>
      </c>
      <c r="L1325">
        <v>2513368453</v>
      </c>
      <c r="M1325">
        <v>2484854178</v>
      </c>
      <c r="N1325">
        <v>2425139187</v>
      </c>
      <c r="O1325">
        <v>2474837713</v>
      </c>
      <c r="P1325">
        <v>789</v>
      </c>
      <c r="Q1325" t="s">
        <v>2940</v>
      </c>
    </row>
    <row r="1326" spans="1:17" x14ac:dyDescent="0.3">
      <c r="A1326" t="s">
        <v>47</v>
      </c>
      <c r="B1326" t="str">
        <f>"000811"</f>
        <v>000811</v>
      </c>
      <c r="C1326" t="s">
        <v>2941</v>
      </c>
      <c r="D1326" t="s">
        <v>2730</v>
      </c>
      <c r="E1326">
        <v>9246159632</v>
      </c>
      <c r="F1326">
        <v>8318456337</v>
      </c>
      <c r="G1326">
        <v>7015968082</v>
      </c>
      <c r="H1326">
        <v>6275887866</v>
      </c>
      <c r="I1326">
        <v>5390865485</v>
      </c>
      <c r="J1326">
        <v>5150510900</v>
      </c>
      <c r="K1326">
        <v>4299151230</v>
      </c>
      <c r="L1326">
        <v>2892015026</v>
      </c>
      <c r="M1326">
        <v>2403857098</v>
      </c>
      <c r="N1326">
        <v>2310063631</v>
      </c>
      <c r="O1326">
        <v>2249656024</v>
      </c>
      <c r="P1326">
        <v>224</v>
      </c>
      <c r="Q1326" t="s">
        <v>2942</v>
      </c>
    </row>
    <row r="1327" spans="1:17" x14ac:dyDescent="0.3">
      <c r="A1327" t="s">
        <v>47</v>
      </c>
      <c r="B1327" t="str">
        <f>"000036"</f>
        <v>000036</v>
      </c>
      <c r="C1327" t="s">
        <v>2943</v>
      </c>
      <c r="D1327" t="s">
        <v>76</v>
      </c>
      <c r="E1327">
        <v>9242772877</v>
      </c>
      <c r="F1327">
        <v>10948621494</v>
      </c>
      <c r="G1327">
        <v>12170911747</v>
      </c>
      <c r="H1327">
        <v>10870967464</v>
      </c>
      <c r="I1327">
        <v>9905279540</v>
      </c>
      <c r="J1327">
        <v>8981724229</v>
      </c>
      <c r="K1327">
        <v>7792020529</v>
      </c>
      <c r="L1327">
        <v>5427639868</v>
      </c>
      <c r="M1327">
        <v>3734962701</v>
      </c>
      <c r="N1327">
        <v>4248191592</v>
      </c>
      <c r="O1327">
        <v>3898991816</v>
      </c>
      <c r="P1327">
        <v>880</v>
      </c>
      <c r="Q1327" t="s">
        <v>2944</v>
      </c>
    </row>
    <row r="1328" spans="1:17" x14ac:dyDescent="0.3">
      <c r="A1328" t="s">
        <v>47</v>
      </c>
      <c r="B1328" t="str">
        <f>"300133"</f>
        <v>300133</v>
      </c>
      <c r="C1328" t="s">
        <v>2945</v>
      </c>
      <c r="D1328" t="s">
        <v>1673</v>
      </c>
      <c r="E1328">
        <v>9215413664</v>
      </c>
      <c r="F1328">
        <v>8748905058</v>
      </c>
      <c r="G1328">
        <v>9202747472</v>
      </c>
      <c r="H1328">
        <v>11934072487</v>
      </c>
      <c r="I1328">
        <v>12558692025</v>
      </c>
      <c r="J1328">
        <v>10885104490</v>
      </c>
      <c r="K1328">
        <v>9043649063</v>
      </c>
      <c r="L1328">
        <v>5034986986</v>
      </c>
      <c r="M1328">
        <v>4181355662</v>
      </c>
      <c r="N1328">
        <v>1859917308</v>
      </c>
      <c r="O1328">
        <v>1484223078</v>
      </c>
      <c r="P1328">
        <v>349</v>
      </c>
      <c r="Q1328" t="s">
        <v>2946</v>
      </c>
    </row>
    <row r="1329" spans="1:17" x14ac:dyDescent="0.3">
      <c r="A1329" t="s">
        <v>17</v>
      </c>
      <c r="B1329" t="str">
        <f>"600780"</f>
        <v>600780</v>
      </c>
      <c r="C1329" t="s">
        <v>2947</v>
      </c>
      <c r="D1329" t="s">
        <v>171</v>
      </c>
      <c r="E1329">
        <v>9214872982</v>
      </c>
      <c r="F1329">
        <v>8380953369</v>
      </c>
      <c r="G1329">
        <v>8369289624</v>
      </c>
      <c r="H1329">
        <v>11831361995</v>
      </c>
      <c r="I1329">
        <v>11787811492</v>
      </c>
      <c r="J1329">
        <v>11920470830</v>
      </c>
      <c r="K1329">
        <v>9762462329</v>
      </c>
      <c r="L1329">
        <v>8649156976</v>
      </c>
      <c r="M1329">
        <v>7992404393</v>
      </c>
      <c r="N1329">
        <v>8279768126</v>
      </c>
      <c r="O1329">
        <v>7000569474</v>
      </c>
      <c r="P1329">
        <v>108</v>
      </c>
      <c r="Q1329" t="s">
        <v>2948</v>
      </c>
    </row>
    <row r="1330" spans="1:17" x14ac:dyDescent="0.3">
      <c r="A1330" t="s">
        <v>17</v>
      </c>
      <c r="B1330" t="str">
        <f>"603877"</f>
        <v>603877</v>
      </c>
      <c r="C1330" t="s">
        <v>2949</v>
      </c>
      <c r="D1330" t="s">
        <v>628</v>
      </c>
      <c r="E1330">
        <v>9210543973</v>
      </c>
      <c r="F1330">
        <v>8936949827</v>
      </c>
      <c r="G1330">
        <v>6567508778</v>
      </c>
      <c r="H1330">
        <v>5770359659</v>
      </c>
      <c r="I1330">
        <v>5761816815</v>
      </c>
      <c r="J1330">
        <v>5214241435</v>
      </c>
      <c r="P1330">
        <v>364</v>
      </c>
      <c r="Q1330" t="s">
        <v>2950</v>
      </c>
    </row>
    <row r="1331" spans="1:17" x14ac:dyDescent="0.3">
      <c r="A1331" t="s">
        <v>17</v>
      </c>
      <c r="B1331" t="str">
        <f>"603979"</f>
        <v>603979</v>
      </c>
      <c r="C1331" t="s">
        <v>2951</v>
      </c>
      <c r="D1331" t="s">
        <v>152</v>
      </c>
      <c r="E1331">
        <v>9204284495</v>
      </c>
      <c r="F1331">
        <v>7959683614</v>
      </c>
      <c r="G1331">
        <v>6553036744</v>
      </c>
      <c r="H1331">
        <v>6437992073</v>
      </c>
      <c r="I1331">
        <v>5704495144</v>
      </c>
      <c r="J1331">
        <v>4903502145</v>
      </c>
      <c r="K1331">
        <v>4711293737</v>
      </c>
      <c r="L1331">
        <v>3230186500</v>
      </c>
      <c r="P1331">
        <v>122</v>
      </c>
      <c r="Q1331" t="s">
        <v>2952</v>
      </c>
    </row>
    <row r="1332" spans="1:17" x14ac:dyDescent="0.3">
      <c r="A1332" t="s">
        <v>47</v>
      </c>
      <c r="B1332" t="str">
        <f>"002607"</f>
        <v>002607</v>
      </c>
      <c r="C1332" t="s">
        <v>2953</v>
      </c>
      <c r="D1332" t="s">
        <v>2954</v>
      </c>
      <c r="E1332">
        <v>9200482823</v>
      </c>
      <c r="F1332">
        <v>15995461568</v>
      </c>
      <c r="G1332">
        <v>13358747832</v>
      </c>
      <c r="H1332">
        <v>9960589685</v>
      </c>
      <c r="I1332">
        <v>4275456483</v>
      </c>
      <c r="J1332">
        <v>4199462122</v>
      </c>
      <c r="K1332">
        <v>3544657359</v>
      </c>
      <c r="L1332">
        <v>3338283485</v>
      </c>
      <c r="M1332">
        <v>3115438658</v>
      </c>
      <c r="N1332">
        <v>2470776117</v>
      </c>
      <c r="O1332">
        <v>1572346868</v>
      </c>
      <c r="P1332">
        <v>1791</v>
      </c>
      <c r="Q1332" t="s">
        <v>2955</v>
      </c>
    </row>
    <row r="1333" spans="1:17" x14ac:dyDescent="0.3">
      <c r="A1333" t="s">
        <v>47</v>
      </c>
      <c r="B1333" t="str">
        <f>"300409"</f>
        <v>300409</v>
      </c>
      <c r="C1333" t="s">
        <v>2956</v>
      </c>
      <c r="D1333" t="s">
        <v>1017</v>
      </c>
      <c r="E1333">
        <v>9193884619</v>
      </c>
      <c r="F1333">
        <v>6011525697</v>
      </c>
      <c r="G1333">
        <v>4520958668</v>
      </c>
      <c r="H1333">
        <v>4874229351</v>
      </c>
      <c r="I1333">
        <v>4670466852</v>
      </c>
      <c r="J1333">
        <v>1911434317</v>
      </c>
      <c r="K1333">
        <v>1456205360</v>
      </c>
      <c r="L1333">
        <v>707830112</v>
      </c>
      <c r="P1333">
        <v>240</v>
      </c>
      <c r="Q1333" t="s">
        <v>2957</v>
      </c>
    </row>
    <row r="1334" spans="1:17" x14ac:dyDescent="0.3">
      <c r="A1334" t="s">
        <v>17</v>
      </c>
      <c r="B1334" t="str">
        <f>"603313"</f>
        <v>603313</v>
      </c>
      <c r="C1334" t="s">
        <v>2958</v>
      </c>
      <c r="D1334" t="s">
        <v>2082</v>
      </c>
      <c r="E1334">
        <v>9185841493</v>
      </c>
      <c r="F1334">
        <v>8364840326</v>
      </c>
      <c r="G1334">
        <v>5472360023</v>
      </c>
      <c r="H1334">
        <v>3366477468</v>
      </c>
      <c r="I1334">
        <v>2261087350</v>
      </c>
      <c r="J1334">
        <v>2219778004</v>
      </c>
      <c r="P1334">
        <v>580</v>
      </c>
      <c r="Q1334" t="s">
        <v>2959</v>
      </c>
    </row>
    <row r="1335" spans="1:17" x14ac:dyDescent="0.3">
      <c r="A1335" t="s">
        <v>17</v>
      </c>
      <c r="B1335" t="str">
        <f>"600917"</f>
        <v>600917</v>
      </c>
      <c r="C1335" t="s">
        <v>2960</v>
      </c>
      <c r="D1335" t="s">
        <v>476</v>
      </c>
      <c r="E1335">
        <v>9175173958</v>
      </c>
      <c r="F1335">
        <v>9380275318</v>
      </c>
      <c r="G1335">
        <v>8960311495</v>
      </c>
      <c r="H1335">
        <v>8508366932</v>
      </c>
      <c r="I1335">
        <v>8490572679</v>
      </c>
      <c r="J1335">
        <v>8293910311</v>
      </c>
      <c r="K1335">
        <v>8021595348</v>
      </c>
      <c r="L1335">
        <v>7493448515</v>
      </c>
      <c r="P1335">
        <v>176</v>
      </c>
      <c r="Q1335" t="s">
        <v>2961</v>
      </c>
    </row>
    <row r="1336" spans="1:17" x14ac:dyDescent="0.3">
      <c r="A1336" t="s">
        <v>47</v>
      </c>
      <c r="B1336" t="str">
        <f>"002479"</f>
        <v>002479</v>
      </c>
      <c r="C1336" t="s">
        <v>2962</v>
      </c>
      <c r="D1336" t="s">
        <v>1293</v>
      </c>
      <c r="E1336">
        <v>9170658204</v>
      </c>
      <c r="F1336">
        <v>11320110916</v>
      </c>
      <c r="G1336">
        <v>9444445791</v>
      </c>
      <c r="H1336">
        <v>6129900534</v>
      </c>
      <c r="I1336">
        <v>5212255238</v>
      </c>
      <c r="J1336">
        <v>5280201862</v>
      </c>
      <c r="K1336">
        <v>4902902219</v>
      </c>
      <c r="L1336">
        <v>3918979724</v>
      </c>
      <c r="M1336">
        <v>3564124679</v>
      </c>
      <c r="N1336">
        <v>3222407647</v>
      </c>
      <c r="O1336">
        <v>2211599362</v>
      </c>
      <c r="P1336">
        <v>158</v>
      </c>
      <c r="Q1336" t="s">
        <v>2963</v>
      </c>
    </row>
    <row r="1337" spans="1:17" x14ac:dyDescent="0.3">
      <c r="A1337" t="s">
        <v>47</v>
      </c>
      <c r="B1337" t="str">
        <f>"002228"</f>
        <v>002228</v>
      </c>
      <c r="C1337" t="s">
        <v>2964</v>
      </c>
      <c r="D1337" t="s">
        <v>1842</v>
      </c>
      <c r="E1337">
        <v>9163181659</v>
      </c>
      <c r="F1337">
        <v>8425250515</v>
      </c>
      <c r="G1337">
        <v>6303586669</v>
      </c>
      <c r="H1337">
        <v>6648527744</v>
      </c>
      <c r="I1337">
        <v>4957922036</v>
      </c>
      <c r="J1337">
        <v>3854644110</v>
      </c>
      <c r="K1337">
        <v>2997350775</v>
      </c>
      <c r="L1337">
        <v>2537834626</v>
      </c>
      <c r="M1337">
        <v>2296197432</v>
      </c>
      <c r="N1337">
        <v>2019620706</v>
      </c>
      <c r="O1337">
        <v>1786510464</v>
      </c>
      <c r="P1337">
        <v>290</v>
      </c>
      <c r="Q1337" t="s">
        <v>2965</v>
      </c>
    </row>
    <row r="1338" spans="1:17" x14ac:dyDescent="0.3">
      <c r="A1338" t="s">
        <v>47</v>
      </c>
      <c r="B1338" t="str">
        <f>"002426"</f>
        <v>002426</v>
      </c>
      <c r="C1338" t="s">
        <v>2966</v>
      </c>
      <c r="D1338" t="s">
        <v>401</v>
      </c>
      <c r="E1338">
        <v>9156009927</v>
      </c>
      <c r="F1338">
        <v>10576712984</v>
      </c>
      <c r="G1338">
        <v>12341229564</v>
      </c>
      <c r="H1338">
        <v>18134968135</v>
      </c>
      <c r="I1338">
        <v>19903382398</v>
      </c>
      <c r="J1338">
        <v>16543274288</v>
      </c>
      <c r="K1338">
        <v>12158133950</v>
      </c>
      <c r="L1338">
        <v>5358437411</v>
      </c>
      <c r="M1338">
        <v>2939127152</v>
      </c>
      <c r="N1338">
        <v>2196233761</v>
      </c>
      <c r="O1338">
        <v>1993179085</v>
      </c>
      <c r="P1338">
        <v>207</v>
      </c>
      <c r="Q1338" t="s">
        <v>2967</v>
      </c>
    </row>
    <row r="1339" spans="1:17" x14ac:dyDescent="0.3">
      <c r="A1339" t="s">
        <v>47</v>
      </c>
      <c r="B1339" t="str">
        <f>"300040"</f>
        <v>300040</v>
      </c>
      <c r="C1339" t="s">
        <v>2968</v>
      </c>
      <c r="D1339" t="s">
        <v>679</v>
      </c>
      <c r="E1339">
        <v>9132907116</v>
      </c>
      <c r="F1339">
        <v>7262526016</v>
      </c>
      <c r="G1339">
        <v>5004743107</v>
      </c>
      <c r="H1339">
        <v>3540190327</v>
      </c>
      <c r="I1339">
        <v>3738498222</v>
      </c>
      <c r="J1339">
        <v>2830987076</v>
      </c>
      <c r="K1339">
        <v>2262958025</v>
      </c>
      <c r="L1339">
        <v>1379866612</v>
      </c>
      <c r="M1339">
        <v>1451070007</v>
      </c>
      <c r="N1339">
        <v>1585380238</v>
      </c>
      <c r="O1339">
        <v>1259747413</v>
      </c>
      <c r="P1339">
        <v>214</v>
      </c>
      <c r="Q1339" t="s">
        <v>2969</v>
      </c>
    </row>
    <row r="1340" spans="1:17" x14ac:dyDescent="0.3">
      <c r="A1340" t="s">
        <v>47</v>
      </c>
      <c r="B1340" t="str">
        <f>"300782"</f>
        <v>300782</v>
      </c>
      <c r="C1340" t="s">
        <v>2970</v>
      </c>
      <c r="D1340" t="s">
        <v>2795</v>
      </c>
      <c r="E1340">
        <v>9131159083</v>
      </c>
      <c r="F1340">
        <v>6610325116</v>
      </c>
      <c r="G1340">
        <v>2073162881</v>
      </c>
      <c r="H1340">
        <v>615307710</v>
      </c>
      <c r="P1340">
        <v>1609</v>
      </c>
      <c r="Q1340" t="s">
        <v>2971</v>
      </c>
    </row>
    <row r="1341" spans="1:17" x14ac:dyDescent="0.3">
      <c r="A1341" t="s">
        <v>17</v>
      </c>
      <c r="B1341" t="str">
        <f>"600805"</f>
        <v>600805</v>
      </c>
      <c r="C1341" t="s">
        <v>2972</v>
      </c>
      <c r="D1341" t="s">
        <v>810</v>
      </c>
      <c r="E1341">
        <v>9128484841</v>
      </c>
      <c r="F1341">
        <v>9603437045</v>
      </c>
      <c r="G1341">
        <v>10360360106</v>
      </c>
      <c r="H1341">
        <v>10728669603</v>
      </c>
      <c r="I1341">
        <v>10513518284</v>
      </c>
      <c r="J1341">
        <v>9998163053</v>
      </c>
      <c r="K1341">
        <v>10412899826</v>
      </c>
      <c r="L1341">
        <v>10900162088</v>
      </c>
      <c r="M1341">
        <v>10304812297</v>
      </c>
      <c r="N1341">
        <v>9559841029</v>
      </c>
      <c r="O1341">
        <v>9267255458</v>
      </c>
      <c r="P1341">
        <v>106</v>
      </c>
      <c r="Q1341" t="s">
        <v>2973</v>
      </c>
    </row>
    <row r="1342" spans="1:17" x14ac:dyDescent="0.3">
      <c r="A1342" t="s">
        <v>17</v>
      </c>
      <c r="B1342" t="str">
        <f>"603198"</f>
        <v>603198</v>
      </c>
      <c r="C1342" t="s">
        <v>2974</v>
      </c>
      <c r="D1342" t="s">
        <v>286</v>
      </c>
      <c r="E1342">
        <v>9128365675</v>
      </c>
      <c r="F1342">
        <v>7474013049</v>
      </c>
      <c r="G1342">
        <v>6495231460</v>
      </c>
      <c r="H1342">
        <v>6113691649</v>
      </c>
      <c r="I1342">
        <v>5666227873</v>
      </c>
      <c r="J1342">
        <v>5404225662</v>
      </c>
      <c r="K1342">
        <v>5150814043</v>
      </c>
      <c r="L1342">
        <v>3791089900</v>
      </c>
      <c r="P1342">
        <v>5968</v>
      </c>
      <c r="Q1342" t="s">
        <v>2975</v>
      </c>
    </row>
    <row r="1343" spans="1:17" x14ac:dyDescent="0.3">
      <c r="A1343" t="s">
        <v>17</v>
      </c>
      <c r="B1343" t="str">
        <f>"603392"</f>
        <v>603392</v>
      </c>
      <c r="C1343" t="s">
        <v>2976</v>
      </c>
      <c r="D1343" t="s">
        <v>2322</v>
      </c>
      <c r="E1343">
        <v>9119322924</v>
      </c>
      <c r="F1343">
        <v>3906888146</v>
      </c>
      <c r="G1343">
        <v>2194449884</v>
      </c>
      <c r="P1343">
        <v>552</v>
      </c>
      <c r="Q1343" t="s">
        <v>2977</v>
      </c>
    </row>
    <row r="1344" spans="1:17" x14ac:dyDescent="0.3">
      <c r="A1344" t="s">
        <v>47</v>
      </c>
      <c r="B1344" t="str">
        <f>"002617"</f>
        <v>002617</v>
      </c>
      <c r="C1344" t="s">
        <v>2978</v>
      </c>
      <c r="D1344" t="s">
        <v>976</v>
      </c>
      <c r="E1344">
        <v>9112575226</v>
      </c>
      <c r="F1344">
        <v>8903678004</v>
      </c>
      <c r="G1344">
        <v>7784139739</v>
      </c>
      <c r="H1344">
        <v>8863041888</v>
      </c>
      <c r="I1344">
        <v>6384719760</v>
      </c>
      <c r="J1344">
        <v>4280086196</v>
      </c>
      <c r="K1344">
        <v>3284790445</v>
      </c>
      <c r="L1344">
        <v>2105406439</v>
      </c>
      <c r="M1344">
        <v>2164967641</v>
      </c>
      <c r="N1344">
        <v>2256266759</v>
      </c>
      <c r="O1344">
        <v>1612613461</v>
      </c>
      <c r="P1344">
        <v>321</v>
      </c>
      <c r="Q1344" t="s">
        <v>2979</v>
      </c>
    </row>
    <row r="1345" spans="1:17" x14ac:dyDescent="0.3">
      <c r="A1345" t="s">
        <v>17</v>
      </c>
      <c r="B1345" t="str">
        <f>"688122"</f>
        <v>688122</v>
      </c>
      <c r="C1345" t="s">
        <v>2980</v>
      </c>
      <c r="D1345" t="s">
        <v>570</v>
      </c>
      <c r="E1345">
        <v>9079605428</v>
      </c>
      <c r="F1345">
        <v>5794172684</v>
      </c>
      <c r="G1345">
        <v>5137590493</v>
      </c>
      <c r="H1345">
        <v>4204736100</v>
      </c>
      <c r="P1345">
        <v>309</v>
      </c>
      <c r="Q1345" t="s">
        <v>2981</v>
      </c>
    </row>
    <row r="1346" spans="1:17" x14ac:dyDescent="0.3">
      <c r="A1346" t="s">
        <v>47</v>
      </c>
      <c r="B1346" t="str">
        <f>"002791"</f>
        <v>002791</v>
      </c>
      <c r="C1346" t="s">
        <v>2982</v>
      </c>
      <c r="D1346" t="s">
        <v>1418</v>
      </c>
      <c r="E1346">
        <v>9064317102</v>
      </c>
      <c r="F1346">
        <v>6428883798</v>
      </c>
      <c r="G1346">
        <v>4848266206</v>
      </c>
      <c r="H1346">
        <v>4281922884</v>
      </c>
      <c r="I1346">
        <v>3314649474</v>
      </c>
      <c r="J1346">
        <v>3098969545</v>
      </c>
      <c r="K1346">
        <v>3031338548</v>
      </c>
      <c r="P1346">
        <v>552</v>
      </c>
      <c r="Q1346" t="s">
        <v>2983</v>
      </c>
    </row>
    <row r="1347" spans="1:17" x14ac:dyDescent="0.3">
      <c r="A1347" t="s">
        <v>47</v>
      </c>
      <c r="B1347" t="str">
        <f>"002614"</f>
        <v>002614</v>
      </c>
      <c r="C1347" t="s">
        <v>2984</v>
      </c>
      <c r="D1347" t="s">
        <v>2985</v>
      </c>
      <c r="E1347">
        <v>9060340153</v>
      </c>
      <c r="F1347">
        <v>9186573145</v>
      </c>
      <c r="G1347">
        <v>7300657367</v>
      </c>
      <c r="H1347">
        <v>5740524877</v>
      </c>
      <c r="I1347">
        <v>5005649580</v>
      </c>
      <c r="J1347">
        <v>4239494734</v>
      </c>
      <c r="K1347">
        <v>3812965841</v>
      </c>
      <c r="L1347">
        <v>3265858436</v>
      </c>
      <c r="M1347">
        <v>3140636153</v>
      </c>
      <c r="N1347">
        <v>2610238514</v>
      </c>
      <c r="O1347">
        <v>2398112821</v>
      </c>
      <c r="P1347">
        <v>525</v>
      </c>
      <c r="Q1347" t="s">
        <v>2986</v>
      </c>
    </row>
    <row r="1348" spans="1:17" x14ac:dyDescent="0.3">
      <c r="A1348" t="s">
        <v>17</v>
      </c>
      <c r="B1348" t="str">
        <f>"601500"</f>
        <v>601500</v>
      </c>
      <c r="C1348" t="s">
        <v>2987</v>
      </c>
      <c r="D1348" t="s">
        <v>1102</v>
      </c>
      <c r="E1348">
        <v>9054190964</v>
      </c>
      <c r="F1348">
        <v>7724958094</v>
      </c>
      <c r="G1348">
        <v>6918275589</v>
      </c>
      <c r="H1348">
        <v>5655766708</v>
      </c>
      <c r="I1348">
        <v>4121552520</v>
      </c>
      <c r="J1348">
        <v>3906082416</v>
      </c>
      <c r="P1348">
        <v>85</v>
      </c>
      <c r="Q1348" t="s">
        <v>2988</v>
      </c>
    </row>
    <row r="1349" spans="1:17" x14ac:dyDescent="0.3">
      <c r="A1349" t="s">
        <v>17</v>
      </c>
      <c r="B1349" t="str">
        <f>"603618"</f>
        <v>603618</v>
      </c>
      <c r="C1349" t="s">
        <v>2989</v>
      </c>
      <c r="D1349" t="s">
        <v>1616</v>
      </c>
      <c r="E1349">
        <v>9042443658</v>
      </c>
      <c r="F1349">
        <v>8025243905</v>
      </c>
      <c r="G1349">
        <v>6921334995</v>
      </c>
      <c r="H1349">
        <v>6352726362</v>
      </c>
      <c r="I1349">
        <v>5207927940</v>
      </c>
      <c r="J1349">
        <v>3866523020</v>
      </c>
      <c r="K1349">
        <v>2979840432</v>
      </c>
      <c r="L1349">
        <v>2999739954</v>
      </c>
      <c r="P1349">
        <v>169</v>
      </c>
      <c r="Q1349" t="s">
        <v>2990</v>
      </c>
    </row>
    <row r="1350" spans="1:17" x14ac:dyDescent="0.3">
      <c r="A1350" t="s">
        <v>17</v>
      </c>
      <c r="B1350" t="str">
        <f>"605090"</f>
        <v>605090</v>
      </c>
      <c r="C1350" t="s">
        <v>2991</v>
      </c>
      <c r="D1350" t="s">
        <v>476</v>
      </c>
      <c r="E1350">
        <v>9039752166</v>
      </c>
      <c r="F1350">
        <v>5196624215</v>
      </c>
      <c r="P1350">
        <v>51</v>
      </c>
      <c r="Q1350" t="s">
        <v>2992</v>
      </c>
    </row>
    <row r="1351" spans="1:17" x14ac:dyDescent="0.3">
      <c r="A1351" t="s">
        <v>17</v>
      </c>
      <c r="B1351" t="str">
        <f>"600422"</f>
        <v>600422</v>
      </c>
      <c r="C1351" t="s">
        <v>2993</v>
      </c>
      <c r="D1351" t="s">
        <v>695</v>
      </c>
      <c r="E1351">
        <v>9034707550</v>
      </c>
      <c r="F1351">
        <v>8119919365</v>
      </c>
      <c r="G1351">
        <v>7825547590</v>
      </c>
      <c r="H1351">
        <v>7232478864</v>
      </c>
      <c r="I1351">
        <v>6735140346</v>
      </c>
      <c r="J1351">
        <v>5441248620</v>
      </c>
      <c r="K1351">
        <v>5140009403</v>
      </c>
      <c r="L1351">
        <v>3215376317</v>
      </c>
      <c r="M1351">
        <v>3113296744</v>
      </c>
      <c r="N1351">
        <v>2351763113</v>
      </c>
      <c r="O1351">
        <v>1705487876</v>
      </c>
      <c r="P1351">
        <v>452</v>
      </c>
      <c r="Q1351" t="s">
        <v>2994</v>
      </c>
    </row>
    <row r="1352" spans="1:17" x14ac:dyDescent="0.3">
      <c r="A1352" t="s">
        <v>47</v>
      </c>
      <c r="B1352" t="str">
        <f>"002625"</f>
        <v>002625</v>
      </c>
      <c r="C1352" t="s">
        <v>2995</v>
      </c>
      <c r="D1352" t="s">
        <v>570</v>
      </c>
      <c r="E1352">
        <v>9034509973</v>
      </c>
      <c r="F1352">
        <v>8562351870</v>
      </c>
      <c r="G1352">
        <v>8115773351</v>
      </c>
      <c r="H1352">
        <v>8242237918</v>
      </c>
      <c r="I1352">
        <v>8303066378</v>
      </c>
      <c r="J1352">
        <v>7581674296</v>
      </c>
      <c r="K1352">
        <v>714808232</v>
      </c>
      <c r="L1352">
        <v>647448872</v>
      </c>
      <c r="M1352">
        <v>559959362</v>
      </c>
      <c r="N1352">
        <v>484424599</v>
      </c>
      <c r="O1352">
        <v>427484820</v>
      </c>
      <c r="P1352">
        <v>259</v>
      </c>
      <c r="Q1352" t="s">
        <v>2996</v>
      </c>
    </row>
    <row r="1353" spans="1:17" x14ac:dyDescent="0.3">
      <c r="A1353" t="s">
        <v>17</v>
      </c>
      <c r="B1353" t="str">
        <f>"600790"</f>
        <v>600790</v>
      </c>
      <c r="C1353" t="s">
        <v>2997</v>
      </c>
      <c r="D1353" t="s">
        <v>454</v>
      </c>
      <c r="E1353">
        <v>9021652724</v>
      </c>
      <c r="F1353">
        <v>9399744152</v>
      </c>
      <c r="G1353">
        <v>9897259718</v>
      </c>
      <c r="H1353">
        <v>10152316172</v>
      </c>
      <c r="I1353">
        <v>8592417294</v>
      </c>
      <c r="J1353">
        <v>8179177506</v>
      </c>
      <c r="K1353">
        <v>7223854854</v>
      </c>
      <c r="L1353">
        <v>7130552079</v>
      </c>
      <c r="M1353">
        <v>7748131666</v>
      </c>
      <c r="N1353">
        <v>6755907585</v>
      </c>
      <c r="O1353">
        <v>3363262896</v>
      </c>
      <c r="P1353">
        <v>184</v>
      </c>
      <c r="Q1353" t="s">
        <v>2998</v>
      </c>
    </row>
    <row r="1354" spans="1:17" x14ac:dyDescent="0.3">
      <c r="A1354" t="s">
        <v>47</v>
      </c>
      <c r="B1354" t="str">
        <f>"000426"</f>
        <v>000426</v>
      </c>
      <c r="C1354" t="s">
        <v>2999</v>
      </c>
      <c r="D1354" t="s">
        <v>1299</v>
      </c>
      <c r="E1354">
        <v>9021096017</v>
      </c>
      <c r="F1354">
        <v>9094381560</v>
      </c>
      <c r="G1354">
        <v>9034290317</v>
      </c>
      <c r="H1354">
        <v>8871316004</v>
      </c>
      <c r="I1354">
        <v>9200761869</v>
      </c>
      <c r="J1354">
        <v>9492276107</v>
      </c>
      <c r="K1354">
        <v>4320472139</v>
      </c>
      <c r="L1354">
        <v>4024800673</v>
      </c>
      <c r="M1354">
        <v>4032048274</v>
      </c>
      <c r="N1354">
        <v>3296604975</v>
      </c>
      <c r="O1354">
        <v>3105100131</v>
      </c>
      <c r="P1354">
        <v>202</v>
      </c>
      <c r="Q1354" t="s">
        <v>3000</v>
      </c>
    </row>
    <row r="1355" spans="1:17" x14ac:dyDescent="0.3">
      <c r="A1355" t="s">
        <v>47</v>
      </c>
      <c r="B1355" t="str">
        <f>"002498"</f>
        <v>002498</v>
      </c>
      <c r="C1355" t="s">
        <v>3001</v>
      </c>
      <c r="D1355" t="s">
        <v>1616</v>
      </c>
      <c r="E1355">
        <v>9014487181</v>
      </c>
      <c r="F1355">
        <v>7753529464</v>
      </c>
      <c r="G1355">
        <v>6429026439</v>
      </c>
      <c r="H1355">
        <v>5675526831</v>
      </c>
      <c r="I1355">
        <v>6219865861</v>
      </c>
      <c r="J1355">
        <v>6424636407</v>
      </c>
      <c r="K1355">
        <v>6488278997</v>
      </c>
      <c r="L1355">
        <v>5554632213</v>
      </c>
      <c r="M1355">
        <v>5432335498</v>
      </c>
      <c r="N1355">
        <v>4841003199</v>
      </c>
      <c r="O1355">
        <v>4314715697</v>
      </c>
      <c r="P1355">
        <v>282</v>
      </c>
      <c r="Q1355" t="s">
        <v>3002</v>
      </c>
    </row>
    <row r="1356" spans="1:17" x14ac:dyDescent="0.3">
      <c r="A1356" t="s">
        <v>17</v>
      </c>
      <c r="B1356" t="str">
        <f>"600490"</f>
        <v>600490</v>
      </c>
      <c r="C1356" t="s">
        <v>3003</v>
      </c>
      <c r="D1356" t="s">
        <v>301</v>
      </c>
      <c r="E1356">
        <v>9003067759</v>
      </c>
      <c r="F1356">
        <v>8500018660</v>
      </c>
      <c r="G1356">
        <v>9452603805</v>
      </c>
      <c r="H1356">
        <v>8755492827</v>
      </c>
      <c r="I1356">
        <v>8217073988</v>
      </c>
      <c r="J1356">
        <v>7486237648</v>
      </c>
      <c r="K1356">
        <v>4857862879</v>
      </c>
      <c r="L1356">
        <v>4241510116</v>
      </c>
      <c r="M1356">
        <v>4362687844</v>
      </c>
      <c r="N1356">
        <v>4387692218</v>
      </c>
      <c r="O1356">
        <v>402280280</v>
      </c>
      <c r="P1356">
        <v>144</v>
      </c>
      <c r="Q1356" t="s">
        <v>3004</v>
      </c>
    </row>
    <row r="1357" spans="1:17" x14ac:dyDescent="0.3">
      <c r="A1357" t="s">
        <v>47</v>
      </c>
      <c r="B1357" t="str">
        <f>"002588"</f>
        <v>002588</v>
      </c>
      <c r="C1357" t="s">
        <v>3005</v>
      </c>
      <c r="D1357" t="s">
        <v>2175</v>
      </c>
      <c r="E1357">
        <v>8979588022</v>
      </c>
      <c r="F1357">
        <v>7262990671</v>
      </c>
      <c r="G1357">
        <v>6976064486</v>
      </c>
      <c r="H1357">
        <v>7129539512</v>
      </c>
      <c r="I1357">
        <v>7124056498</v>
      </c>
      <c r="J1357">
        <v>7140062099</v>
      </c>
      <c r="K1357">
        <v>5982392199</v>
      </c>
      <c r="L1357">
        <v>5359230490</v>
      </c>
      <c r="M1357">
        <v>4440203382</v>
      </c>
      <c r="N1357">
        <v>4078772241</v>
      </c>
      <c r="O1357">
        <v>3827642916</v>
      </c>
      <c r="P1357">
        <v>164</v>
      </c>
      <c r="Q1357" t="s">
        <v>3006</v>
      </c>
    </row>
    <row r="1358" spans="1:17" x14ac:dyDescent="0.3">
      <c r="A1358" t="s">
        <v>47</v>
      </c>
      <c r="B1358" t="str">
        <f>"002483"</f>
        <v>002483</v>
      </c>
      <c r="C1358" t="s">
        <v>3007</v>
      </c>
      <c r="D1358" t="s">
        <v>607</v>
      </c>
      <c r="E1358">
        <v>8969235379</v>
      </c>
      <c r="F1358">
        <v>7455382647</v>
      </c>
      <c r="G1358">
        <v>7339911186</v>
      </c>
      <c r="H1358">
        <v>4692018955</v>
      </c>
      <c r="I1358">
        <v>4256419641</v>
      </c>
      <c r="J1358">
        <v>4711011565</v>
      </c>
      <c r="K1358">
        <v>4382448470</v>
      </c>
      <c r="L1358">
        <v>3662112915</v>
      </c>
      <c r="M1358">
        <v>3113093912</v>
      </c>
      <c r="N1358">
        <v>3176446215</v>
      </c>
      <c r="O1358">
        <v>2589278774</v>
      </c>
      <c r="P1358">
        <v>93</v>
      </c>
      <c r="Q1358" t="s">
        <v>3008</v>
      </c>
    </row>
    <row r="1359" spans="1:17" x14ac:dyDescent="0.3">
      <c r="A1359" t="s">
        <v>17</v>
      </c>
      <c r="B1359" t="str">
        <f>"603127"</f>
        <v>603127</v>
      </c>
      <c r="C1359" t="s">
        <v>3009</v>
      </c>
      <c r="D1359" t="s">
        <v>777</v>
      </c>
      <c r="E1359">
        <v>8957151365</v>
      </c>
      <c r="F1359">
        <v>7633988122</v>
      </c>
      <c r="G1359">
        <v>1600633790</v>
      </c>
      <c r="H1359">
        <v>1183561255</v>
      </c>
      <c r="I1359">
        <v>978805027</v>
      </c>
      <c r="P1359">
        <v>1812</v>
      </c>
      <c r="Q1359" t="s">
        <v>3010</v>
      </c>
    </row>
    <row r="1360" spans="1:17" x14ac:dyDescent="0.3">
      <c r="A1360" t="s">
        <v>17</v>
      </c>
      <c r="B1360" t="str">
        <f>"605499"</f>
        <v>605499</v>
      </c>
      <c r="C1360" t="s">
        <v>3011</v>
      </c>
      <c r="D1360" t="s">
        <v>2157</v>
      </c>
      <c r="E1360">
        <v>8955562913</v>
      </c>
      <c r="F1360">
        <v>4661182342</v>
      </c>
      <c r="P1360">
        <v>282</v>
      </c>
      <c r="Q1360" t="s">
        <v>3012</v>
      </c>
    </row>
    <row r="1361" spans="1:17" x14ac:dyDescent="0.3">
      <c r="A1361" t="s">
        <v>17</v>
      </c>
      <c r="B1361" t="str">
        <f>"601975"</f>
        <v>601975</v>
      </c>
      <c r="C1361" t="s">
        <v>3013</v>
      </c>
      <c r="D1361" t="s">
        <v>176</v>
      </c>
      <c r="E1361">
        <v>8937619696</v>
      </c>
      <c r="F1361">
        <v>8925812655</v>
      </c>
      <c r="G1361">
        <v>8595786124</v>
      </c>
      <c r="H1361">
        <v>7701468160</v>
      </c>
      <c r="M1361">
        <v>13453089024</v>
      </c>
      <c r="N1361">
        <v>19241096210</v>
      </c>
      <c r="O1361">
        <v>19867610083</v>
      </c>
      <c r="P1361">
        <v>270</v>
      </c>
      <c r="Q1361" t="s">
        <v>3014</v>
      </c>
    </row>
    <row r="1362" spans="1:17" x14ac:dyDescent="0.3">
      <c r="A1362" t="s">
        <v>47</v>
      </c>
      <c r="B1362" t="str">
        <f>"002822"</f>
        <v>002822</v>
      </c>
      <c r="C1362" t="s">
        <v>3015</v>
      </c>
      <c r="D1362" t="s">
        <v>1163</v>
      </c>
      <c r="E1362">
        <v>8916892303</v>
      </c>
      <c r="F1362">
        <v>6903279734</v>
      </c>
      <c r="G1362">
        <v>5797771364</v>
      </c>
      <c r="H1362">
        <v>4786025188</v>
      </c>
      <c r="I1362">
        <v>4317257029</v>
      </c>
      <c r="J1362">
        <v>3687998837</v>
      </c>
      <c r="P1362">
        <v>134</v>
      </c>
      <c r="Q1362" t="s">
        <v>3016</v>
      </c>
    </row>
    <row r="1363" spans="1:17" x14ac:dyDescent="0.3">
      <c r="A1363" t="s">
        <v>17</v>
      </c>
      <c r="B1363" t="str">
        <f>"603299"</f>
        <v>603299</v>
      </c>
      <c r="C1363" t="s">
        <v>3017</v>
      </c>
      <c r="D1363" t="s">
        <v>1930</v>
      </c>
      <c r="E1363">
        <v>8909997857</v>
      </c>
      <c r="F1363">
        <v>7363074957</v>
      </c>
      <c r="G1363">
        <v>7468816469</v>
      </c>
      <c r="H1363">
        <v>6876334376</v>
      </c>
      <c r="I1363">
        <v>4639685043</v>
      </c>
      <c r="J1363">
        <v>4564603664</v>
      </c>
      <c r="K1363">
        <v>4446905592</v>
      </c>
      <c r="P1363">
        <v>139</v>
      </c>
      <c r="Q1363" t="s">
        <v>3018</v>
      </c>
    </row>
    <row r="1364" spans="1:17" x14ac:dyDescent="0.3">
      <c r="A1364" t="s">
        <v>47</v>
      </c>
      <c r="B1364" t="str">
        <f>"000711"</f>
        <v>000711</v>
      </c>
      <c r="C1364" t="s">
        <v>3019</v>
      </c>
      <c r="D1364" t="s">
        <v>1310</v>
      </c>
      <c r="E1364">
        <v>8872429461</v>
      </c>
      <c r="F1364">
        <v>9648050677</v>
      </c>
      <c r="G1364">
        <v>12269146212</v>
      </c>
      <c r="H1364">
        <v>12185593258</v>
      </c>
      <c r="I1364">
        <v>9112143968</v>
      </c>
      <c r="J1364">
        <v>3837149674</v>
      </c>
      <c r="K1364">
        <v>296973973</v>
      </c>
      <c r="L1364">
        <v>1192198405</v>
      </c>
      <c r="M1364">
        <v>1146926265</v>
      </c>
      <c r="N1364">
        <v>983979951</v>
      </c>
      <c r="O1364">
        <v>796761921</v>
      </c>
      <c r="P1364">
        <v>109</v>
      </c>
      <c r="Q1364" t="s">
        <v>3020</v>
      </c>
    </row>
    <row r="1365" spans="1:17" x14ac:dyDescent="0.3">
      <c r="A1365" t="s">
        <v>47</v>
      </c>
      <c r="B1365" t="str">
        <f>"002506"</f>
        <v>002506</v>
      </c>
      <c r="C1365" t="s">
        <v>3021</v>
      </c>
      <c r="D1365" t="s">
        <v>664</v>
      </c>
      <c r="E1365">
        <v>8866082805</v>
      </c>
      <c r="F1365">
        <v>11521854598</v>
      </c>
      <c r="G1365">
        <v>14454763623</v>
      </c>
      <c r="H1365">
        <v>18842623551</v>
      </c>
      <c r="I1365">
        <v>20806415821</v>
      </c>
      <c r="J1365">
        <v>22043180936</v>
      </c>
      <c r="K1365">
        <v>15744672665</v>
      </c>
      <c r="L1365">
        <v>4279290982</v>
      </c>
      <c r="M1365">
        <v>6215740353</v>
      </c>
      <c r="N1365">
        <v>7287387268</v>
      </c>
      <c r="O1365">
        <v>8177786553</v>
      </c>
      <c r="P1365">
        <v>315</v>
      </c>
      <c r="Q1365" t="s">
        <v>3022</v>
      </c>
    </row>
    <row r="1366" spans="1:17" x14ac:dyDescent="0.3">
      <c r="A1366" t="s">
        <v>47</v>
      </c>
      <c r="B1366" t="str">
        <f>"002325"</f>
        <v>002325</v>
      </c>
      <c r="C1366" t="s">
        <v>3023</v>
      </c>
      <c r="D1366" t="s">
        <v>1163</v>
      </c>
      <c r="E1366">
        <v>8857576911</v>
      </c>
      <c r="F1366">
        <v>11200377366</v>
      </c>
      <c r="G1366">
        <v>11840931694</v>
      </c>
      <c r="H1366">
        <v>12212558399</v>
      </c>
      <c r="I1366">
        <v>10116021067</v>
      </c>
      <c r="J1366">
        <v>9343651657</v>
      </c>
      <c r="K1366">
        <v>7390026907</v>
      </c>
      <c r="L1366">
        <v>5872514193</v>
      </c>
      <c r="M1366">
        <v>4070265680</v>
      </c>
      <c r="N1366">
        <v>2807099068</v>
      </c>
      <c r="O1366">
        <v>2032433681</v>
      </c>
      <c r="P1366">
        <v>171</v>
      </c>
      <c r="Q1366" t="s">
        <v>3024</v>
      </c>
    </row>
    <row r="1367" spans="1:17" x14ac:dyDescent="0.3">
      <c r="A1367" t="s">
        <v>47</v>
      </c>
      <c r="B1367" t="str">
        <f>"001203"</f>
        <v>001203</v>
      </c>
      <c r="C1367" t="s">
        <v>3025</v>
      </c>
      <c r="D1367" t="s">
        <v>2087</v>
      </c>
      <c r="E1367">
        <v>8855859276</v>
      </c>
      <c r="F1367">
        <v>7462304777</v>
      </c>
      <c r="P1367">
        <v>80</v>
      </c>
      <c r="Q1367" t="s">
        <v>3026</v>
      </c>
    </row>
    <row r="1368" spans="1:17" x14ac:dyDescent="0.3">
      <c r="A1368" t="s">
        <v>17</v>
      </c>
      <c r="B1368" t="str">
        <f>"603030"</f>
        <v>603030</v>
      </c>
      <c r="C1368" t="s">
        <v>3027</v>
      </c>
      <c r="D1368" t="s">
        <v>1163</v>
      </c>
      <c r="E1368">
        <v>8845437397</v>
      </c>
      <c r="F1368">
        <v>9883293626</v>
      </c>
      <c r="G1368">
        <v>8897332441</v>
      </c>
      <c r="H1368">
        <v>8388813250</v>
      </c>
      <c r="I1368">
        <v>5313619202</v>
      </c>
      <c r="J1368">
        <v>4050613757</v>
      </c>
      <c r="K1368">
        <v>2478699566</v>
      </c>
      <c r="L1368">
        <v>1923946171</v>
      </c>
      <c r="P1368">
        <v>126</v>
      </c>
      <c r="Q1368" t="s">
        <v>3028</v>
      </c>
    </row>
    <row r="1369" spans="1:17" x14ac:dyDescent="0.3">
      <c r="A1369" t="s">
        <v>17</v>
      </c>
      <c r="B1369" t="str">
        <f>"600850"</f>
        <v>600850</v>
      </c>
      <c r="C1369" t="s">
        <v>3029</v>
      </c>
      <c r="D1369" t="s">
        <v>700</v>
      </c>
      <c r="E1369">
        <v>8837963763</v>
      </c>
      <c r="F1369">
        <v>8661648071</v>
      </c>
      <c r="G1369">
        <v>6593835775</v>
      </c>
      <c r="H1369">
        <v>5940130348</v>
      </c>
      <c r="I1369">
        <v>4992719940</v>
      </c>
      <c r="J1369">
        <v>4871841575</v>
      </c>
      <c r="K1369">
        <v>4847516455</v>
      </c>
      <c r="L1369">
        <v>3601034726</v>
      </c>
      <c r="M1369">
        <v>3562697168</v>
      </c>
      <c r="N1369">
        <v>2835569425</v>
      </c>
      <c r="O1369">
        <v>954900640</v>
      </c>
      <c r="P1369">
        <v>322</v>
      </c>
      <c r="Q1369" t="s">
        <v>3030</v>
      </c>
    </row>
    <row r="1370" spans="1:17" x14ac:dyDescent="0.3">
      <c r="A1370" t="s">
        <v>17</v>
      </c>
      <c r="B1370" t="str">
        <f>"600814"</f>
        <v>600814</v>
      </c>
      <c r="C1370" t="s">
        <v>3031</v>
      </c>
      <c r="D1370" t="s">
        <v>1073</v>
      </c>
      <c r="E1370">
        <v>8828136726</v>
      </c>
      <c r="F1370">
        <v>7359919585</v>
      </c>
      <c r="G1370">
        <v>5411149411</v>
      </c>
      <c r="H1370">
        <v>5383289218</v>
      </c>
      <c r="I1370">
        <v>5145642734</v>
      </c>
      <c r="J1370">
        <v>4837116933</v>
      </c>
      <c r="K1370">
        <v>4496442121</v>
      </c>
      <c r="L1370">
        <v>4442586693</v>
      </c>
      <c r="M1370">
        <v>1189640872</v>
      </c>
      <c r="N1370">
        <v>1258339884</v>
      </c>
      <c r="O1370">
        <v>1273761654</v>
      </c>
      <c r="P1370">
        <v>150</v>
      </c>
      <c r="Q1370" t="s">
        <v>3032</v>
      </c>
    </row>
    <row r="1371" spans="1:17" x14ac:dyDescent="0.3">
      <c r="A1371" t="s">
        <v>47</v>
      </c>
      <c r="B1371" t="str">
        <f>"002845"</f>
        <v>002845</v>
      </c>
      <c r="C1371" t="s">
        <v>3033</v>
      </c>
      <c r="D1371" t="s">
        <v>181</v>
      </c>
      <c r="E1371">
        <v>8816384162</v>
      </c>
      <c r="F1371">
        <v>9664315101</v>
      </c>
      <c r="G1371">
        <v>6551202622</v>
      </c>
      <c r="H1371">
        <v>4458935734</v>
      </c>
      <c r="I1371">
        <v>3269532767</v>
      </c>
      <c r="J1371">
        <v>2316152289</v>
      </c>
      <c r="P1371">
        <v>222</v>
      </c>
      <c r="Q1371" t="s">
        <v>3034</v>
      </c>
    </row>
    <row r="1372" spans="1:17" x14ac:dyDescent="0.3">
      <c r="A1372" t="s">
        <v>47</v>
      </c>
      <c r="B1372" t="str">
        <f>"002815"</f>
        <v>002815</v>
      </c>
      <c r="C1372" t="s">
        <v>3035</v>
      </c>
      <c r="D1372" t="s">
        <v>1115</v>
      </c>
      <c r="E1372">
        <v>8815171427</v>
      </c>
      <c r="F1372">
        <v>7804314323</v>
      </c>
      <c r="G1372">
        <v>5495028683</v>
      </c>
      <c r="H1372">
        <v>5187981922</v>
      </c>
      <c r="I1372">
        <v>4840132246</v>
      </c>
      <c r="J1372">
        <v>3664210481</v>
      </c>
      <c r="K1372">
        <v>2146677916</v>
      </c>
      <c r="P1372">
        <v>919</v>
      </c>
      <c r="Q1372" t="s">
        <v>3036</v>
      </c>
    </row>
    <row r="1373" spans="1:17" x14ac:dyDescent="0.3">
      <c r="A1373" t="s">
        <v>17</v>
      </c>
      <c r="B1373" t="str">
        <f>"600876"</f>
        <v>600876</v>
      </c>
      <c r="C1373" t="s">
        <v>3037</v>
      </c>
      <c r="D1373" t="s">
        <v>1635</v>
      </c>
      <c r="E1373">
        <v>8802134557</v>
      </c>
      <c r="F1373">
        <v>5880536552</v>
      </c>
      <c r="G1373">
        <v>5414713251</v>
      </c>
      <c r="H1373">
        <v>4644918935</v>
      </c>
      <c r="I1373">
        <v>3011943364</v>
      </c>
      <c r="J1373">
        <v>1244573295</v>
      </c>
      <c r="K1373">
        <v>1353079108</v>
      </c>
      <c r="L1373">
        <v>1117103455</v>
      </c>
      <c r="M1373">
        <v>1202813554</v>
      </c>
      <c r="N1373">
        <v>1272570918</v>
      </c>
      <c r="O1373">
        <v>1387390364</v>
      </c>
      <c r="P1373">
        <v>175</v>
      </c>
      <c r="Q1373" t="s">
        <v>3038</v>
      </c>
    </row>
    <row r="1374" spans="1:17" x14ac:dyDescent="0.3">
      <c r="A1374" t="s">
        <v>47</v>
      </c>
      <c r="B1374" t="str">
        <f>"300741"</f>
        <v>300741</v>
      </c>
      <c r="C1374" t="s">
        <v>3039</v>
      </c>
      <c r="D1374" t="s">
        <v>1699</v>
      </c>
      <c r="E1374">
        <v>8791428606</v>
      </c>
      <c r="F1374">
        <v>8511406662</v>
      </c>
      <c r="G1374">
        <v>8682511876</v>
      </c>
      <c r="H1374">
        <v>9816610506</v>
      </c>
      <c r="I1374">
        <v>8704248024</v>
      </c>
      <c r="P1374">
        <v>458</v>
      </c>
      <c r="Q1374" t="s">
        <v>3040</v>
      </c>
    </row>
    <row r="1375" spans="1:17" x14ac:dyDescent="0.3">
      <c r="A1375" t="s">
        <v>47</v>
      </c>
      <c r="B1375" t="str">
        <f>"301090"</f>
        <v>301090</v>
      </c>
      <c r="C1375" t="s">
        <v>3041</v>
      </c>
      <c r="D1375" t="s">
        <v>334</v>
      </c>
      <c r="E1375">
        <v>8785854055</v>
      </c>
      <c r="G1375">
        <v>5873597183</v>
      </c>
      <c r="P1375">
        <v>18</v>
      </c>
      <c r="Q1375" t="s">
        <v>3042</v>
      </c>
    </row>
    <row r="1376" spans="1:17" x14ac:dyDescent="0.3">
      <c r="A1376" t="s">
        <v>17</v>
      </c>
      <c r="B1376" t="str">
        <f>"603707"</f>
        <v>603707</v>
      </c>
      <c r="C1376" t="s">
        <v>3043</v>
      </c>
      <c r="D1376" t="s">
        <v>550</v>
      </c>
      <c r="E1376">
        <v>8772844821</v>
      </c>
      <c r="F1376">
        <v>8639548208</v>
      </c>
      <c r="G1376">
        <v>5385408851</v>
      </c>
      <c r="H1376">
        <v>3573272109</v>
      </c>
      <c r="I1376">
        <v>2921178569</v>
      </c>
      <c r="J1376">
        <v>1566240712</v>
      </c>
      <c r="P1376">
        <v>771</v>
      </c>
      <c r="Q1376" t="s">
        <v>3044</v>
      </c>
    </row>
    <row r="1377" spans="1:17" x14ac:dyDescent="0.3">
      <c r="A1377" t="s">
        <v>47</v>
      </c>
      <c r="B1377" t="str">
        <f>"002436"</f>
        <v>002436</v>
      </c>
      <c r="C1377" t="s">
        <v>3045</v>
      </c>
      <c r="D1377" t="s">
        <v>1115</v>
      </c>
      <c r="E1377">
        <v>8764024204</v>
      </c>
      <c r="F1377">
        <v>6638531902</v>
      </c>
      <c r="G1377">
        <v>5240071088</v>
      </c>
      <c r="H1377">
        <v>4768275016</v>
      </c>
      <c r="I1377">
        <v>4424920053</v>
      </c>
      <c r="J1377">
        <v>4148236154</v>
      </c>
      <c r="K1377">
        <v>3822010922</v>
      </c>
      <c r="L1377">
        <v>3168400921</v>
      </c>
      <c r="M1377">
        <v>2435661067</v>
      </c>
      <c r="N1377">
        <v>2037694834</v>
      </c>
      <c r="O1377">
        <v>1687360934</v>
      </c>
      <c r="P1377">
        <v>563</v>
      </c>
      <c r="Q1377" t="s">
        <v>3046</v>
      </c>
    </row>
    <row r="1378" spans="1:17" x14ac:dyDescent="0.3">
      <c r="A1378" t="s">
        <v>47</v>
      </c>
      <c r="B1378" t="str">
        <f>"300618"</f>
        <v>300618</v>
      </c>
      <c r="C1378" t="s">
        <v>3047</v>
      </c>
      <c r="D1378" t="s">
        <v>635</v>
      </c>
      <c r="E1378">
        <v>8759878106</v>
      </c>
      <c r="F1378">
        <v>6042017548</v>
      </c>
      <c r="G1378">
        <v>3511116193</v>
      </c>
      <c r="H1378">
        <v>3060947309</v>
      </c>
      <c r="I1378">
        <v>2667532711</v>
      </c>
      <c r="J1378">
        <v>1196184240</v>
      </c>
      <c r="P1378">
        <v>574</v>
      </c>
      <c r="Q1378" t="s">
        <v>3048</v>
      </c>
    </row>
    <row r="1379" spans="1:17" x14ac:dyDescent="0.3">
      <c r="A1379" t="s">
        <v>47</v>
      </c>
      <c r="B1379" t="str">
        <f>"002643"</f>
        <v>002643</v>
      </c>
      <c r="C1379" t="s">
        <v>3049</v>
      </c>
      <c r="D1379" t="s">
        <v>3050</v>
      </c>
      <c r="E1379">
        <v>8754154599</v>
      </c>
      <c r="F1379">
        <v>7109339920</v>
      </c>
      <c r="G1379">
        <v>6098099835</v>
      </c>
      <c r="H1379">
        <v>5243029747</v>
      </c>
      <c r="I1379">
        <v>4526730979</v>
      </c>
      <c r="J1379">
        <v>4427360362</v>
      </c>
      <c r="K1379">
        <v>3860979483</v>
      </c>
      <c r="L1379">
        <v>2627273920</v>
      </c>
      <c r="M1379">
        <v>1563553741</v>
      </c>
      <c r="N1379">
        <v>1548413986</v>
      </c>
      <c r="O1379">
        <v>1391500080</v>
      </c>
      <c r="P1379">
        <v>387</v>
      </c>
      <c r="Q1379" t="s">
        <v>3051</v>
      </c>
    </row>
    <row r="1380" spans="1:17" x14ac:dyDescent="0.3">
      <c r="A1380" t="s">
        <v>17</v>
      </c>
      <c r="B1380" t="str">
        <f>"688220"</f>
        <v>688220</v>
      </c>
      <c r="C1380" t="s">
        <v>3052</v>
      </c>
      <c r="D1380" t="s">
        <v>2795</v>
      </c>
      <c r="E1380">
        <v>8744607466</v>
      </c>
      <c r="P1380">
        <v>19</v>
      </c>
      <c r="Q1380" t="s">
        <v>3053</v>
      </c>
    </row>
    <row r="1381" spans="1:17" x14ac:dyDescent="0.3">
      <c r="A1381" t="s">
        <v>17</v>
      </c>
      <c r="B1381" t="str">
        <f>"600702"</f>
        <v>600702</v>
      </c>
      <c r="C1381" t="s">
        <v>3054</v>
      </c>
      <c r="D1381" t="s">
        <v>286</v>
      </c>
      <c r="E1381">
        <v>8742454349</v>
      </c>
      <c r="F1381">
        <v>6601756657</v>
      </c>
      <c r="G1381">
        <v>5682639468</v>
      </c>
      <c r="H1381">
        <v>4985314213</v>
      </c>
      <c r="I1381">
        <v>4733560899</v>
      </c>
      <c r="J1381">
        <v>4026318758</v>
      </c>
      <c r="K1381">
        <v>3819718024</v>
      </c>
      <c r="L1381">
        <v>3825159103</v>
      </c>
      <c r="M1381">
        <v>3441243528</v>
      </c>
      <c r="N1381">
        <v>3334055486</v>
      </c>
      <c r="O1381">
        <v>3444399799</v>
      </c>
      <c r="P1381">
        <v>1462</v>
      </c>
      <c r="Q1381" t="s">
        <v>3055</v>
      </c>
    </row>
    <row r="1382" spans="1:17" x14ac:dyDescent="0.3">
      <c r="A1382" t="s">
        <v>17</v>
      </c>
      <c r="B1382" t="str">
        <f>"603236"</f>
        <v>603236</v>
      </c>
      <c r="C1382" t="s">
        <v>3056</v>
      </c>
      <c r="D1382" t="s">
        <v>962</v>
      </c>
      <c r="E1382">
        <v>8741878707</v>
      </c>
      <c r="F1382">
        <v>6227700300</v>
      </c>
      <c r="G1382">
        <v>3299115040</v>
      </c>
      <c r="H1382">
        <v>1129797100</v>
      </c>
      <c r="P1382">
        <v>589</v>
      </c>
      <c r="Q1382" t="s">
        <v>3057</v>
      </c>
    </row>
    <row r="1383" spans="1:17" x14ac:dyDescent="0.3">
      <c r="A1383" t="s">
        <v>47</v>
      </c>
      <c r="B1383" t="str">
        <f>"002721"</f>
        <v>002721</v>
      </c>
      <c r="C1383" t="s">
        <v>3058</v>
      </c>
      <c r="D1383" t="s">
        <v>1508</v>
      </c>
      <c r="E1383">
        <v>8739090439</v>
      </c>
      <c r="F1383">
        <v>10332392489</v>
      </c>
      <c r="G1383">
        <v>12284227332</v>
      </c>
      <c r="H1383">
        <v>14474750745</v>
      </c>
      <c r="I1383">
        <v>18638169861</v>
      </c>
      <c r="J1383">
        <v>12137117979</v>
      </c>
      <c r="K1383">
        <v>8933907048</v>
      </c>
      <c r="L1383">
        <v>4685640649</v>
      </c>
      <c r="M1383">
        <v>2496461063</v>
      </c>
      <c r="P1383">
        <v>89</v>
      </c>
      <c r="Q1383" t="s">
        <v>3059</v>
      </c>
    </row>
    <row r="1384" spans="1:17" x14ac:dyDescent="0.3">
      <c r="A1384" t="s">
        <v>17</v>
      </c>
      <c r="B1384" t="str">
        <f>"603606"</f>
        <v>603606</v>
      </c>
      <c r="C1384" t="s">
        <v>3060</v>
      </c>
      <c r="D1384" t="s">
        <v>1616</v>
      </c>
      <c r="E1384">
        <v>8725744412</v>
      </c>
      <c r="F1384">
        <v>6499770604</v>
      </c>
      <c r="G1384">
        <v>4314015351</v>
      </c>
      <c r="H1384">
        <v>3057506935</v>
      </c>
      <c r="I1384">
        <v>3025223303</v>
      </c>
      <c r="J1384">
        <v>2023223259</v>
      </c>
      <c r="K1384">
        <v>1718124407</v>
      </c>
      <c r="L1384">
        <v>1703400101</v>
      </c>
      <c r="P1384">
        <v>1568</v>
      </c>
      <c r="Q1384" t="s">
        <v>3061</v>
      </c>
    </row>
    <row r="1385" spans="1:17" x14ac:dyDescent="0.3">
      <c r="A1385" t="s">
        <v>17</v>
      </c>
      <c r="B1385" t="str">
        <f>"601968"</f>
        <v>601968</v>
      </c>
      <c r="C1385" t="s">
        <v>3062</v>
      </c>
      <c r="D1385" t="s">
        <v>1913</v>
      </c>
      <c r="E1385">
        <v>8704206629</v>
      </c>
      <c r="F1385">
        <v>6708057170</v>
      </c>
      <c r="G1385">
        <v>6851015776</v>
      </c>
      <c r="H1385">
        <v>5870906755</v>
      </c>
      <c r="I1385">
        <v>6034591653</v>
      </c>
      <c r="J1385">
        <v>5933498286</v>
      </c>
      <c r="K1385">
        <v>5317431251</v>
      </c>
      <c r="L1385">
        <v>4855531200</v>
      </c>
      <c r="M1385">
        <v>4831193600</v>
      </c>
      <c r="P1385">
        <v>108</v>
      </c>
      <c r="Q1385" t="s">
        <v>3063</v>
      </c>
    </row>
    <row r="1386" spans="1:17" x14ac:dyDescent="0.3">
      <c r="A1386" t="s">
        <v>17</v>
      </c>
      <c r="B1386" t="str">
        <f>"603712"</f>
        <v>603712</v>
      </c>
      <c r="C1386" t="s">
        <v>3064</v>
      </c>
      <c r="D1386" t="s">
        <v>1385</v>
      </c>
      <c r="E1386">
        <v>8701652049</v>
      </c>
      <c r="F1386">
        <v>7671606012</v>
      </c>
      <c r="G1386">
        <v>5709247036</v>
      </c>
      <c r="H1386">
        <v>4859930094</v>
      </c>
      <c r="I1386">
        <v>3821159977</v>
      </c>
      <c r="P1386">
        <v>325</v>
      </c>
      <c r="Q1386" t="s">
        <v>3065</v>
      </c>
    </row>
    <row r="1387" spans="1:17" x14ac:dyDescent="0.3">
      <c r="A1387" t="s">
        <v>17</v>
      </c>
      <c r="B1387" t="str">
        <f>"600410"</f>
        <v>600410</v>
      </c>
      <c r="C1387" t="s">
        <v>3066</v>
      </c>
      <c r="D1387" t="s">
        <v>700</v>
      </c>
      <c r="E1387">
        <v>8675405055</v>
      </c>
      <c r="F1387">
        <v>9366029337</v>
      </c>
      <c r="G1387">
        <v>10564238954</v>
      </c>
      <c r="H1387">
        <v>10001444875</v>
      </c>
      <c r="I1387">
        <v>11230069039</v>
      </c>
      <c r="J1387">
        <v>10164160469</v>
      </c>
      <c r="K1387">
        <v>6656137331</v>
      </c>
      <c r="L1387">
        <v>6618094301</v>
      </c>
      <c r="M1387">
        <v>6551265683</v>
      </c>
      <c r="N1387">
        <v>5594870053</v>
      </c>
      <c r="O1387">
        <v>4313528785</v>
      </c>
      <c r="P1387">
        <v>514</v>
      </c>
      <c r="Q1387" t="s">
        <v>3067</v>
      </c>
    </row>
    <row r="1388" spans="1:17" x14ac:dyDescent="0.3">
      <c r="A1388" t="s">
        <v>17</v>
      </c>
      <c r="B1388" t="str">
        <f>"605287"</f>
        <v>605287</v>
      </c>
      <c r="C1388" t="s">
        <v>3068</v>
      </c>
      <c r="D1388" t="s">
        <v>1163</v>
      </c>
      <c r="E1388">
        <v>8659219683</v>
      </c>
      <c r="F1388">
        <v>6304186162</v>
      </c>
      <c r="P1388">
        <v>21</v>
      </c>
      <c r="Q1388" t="s">
        <v>3069</v>
      </c>
    </row>
    <row r="1389" spans="1:17" x14ac:dyDescent="0.3">
      <c r="A1389" t="s">
        <v>47</v>
      </c>
      <c r="B1389" t="str">
        <f>"300682"</f>
        <v>300682</v>
      </c>
      <c r="C1389" t="s">
        <v>3070</v>
      </c>
      <c r="D1389" t="s">
        <v>700</v>
      </c>
      <c r="E1389">
        <v>8656923280</v>
      </c>
      <c r="F1389">
        <v>7316078377</v>
      </c>
      <c r="G1389">
        <v>5672027017</v>
      </c>
      <c r="H1389">
        <v>2014243749</v>
      </c>
      <c r="I1389">
        <v>1515266059</v>
      </c>
      <c r="J1389">
        <v>1021473003</v>
      </c>
      <c r="P1389">
        <v>254</v>
      </c>
      <c r="Q1389" t="s">
        <v>3071</v>
      </c>
    </row>
    <row r="1390" spans="1:17" x14ac:dyDescent="0.3">
      <c r="A1390" t="s">
        <v>47</v>
      </c>
      <c r="B1390" t="str">
        <f>"002544"</f>
        <v>002544</v>
      </c>
      <c r="C1390" t="s">
        <v>3072</v>
      </c>
      <c r="D1390" t="s">
        <v>2804</v>
      </c>
      <c r="E1390">
        <v>8651862001</v>
      </c>
      <c r="F1390">
        <v>8729416761</v>
      </c>
      <c r="G1390">
        <v>7101479116</v>
      </c>
      <c r="H1390">
        <v>7096129737</v>
      </c>
      <c r="I1390">
        <v>6366977630</v>
      </c>
      <c r="J1390">
        <v>3752248484</v>
      </c>
      <c r="K1390">
        <v>3452183823</v>
      </c>
      <c r="L1390">
        <v>2849094751</v>
      </c>
      <c r="M1390">
        <v>2136525399</v>
      </c>
      <c r="N1390">
        <v>1768482342</v>
      </c>
      <c r="O1390">
        <v>1373265244</v>
      </c>
      <c r="P1390">
        <v>324</v>
      </c>
      <c r="Q1390" t="s">
        <v>3073</v>
      </c>
    </row>
    <row r="1391" spans="1:17" x14ac:dyDescent="0.3">
      <c r="A1391" t="s">
        <v>17</v>
      </c>
      <c r="B1391" t="str">
        <f>"600108"</f>
        <v>600108</v>
      </c>
      <c r="C1391" t="s">
        <v>3074</v>
      </c>
      <c r="D1391" t="s">
        <v>1780</v>
      </c>
      <c r="E1391">
        <v>8644144497</v>
      </c>
      <c r="F1391">
        <v>8805599403</v>
      </c>
      <c r="G1391">
        <v>8594927918</v>
      </c>
      <c r="H1391">
        <v>8727189676</v>
      </c>
      <c r="I1391">
        <v>8064310451</v>
      </c>
      <c r="J1391">
        <v>7879761378</v>
      </c>
      <c r="K1391">
        <v>7569956446</v>
      </c>
      <c r="L1391">
        <v>7536543783</v>
      </c>
      <c r="M1391">
        <v>6576204625</v>
      </c>
      <c r="N1391">
        <v>6166885214</v>
      </c>
      <c r="O1391">
        <v>4430505712</v>
      </c>
      <c r="P1391">
        <v>120</v>
      </c>
      <c r="Q1391" t="s">
        <v>3075</v>
      </c>
    </row>
    <row r="1392" spans="1:17" x14ac:dyDescent="0.3">
      <c r="A1392" t="s">
        <v>47</v>
      </c>
      <c r="B1392" t="str">
        <f>"300180"</f>
        <v>300180</v>
      </c>
      <c r="C1392" t="s">
        <v>3076</v>
      </c>
      <c r="D1392" t="s">
        <v>3077</v>
      </c>
      <c r="E1392">
        <v>8632336655</v>
      </c>
      <c r="F1392">
        <v>8148991324</v>
      </c>
      <c r="G1392">
        <v>8446037289</v>
      </c>
      <c r="H1392">
        <v>7916144542</v>
      </c>
      <c r="I1392">
        <v>6982182558</v>
      </c>
      <c r="J1392">
        <v>4062401214</v>
      </c>
      <c r="K1392">
        <v>3651001517</v>
      </c>
      <c r="L1392">
        <v>1851572948</v>
      </c>
      <c r="M1392">
        <v>1437461093</v>
      </c>
      <c r="N1392">
        <v>1340994853</v>
      </c>
      <c r="O1392">
        <v>1245063161</v>
      </c>
      <c r="P1392">
        <v>141</v>
      </c>
      <c r="Q1392" t="s">
        <v>3078</v>
      </c>
    </row>
    <row r="1393" spans="1:17" x14ac:dyDescent="0.3">
      <c r="A1393" t="s">
        <v>47</v>
      </c>
      <c r="B1393" t="str">
        <f>"000839"</f>
        <v>000839</v>
      </c>
      <c r="C1393" t="s">
        <v>3079</v>
      </c>
      <c r="D1393" t="s">
        <v>810</v>
      </c>
      <c r="E1393">
        <v>8610085640</v>
      </c>
      <c r="F1393">
        <v>12603951043</v>
      </c>
      <c r="G1393">
        <v>17164810206</v>
      </c>
      <c r="H1393">
        <v>17763399718</v>
      </c>
      <c r="I1393">
        <v>17674620371</v>
      </c>
      <c r="J1393">
        <v>15112362110</v>
      </c>
      <c r="K1393">
        <v>11784961343</v>
      </c>
      <c r="L1393">
        <v>11577507666</v>
      </c>
      <c r="M1393">
        <v>12029625205</v>
      </c>
      <c r="N1393">
        <v>11997948091</v>
      </c>
      <c r="O1393">
        <v>11248351133</v>
      </c>
      <c r="P1393">
        <v>219</v>
      </c>
      <c r="Q1393" t="s">
        <v>3080</v>
      </c>
    </row>
    <row r="1394" spans="1:17" x14ac:dyDescent="0.3">
      <c r="A1394" t="s">
        <v>17</v>
      </c>
      <c r="B1394" t="str">
        <f>"603906"</f>
        <v>603906</v>
      </c>
      <c r="C1394" t="s">
        <v>3081</v>
      </c>
      <c r="D1394" t="s">
        <v>710</v>
      </c>
      <c r="E1394">
        <v>8608644503</v>
      </c>
      <c r="F1394">
        <v>3173722126</v>
      </c>
      <c r="G1394">
        <v>2232516176</v>
      </c>
      <c r="H1394">
        <v>2100324280</v>
      </c>
      <c r="I1394">
        <v>1785683580</v>
      </c>
      <c r="J1394">
        <v>1581681250</v>
      </c>
      <c r="P1394">
        <v>185</v>
      </c>
      <c r="Q1394" t="s">
        <v>3082</v>
      </c>
    </row>
    <row r="1395" spans="1:17" x14ac:dyDescent="0.3">
      <c r="A1395" t="s">
        <v>47</v>
      </c>
      <c r="B1395" t="str">
        <f>"301177"</f>
        <v>301177</v>
      </c>
      <c r="C1395" t="s">
        <v>3083</v>
      </c>
      <c r="D1395" t="s">
        <v>1508</v>
      </c>
      <c r="E1395">
        <v>8603292646</v>
      </c>
      <c r="P1395">
        <v>30</v>
      </c>
      <c r="Q1395" t="s">
        <v>3084</v>
      </c>
    </row>
    <row r="1396" spans="1:17" x14ac:dyDescent="0.3">
      <c r="A1396" t="s">
        <v>47</v>
      </c>
      <c r="B1396" t="str">
        <f>"300763"</f>
        <v>300763</v>
      </c>
      <c r="C1396" t="s">
        <v>3085</v>
      </c>
      <c r="D1396" t="s">
        <v>959</v>
      </c>
      <c r="E1396">
        <v>8598676454</v>
      </c>
      <c r="F1396">
        <v>3531479658</v>
      </c>
      <c r="G1396">
        <v>1460677239</v>
      </c>
      <c r="H1396">
        <v>1123334965</v>
      </c>
      <c r="P1396">
        <v>582</v>
      </c>
      <c r="Q1396" t="s">
        <v>3086</v>
      </c>
    </row>
    <row r="1397" spans="1:17" x14ac:dyDescent="0.3">
      <c r="A1397" t="s">
        <v>17</v>
      </c>
      <c r="B1397" t="str">
        <f>"600935"</f>
        <v>600935</v>
      </c>
      <c r="C1397" t="s">
        <v>3087</v>
      </c>
      <c r="D1397" t="s">
        <v>625</v>
      </c>
      <c r="E1397">
        <v>8597817362</v>
      </c>
      <c r="P1397">
        <v>16</v>
      </c>
      <c r="Q1397" t="s">
        <v>3088</v>
      </c>
    </row>
    <row r="1398" spans="1:17" x14ac:dyDescent="0.3">
      <c r="A1398" t="s">
        <v>47</v>
      </c>
      <c r="B1398" t="str">
        <f>"002147"</f>
        <v>002147</v>
      </c>
      <c r="C1398" t="s">
        <v>3089</v>
      </c>
      <c r="D1398" t="s">
        <v>1433</v>
      </c>
      <c r="E1398">
        <v>8591116509</v>
      </c>
      <c r="F1398">
        <v>11142696946</v>
      </c>
      <c r="G1398">
        <v>13595708136</v>
      </c>
      <c r="H1398">
        <v>14706128482</v>
      </c>
      <c r="I1398">
        <v>16006062201</v>
      </c>
      <c r="J1398">
        <v>15310516123</v>
      </c>
      <c r="K1398">
        <v>1178462541</v>
      </c>
      <c r="L1398">
        <v>1370623730</v>
      </c>
      <c r="M1398">
        <v>1515208004</v>
      </c>
      <c r="N1398">
        <v>1270576844</v>
      </c>
      <c r="O1398">
        <v>1217026078</v>
      </c>
      <c r="P1398">
        <v>94</v>
      </c>
      <c r="Q1398" t="s">
        <v>3090</v>
      </c>
    </row>
    <row r="1399" spans="1:17" x14ac:dyDescent="0.3">
      <c r="A1399" t="s">
        <v>47</v>
      </c>
      <c r="B1399" t="str">
        <f>"002999"</f>
        <v>002999</v>
      </c>
      <c r="C1399" t="s">
        <v>3091</v>
      </c>
      <c r="D1399" t="s">
        <v>2175</v>
      </c>
      <c r="E1399">
        <v>8590897341</v>
      </c>
      <c r="F1399">
        <v>6051500370</v>
      </c>
      <c r="P1399">
        <v>45</v>
      </c>
      <c r="Q1399" t="s">
        <v>3092</v>
      </c>
    </row>
    <row r="1400" spans="1:17" x14ac:dyDescent="0.3">
      <c r="A1400" t="s">
        <v>47</v>
      </c>
      <c r="B1400" t="str">
        <f>"002182"</f>
        <v>002182</v>
      </c>
      <c r="C1400" t="s">
        <v>3093</v>
      </c>
      <c r="D1400" t="s">
        <v>1002</v>
      </c>
      <c r="E1400">
        <v>8568101231</v>
      </c>
      <c r="F1400">
        <v>5849771402</v>
      </c>
      <c r="G1400">
        <v>5227130806</v>
      </c>
      <c r="H1400">
        <v>4641762342</v>
      </c>
      <c r="I1400">
        <v>3823021143</v>
      </c>
      <c r="J1400">
        <v>3546789563</v>
      </c>
      <c r="K1400">
        <v>3342191278</v>
      </c>
      <c r="L1400">
        <v>2836672079</v>
      </c>
      <c r="M1400">
        <v>2636009593</v>
      </c>
      <c r="N1400">
        <v>2642958455</v>
      </c>
      <c r="O1400">
        <v>2326502747</v>
      </c>
      <c r="P1400">
        <v>372</v>
      </c>
      <c r="Q1400" t="s">
        <v>3094</v>
      </c>
    </row>
    <row r="1401" spans="1:17" x14ac:dyDescent="0.3">
      <c r="A1401" t="s">
        <v>47</v>
      </c>
      <c r="B1401" t="str">
        <f>"002421"</f>
        <v>002421</v>
      </c>
      <c r="C1401" t="s">
        <v>3095</v>
      </c>
      <c r="D1401" t="s">
        <v>700</v>
      </c>
      <c r="E1401">
        <v>8566219928</v>
      </c>
      <c r="F1401">
        <v>7724072975</v>
      </c>
      <c r="G1401">
        <v>6559007113</v>
      </c>
      <c r="H1401">
        <v>6771688680</v>
      </c>
      <c r="I1401">
        <v>5727527798</v>
      </c>
      <c r="J1401">
        <v>4699735667</v>
      </c>
      <c r="K1401">
        <v>4635468560</v>
      </c>
      <c r="L1401">
        <v>2705190085</v>
      </c>
      <c r="M1401">
        <v>1480088052</v>
      </c>
      <c r="N1401">
        <v>1199515942</v>
      </c>
      <c r="O1401">
        <v>835093210</v>
      </c>
      <c r="P1401">
        <v>199</v>
      </c>
      <c r="Q1401" t="s">
        <v>3096</v>
      </c>
    </row>
    <row r="1402" spans="1:17" x14ac:dyDescent="0.3">
      <c r="A1402" t="s">
        <v>17</v>
      </c>
      <c r="B1402" t="str">
        <f>"600559"</f>
        <v>600559</v>
      </c>
      <c r="C1402" t="s">
        <v>3097</v>
      </c>
      <c r="D1402" t="s">
        <v>286</v>
      </c>
      <c r="E1402">
        <v>8555699344</v>
      </c>
      <c r="F1402">
        <v>6897915513</v>
      </c>
      <c r="G1402">
        <v>6067048383</v>
      </c>
      <c r="H1402">
        <v>5894457317</v>
      </c>
      <c r="I1402">
        <v>3287571523</v>
      </c>
      <c r="J1402">
        <v>3186816730</v>
      </c>
      <c r="K1402">
        <v>2569293243</v>
      </c>
      <c r="L1402">
        <v>2248102576</v>
      </c>
      <c r="M1402">
        <v>2114902860</v>
      </c>
      <c r="N1402">
        <v>1786160554</v>
      </c>
      <c r="O1402">
        <v>1574308031</v>
      </c>
      <c r="P1402">
        <v>881</v>
      </c>
      <c r="Q1402" t="s">
        <v>3098</v>
      </c>
    </row>
    <row r="1403" spans="1:17" x14ac:dyDescent="0.3">
      <c r="A1403" t="s">
        <v>17</v>
      </c>
      <c r="B1403" t="str">
        <f>"600268"</f>
        <v>600268</v>
      </c>
      <c r="C1403" t="s">
        <v>3099</v>
      </c>
      <c r="D1403" t="s">
        <v>679</v>
      </c>
      <c r="E1403">
        <v>8551119921</v>
      </c>
      <c r="F1403">
        <v>7948060828</v>
      </c>
      <c r="G1403">
        <v>7804446353</v>
      </c>
      <c r="H1403">
        <v>8432535001</v>
      </c>
      <c r="I1403">
        <v>9217856477</v>
      </c>
      <c r="J1403">
        <v>10815428427</v>
      </c>
      <c r="K1403">
        <v>10635894927</v>
      </c>
      <c r="L1403">
        <v>10156133179</v>
      </c>
      <c r="M1403">
        <v>10011764724</v>
      </c>
      <c r="N1403">
        <v>8899008174</v>
      </c>
      <c r="O1403">
        <v>7756019161</v>
      </c>
      <c r="P1403">
        <v>245</v>
      </c>
      <c r="Q1403" t="s">
        <v>3100</v>
      </c>
    </row>
    <row r="1404" spans="1:17" x14ac:dyDescent="0.3">
      <c r="A1404" t="s">
        <v>47</v>
      </c>
      <c r="B1404" t="str">
        <f>"002439"</f>
        <v>002439</v>
      </c>
      <c r="C1404" t="s">
        <v>3101</v>
      </c>
      <c r="D1404" t="s">
        <v>1010</v>
      </c>
      <c r="E1404">
        <v>8535806730</v>
      </c>
      <c r="F1404">
        <v>8284982768</v>
      </c>
      <c r="G1404">
        <v>6670134961</v>
      </c>
      <c r="H1404">
        <v>4690636560</v>
      </c>
      <c r="I1404">
        <v>4146174929</v>
      </c>
      <c r="J1404">
        <v>3685338354</v>
      </c>
      <c r="K1404">
        <v>2886831189</v>
      </c>
      <c r="L1404">
        <v>2196592775</v>
      </c>
      <c r="M1404">
        <v>1705365296</v>
      </c>
      <c r="N1404">
        <v>1488430137</v>
      </c>
      <c r="O1404">
        <v>1201768541</v>
      </c>
      <c r="P1404">
        <v>1190</v>
      </c>
      <c r="Q1404" t="s">
        <v>3102</v>
      </c>
    </row>
    <row r="1405" spans="1:17" x14ac:dyDescent="0.3">
      <c r="A1405" t="s">
        <v>47</v>
      </c>
      <c r="B1405" t="str">
        <f>"002274"</f>
        <v>002274</v>
      </c>
      <c r="C1405" t="s">
        <v>3103</v>
      </c>
      <c r="D1405" t="s">
        <v>2175</v>
      </c>
      <c r="E1405">
        <v>8528099043</v>
      </c>
      <c r="F1405">
        <v>7624052185</v>
      </c>
      <c r="G1405">
        <v>6730446421</v>
      </c>
      <c r="H1405">
        <v>6694819692</v>
      </c>
      <c r="I1405">
        <v>6663321919</v>
      </c>
      <c r="J1405">
        <v>6115300737</v>
      </c>
      <c r="K1405">
        <v>6492259405</v>
      </c>
      <c r="L1405">
        <v>7029089291</v>
      </c>
      <c r="M1405">
        <v>5485229513</v>
      </c>
      <c r="N1405">
        <v>4139047561</v>
      </c>
      <c r="O1405">
        <v>3837589387</v>
      </c>
      <c r="P1405">
        <v>217</v>
      </c>
      <c r="Q1405" t="s">
        <v>3104</v>
      </c>
    </row>
    <row r="1406" spans="1:17" x14ac:dyDescent="0.3">
      <c r="A1406" t="s">
        <v>17</v>
      </c>
      <c r="B1406" t="str">
        <f>"600960"</f>
        <v>600960</v>
      </c>
      <c r="C1406" t="s">
        <v>3105</v>
      </c>
      <c r="D1406" t="s">
        <v>274</v>
      </c>
      <c r="E1406">
        <v>8525852393</v>
      </c>
      <c r="F1406">
        <v>8449242587</v>
      </c>
      <c r="G1406">
        <v>8908225227</v>
      </c>
      <c r="H1406">
        <v>9606485302</v>
      </c>
      <c r="I1406">
        <v>6890737864</v>
      </c>
      <c r="J1406">
        <v>6338471514</v>
      </c>
      <c r="K1406">
        <v>3298821620</v>
      </c>
      <c r="L1406">
        <v>3042880570</v>
      </c>
      <c r="M1406">
        <v>2240206674</v>
      </c>
      <c r="N1406">
        <v>2190776476</v>
      </c>
      <c r="O1406">
        <v>2050672877</v>
      </c>
      <c r="P1406">
        <v>91</v>
      </c>
      <c r="Q1406" t="s">
        <v>3106</v>
      </c>
    </row>
    <row r="1407" spans="1:17" x14ac:dyDescent="0.3">
      <c r="A1407" t="s">
        <v>47</v>
      </c>
      <c r="B1407" t="str">
        <f>"002285"</f>
        <v>002285</v>
      </c>
      <c r="C1407" t="s">
        <v>3107</v>
      </c>
      <c r="D1407" t="s">
        <v>1202</v>
      </c>
      <c r="E1407">
        <v>8510569116</v>
      </c>
      <c r="F1407">
        <v>11775100834</v>
      </c>
      <c r="G1407">
        <v>11222778319</v>
      </c>
      <c r="H1407">
        <v>12660285324</v>
      </c>
      <c r="I1407">
        <v>14030602316</v>
      </c>
      <c r="J1407">
        <v>7774632445</v>
      </c>
      <c r="K1407">
        <v>6897302235</v>
      </c>
      <c r="L1407">
        <v>4540782573</v>
      </c>
      <c r="M1407">
        <v>2417099293</v>
      </c>
      <c r="N1407">
        <v>2013394373</v>
      </c>
      <c r="O1407">
        <v>1664381787</v>
      </c>
      <c r="P1407">
        <v>477</v>
      </c>
      <c r="Q1407" t="s">
        <v>3108</v>
      </c>
    </row>
    <row r="1408" spans="1:17" x14ac:dyDescent="0.3">
      <c r="A1408" t="s">
        <v>47</v>
      </c>
      <c r="B1408" t="str">
        <f>"002455"</f>
        <v>002455</v>
      </c>
      <c r="C1408" t="s">
        <v>3109</v>
      </c>
      <c r="D1408" t="s">
        <v>710</v>
      </c>
      <c r="E1408">
        <v>8503741347</v>
      </c>
      <c r="F1408">
        <v>5545029337</v>
      </c>
      <c r="G1408">
        <v>3162982453</v>
      </c>
      <c r="H1408">
        <v>2748007921</v>
      </c>
      <c r="I1408">
        <v>2609628051</v>
      </c>
      <c r="J1408">
        <v>2036633887</v>
      </c>
      <c r="K1408">
        <v>2012790164</v>
      </c>
      <c r="L1408">
        <v>1988543195</v>
      </c>
      <c r="M1408">
        <v>2211577453</v>
      </c>
      <c r="N1408">
        <v>1820718355</v>
      </c>
      <c r="O1408">
        <v>1431581381</v>
      </c>
      <c r="P1408">
        <v>209</v>
      </c>
      <c r="Q1408" t="s">
        <v>3110</v>
      </c>
    </row>
    <row r="1409" spans="1:17" x14ac:dyDescent="0.3">
      <c r="A1409" t="s">
        <v>47</v>
      </c>
      <c r="B1409" t="str">
        <f>"000626"</f>
        <v>000626</v>
      </c>
      <c r="C1409" t="s">
        <v>3111</v>
      </c>
      <c r="D1409" t="s">
        <v>134</v>
      </c>
      <c r="E1409">
        <v>8491495668</v>
      </c>
      <c r="F1409">
        <v>8108169352</v>
      </c>
      <c r="G1409">
        <v>7739153584</v>
      </c>
      <c r="H1409">
        <v>8085221505</v>
      </c>
      <c r="I1409">
        <v>7578123164</v>
      </c>
      <c r="J1409">
        <v>15298346525</v>
      </c>
      <c r="K1409">
        <v>12443436247</v>
      </c>
      <c r="L1409">
        <v>11728188849</v>
      </c>
      <c r="M1409">
        <v>8379979757</v>
      </c>
      <c r="N1409">
        <v>7619357631</v>
      </c>
      <c r="O1409">
        <v>6700324947</v>
      </c>
      <c r="P1409">
        <v>125</v>
      </c>
      <c r="Q1409" t="s">
        <v>3112</v>
      </c>
    </row>
    <row r="1410" spans="1:17" x14ac:dyDescent="0.3">
      <c r="A1410" t="s">
        <v>47</v>
      </c>
      <c r="B1410" t="str">
        <f>"002726"</f>
        <v>002726</v>
      </c>
      <c r="C1410" t="s">
        <v>3113</v>
      </c>
      <c r="D1410" t="s">
        <v>1078</v>
      </c>
      <c r="E1410">
        <v>8486477541</v>
      </c>
      <c r="F1410">
        <v>8300029294</v>
      </c>
      <c r="G1410">
        <v>7159392059</v>
      </c>
      <c r="H1410">
        <v>4452491992</v>
      </c>
      <c r="I1410">
        <v>2848352250</v>
      </c>
      <c r="J1410">
        <v>2361190143</v>
      </c>
      <c r="K1410">
        <v>2003816645</v>
      </c>
      <c r="L1410">
        <v>1800865338</v>
      </c>
      <c r="M1410">
        <v>1267571520</v>
      </c>
      <c r="P1410">
        <v>1021</v>
      </c>
      <c r="Q1410" t="s">
        <v>3114</v>
      </c>
    </row>
    <row r="1411" spans="1:17" x14ac:dyDescent="0.3">
      <c r="A1411" t="s">
        <v>47</v>
      </c>
      <c r="B1411" t="str">
        <f>"300271"</f>
        <v>300271</v>
      </c>
      <c r="C1411" t="s">
        <v>3115</v>
      </c>
      <c r="D1411" t="s">
        <v>700</v>
      </c>
      <c r="E1411">
        <v>8484792486</v>
      </c>
      <c r="F1411">
        <v>9684064370</v>
      </c>
      <c r="G1411">
        <v>7004540675</v>
      </c>
      <c r="H1411">
        <v>5530078492</v>
      </c>
      <c r="I1411">
        <v>4907127384</v>
      </c>
      <c r="J1411">
        <v>2877739989</v>
      </c>
      <c r="K1411">
        <v>2486371964</v>
      </c>
      <c r="L1411">
        <v>1876981164</v>
      </c>
      <c r="M1411">
        <v>1256364140</v>
      </c>
      <c r="N1411">
        <v>1088142074</v>
      </c>
      <c r="O1411">
        <v>930903868</v>
      </c>
      <c r="P1411">
        <v>590</v>
      </c>
      <c r="Q1411" t="s">
        <v>3116</v>
      </c>
    </row>
    <row r="1412" spans="1:17" x14ac:dyDescent="0.3">
      <c r="A1412" t="s">
        <v>47</v>
      </c>
      <c r="B1412" t="str">
        <f>"002283"</f>
        <v>002283</v>
      </c>
      <c r="C1412" t="s">
        <v>3117</v>
      </c>
      <c r="D1412" t="s">
        <v>274</v>
      </c>
      <c r="E1412">
        <v>8478434421</v>
      </c>
      <c r="F1412">
        <v>8383084968</v>
      </c>
      <c r="G1412">
        <v>6945307256</v>
      </c>
      <c r="H1412">
        <v>6871865497</v>
      </c>
      <c r="I1412">
        <v>6567826039</v>
      </c>
      <c r="J1412">
        <v>5244711182</v>
      </c>
      <c r="K1412">
        <v>4987504686</v>
      </c>
      <c r="L1412">
        <v>5166270913</v>
      </c>
      <c r="M1412">
        <v>4758528280</v>
      </c>
      <c r="N1412">
        <v>4547521072</v>
      </c>
      <c r="O1412">
        <v>4063366039</v>
      </c>
      <c r="P1412">
        <v>202</v>
      </c>
      <c r="Q1412" t="s">
        <v>3118</v>
      </c>
    </row>
    <row r="1413" spans="1:17" x14ac:dyDescent="0.3">
      <c r="A1413" t="s">
        <v>47</v>
      </c>
      <c r="B1413" t="str">
        <f>"300332"</f>
        <v>300332</v>
      </c>
      <c r="C1413" t="s">
        <v>3119</v>
      </c>
      <c r="D1413" t="s">
        <v>476</v>
      </c>
      <c r="E1413">
        <v>8469004870</v>
      </c>
      <c r="F1413">
        <v>7994770693</v>
      </c>
      <c r="G1413">
        <v>7733678862</v>
      </c>
      <c r="H1413">
        <v>8211183928</v>
      </c>
      <c r="I1413">
        <v>8017512254</v>
      </c>
      <c r="J1413">
        <v>7661391435</v>
      </c>
      <c r="K1413">
        <v>4233629871</v>
      </c>
      <c r="L1413">
        <v>2377287727</v>
      </c>
      <c r="M1413">
        <v>1659322338</v>
      </c>
      <c r="N1413">
        <v>1549997272</v>
      </c>
      <c r="O1413">
        <v>1063037771</v>
      </c>
      <c r="P1413">
        <v>117</v>
      </c>
      <c r="Q1413" t="s">
        <v>3120</v>
      </c>
    </row>
    <row r="1414" spans="1:17" x14ac:dyDescent="0.3">
      <c r="A1414" t="s">
        <v>47</v>
      </c>
      <c r="B1414" t="str">
        <f>"002301"</f>
        <v>002301</v>
      </c>
      <c r="C1414" t="s">
        <v>3121</v>
      </c>
      <c r="D1414" t="s">
        <v>2631</v>
      </c>
      <c r="E1414">
        <v>8466858590</v>
      </c>
      <c r="F1414">
        <v>8221079773</v>
      </c>
      <c r="G1414">
        <v>6865934578</v>
      </c>
      <c r="H1414">
        <v>7191764230</v>
      </c>
      <c r="I1414">
        <v>4709466517</v>
      </c>
      <c r="J1414">
        <v>4595514041</v>
      </c>
      <c r="K1414">
        <v>2737808939</v>
      </c>
      <c r="L1414">
        <v>1977667355</v>
      </c>
      <c r="M1414">
        <v>1789558165</v>
      </c>
      <c r="N1414">
        <v>1531033283</v>
      </c>
      <c r="O1414">
        <v>1405782672</v>
      </c>
      <c r="P1414">
        <v>202</v>
      </c>
      <c r="Q1414" t="s">
        <v>3122</v>
      </c>
    </row>
    <row r="1415" spans="1:17" x14ac:dyDescent="0.3">
      <c r="A1415" t="s">
        <v>17</v>
      </c>
      <c r="B1415" t="str">
        <f>"600425"</f>
        <v>600425</v>
      </c>
      <c r="C1415" t="s">
        <v>3123</v>
      </c>
      <c r="D1415" t="s">
        <v>253</v>
      </c>
      <c r="E1415">
        <v>8466169880</v>
      </c>
      <c r="F1415">
        <v>8019984174</v>
      </c>
      <c r="G1415">
        <v>7784674254</v>
      </c>
      <c r="H1415">
        <v>8543990628</v>
      </c>
      <c r="I1415">
        <v>9250102083</v>
      </c>
      <c r="J1415">
        <v>9946451174</v>
      </c>
      <c r="K1415">
        <v>11254911772</v>
      </c>
      <c r="L1415">
        <v>11808294911</v>
      </c>
      <c r="M1415">
        <v>12076297535</v>
      </c>
      <c r="N1415">
        <v>9518542112</v>
      </c>
      <c r="O1415">
        <v>6900699172</v>
      </c>
      <c r="P1415">
        <v>167</v>
      </c>
      <c r="Q1415" t="s">
        <v>3124</v>
      </c>
    </row>
    <row r="1416" spans="1:17" x14ac:dyDescent="0.3">
      <c r="A1416" t="s">
        <v>17</v>
      </c>
      <c r="B1416" t="str">
        <f>"600804"</f>
        <v>600804</v>
      </c>
      <c r="C1416" t="s">
        <v>3125</v>
      </c>
      <c r="D1416" t="s">
        <v>81</v>
      </c>
      <c r="E1416">
        <v>8464206097</v>
      </c>
      <c r="F1416">
        <v>12592345821</v>
      </c>
      <c r="G1416">
        <v>15941365036</v>
      </c>
      <c r="H1416">
        <v>22875493515</v>
      </c>
      <c r="I1416">
        <v>22723671582</v>
      </c>
      <c r="J1416">
        <v>19065460951</v>
      </c>
      <c r="K1416">
        <v>18678435663</v>
      </c>
      <c r="L1416">
        <v>15834179679</v>
      </c>
      <c r="M1416">
        <v>12548296135</v>
      </c>
      <c r="N1416">
        <v>11583115173</v>
      </c>
      <c r="O1416">
        <v>7872212658</v>
      </c>
      <c r="P1416">
        <v>460</v>
      </c>
      <c r="Q1416" t="s">
        <v>3126</v>
      </c>
    </row>
    <row r="1417" spans="1:17" x14ac:dyDescent="0.3">
      <c r="A1417" t="s">
        <v>47</v>
      </c>
      <c r="B1417" t="str">
        <f>"002242"</f>
        <v>002242</v>
      </c>
      <c r="C1417" t="s">
        <v>3127</v>
      </c>
      <c r="D1417" t="s">
        <v>2285</v>
      </c>
      <c r="E1417">
        <v>8429014890</v>
      </c>
      <c r="F1417">
        <v>8621160147</v>
      </c>
      <c r="G1417">
        <v>6857339076</v>
      </c>
      <c r="H1417">
        <v>6084718265</v>
      </c>
      <c r="I1417">
        <v>4890018144</v>
      </c>
      <c r="J1417">
        <v>4941642375</v>
      </c>
      <c r="K1417">
        <v>5379853468</v>
      </c>
      <c r="L1417">
        <v>4536780571</v>
      </c>
      <c r="M1417">
        <v>4372686375</v>
      </c>
      <c r="N1417">
        <v>4097268499</v>
      </c>
      <c r="O1417">
        <v>3741014340</v>
      </c>
      <c r="P1417">
        <v>54902</v>
      </c>
      <c r="Q1417" t="s">
        <v>3128</v>
      </c>
    </row>
    <row r="1418" spans="1:17" x14ac:dyDescent="0.3">
      <c r="A1418" t="s">
        <v>17</v>
      </c>
      <c r="B1418" t="str">
        <f>"603305"</f>
        <v>603305</v>
      </c>
      <c r="C1418" t="s">
        <v>3129</v>
      </c>
      <c r="D1418" t="s">
        <v>274</v>
      </c>
      <c r="E1418">
        <v>8426477239</v>
      </c>
      <c r="F1418">
        <v>4726740737</v>
      </c>
      <c r="G1418">
        <v>2608454253</v>
      </c>
      <c r="H1418">
        <v>2529839236</v>
      </c>
      <c r="I1418">
        <v>1467797184</v>
      </c>
      <c r="J1418">
        <v>851698800</v>
      </c>
      <c r="P1418">
        <v>506</v>
      </c>
      <c r="Q1418" t="s">
        <v>3130</v>
      </c>
    </row>
    <row r="1419" spans="1:17" x14ac:dyDescent="0.3">
      <c r="A1419" t="s">
        <v>47</v>
      </c>
      <c r="B1419" t="str">
        <f>"000700"</f>
        <v>000700</v>
      </c>
      <c r="C1419" t="s">
        <v>3131</v>
      </c>
      <c r="D1419" t="s">
        <v>416</v>
      </c>
      <c r="E1419">
        <v>8422976845</v>
      </c>
      <c r="F1419">
        <v>8344413044</v>
      </c>
      <c r="G1419">
        <v>7268765780</v>
      </c>
      <c r="H1419">
        <v>7575140743</v>
      </c>
      <c r="I1419">
        <v>7218001902</v>
      </c>
      <c r="J1419">
        <v>6264377329</v>
      </c>
      <c r="K1419">
        <v>4583839696</v>
      </c>
      <c r="L1419">
        <v>4188764109</v>
      </c>
      <c r="M1419">
        <v>3940132790</v>
      </c>
      <c r="N1419">
        <v>3932745389</v>
      </c>
      <c r="O1419">
        <v>3960157515</v>
      </c>
      <c r="P1419">
        <v>259</v>
      </c>
      <c r="Q1419" t="s">
        <v>3132</v>
      </c>
    </row>
    <row r="1420" spans="1:17" x14ac:dyDescent="0.3">
      <c r="A1420" t="s">
        <v>17</v>
      </c>
      <c r="B1420" t="str">
        <f>"688186"</f>
        <v>688186</v>
      </c>
      <c r="C1420" t="s">
        <v>3133</v>
      </c>
      <c r="D1420" t="s">
        <v>555</v>
      </c>
      <c r="E1420">
        <v>8417828419</v>
      </c>
      <c r="F1420">
        <v>5139323249</v>
      </c>
      <c r="G1420">
        <v>2913567326</v>
      </c>
      <c r="P1420">
        <v>110</v>
      </c>
      <c r="Q1420" t="s">
        <v>3134</v>
      </c>
    </row>
    <row r="1421" spans="1:17" x14ac:dyDescent="0.3">
      <c r="A1421" t="s">
        <v>47</v>
      </c>
      <c r="B1421" t="str">
        <f>"300866"</f>
        <v>300866</v>
      </c>
      <c r="C1421" t="s">
        <v>3135</v>
      </c>
      <c r="D1421" t="s">
        <v>1238</v>
      </c>
      <c r="E1421">
        <v>8407536298</v>
      </c>
      <c r="F1421">
        <v>7355418936</v>
      </c>
      <c r="P1421">
        <v>311</v>
      </c>
      <c r="Q1421" t="s">
        <v>3136</v>
      </c>
    </row>
    <row r="1422" spans="1:17" x14ac:dyDescent="0.3">
      <c r="A1422" t="s">
        <v>17</v>
      </c>
      <c r="B1422" t="str">
        <f>"600366"</f>
        <v>600366</v>
      </c>
      <c r="C1422" t="s">
        <v>3137</v>
      </c>
      <c r="D1422" t="s">
        <v>2108</v>
      </c>
      <c r="E1422">
        <v>8407025011</v>
      </c>
      <c r="F1422">
        <v>6384399181</v>
      </c>
      <c r="G1422">
        <v>5647438082</v>
      </c>
      <c r="H1422">
        <v>5530159154</v>
      </c>
      <c r="I1422">
        <v>6130811768</v>
      </c>
      <c r="J1422">
        <v>5820780393</v>
      </c>
      <c r="K1422">
        <v>5967076530</v>
      </c>
      <c r="L1422">
        <v>3920021159</v>
      </c>
      <c r="M1422">
        <v>3991692608</v>
      </c>
      <c r="N1422">
        <v>4099941520</v>
      </c>
      <c r="O1422">
        <v>4516812991</v>
      </c>
      <c r="P1422">
        <v>236</v>
      </c>
      <c r="Q1422" t="s">
        <v>3138</v>
      </c>
    </row>
    <row r="1423" spans="1:17" x14ac:dyDescent="0.3">
      <c r="A1423" t="s">
        <v>47</v>
      </c>
      <c r="B1423" t="str">
        <f>"000753"</f>
        <v>000753</v>
      </c>
      <c r="C1423" t="s">
        <v>3139</v>
      </c>
      <c r="D1423" t="s">
        <v>810</v>
      </c>
      <c r="E1423">
        <v>8406475766</v>
      </c>
      <c r="F1423">
        <v>7299236062</v>
      </c>
      <c r="G1423">
        <v>5498679527</v>
      </c>
      <c r="H1423">
        <v>5101140250</v>
      </c>
      <c r="I1423">
        <v>4984393935</v>
      </c>
      <c r="J1423">
        <v>5260754228</v>
      </c>
      <c r="K1423">
        <v>4308265315</v>
      </c>
      <c r="L1423">
        <v>3907377859</v>
      </c>
      <c r="M1423">
        <v>3351620967</v>
      </c>
      <c r="N1423">
        <v>3374222939</v>
      </c>
      <c r="O1423">
        <v>2415641658</v>
      </c>
      <c r="P1423">
        <v>85</v>
      </c>
      <c r="Q1423" t="s">
        <v>3140</v>
      </c>
    </row>
    <row r="1424" spans="1:17" x14ac:dyDescent="0.3">
      <c r="A1424" t="s">
        <v>47</v>
      </c>
      <c r="B1424" t="str">
        <f>"002083"</f>
        <v>002083</v>
      </c>
      <c r="C1424" t="s">
        <v>3141</v>
      </c>
      <c r="D1424" t="s">
        <v>1682</v>
      </c>
      <c r="E1424">
        <v>8404791225</v>
      </c>
      <c r="F1424">
        <v>7827957149</v>
      </c>
      <c r="G1424">
        <v>8634106029</v>
      </c>
      <c r="H1424">
        <v>7596129129</v>
      </c>
      <c r="I1424">
        <v>7374651477</v>
      </c>
      <c r="J1424">
        <v>7450665210</v>
      </c>
      <c r="K1424">
        <v>7674366820</v>
      </c>
      <c r="L1424">
        <v>7234161551</v>
      </c>
      <c r="M1424">
        <v>7756356825</v>
      </c>
      <c r="N1424">
        <v>6610373996</v>
      </c>
      <c r="O1424">
        <v>7502985670</v>
      </c>
      <c r="P1424">
        <v>283</v>
      </c>
      <c r="Q1424" t="s">
        <v>3142</v>
      </c>
    </row>
    <row r="1425" spans="1:17" x14ac:dyDescent="0.3">
      <c r="A1425" t="s">
        <v>17</v>
      </c>
      <c r="B1425" t="str">
        <f>"600537"</f>
        <v>600537</v>
      </c>
      <c r="C1425" t="s">
        <v>3143</v>
      </c>
      <c r="D1425" t="s">
        <v>664</v>
      </c>
      <c r="E1425">
        <v>8382270598</v>
      </c>
      <c r="F1425">
        <v>8026896027</v>
      </c>
      <c r="G1425">
        <v>6673271439</v>
      </c>
      <c r="H1425">
        <v>6129193179</v>
      </c>
      <c r="I1425">
        <v>6369137230</v>
      </c>
      <c r="J1425">
        <v>6576593598</v>
      </c>
      <c r="K1425">
        <v>6812980755</v>
      </c>
      <c r="L1425">
        <v>6631859205</v>
      </c>
      <c r="M1425">
        <v>4570111845</v>
      </c>
      <c r="N1425">
        <v>4746772856</v>
      </c>
      <c r="O1425">
        <v>5206552070</v>
      </c>
      <c r="P1425">
        <v>147</v>
      </c>
      <c r="Q1425" t="s">
        <v>3144</v>
      </c>
    </row>
    <row r="1426" spans="1:17" x14ac:dyDescent="0.3">
      <c r="A1426" t="s">
        <v>47</v>
      </c>
      <c r="B1426" t="str">
        <f>"000514"</f>
        <v>000514</v>
      </c>
      <c r="C1426" t="s">
        <v>3145</v>
      </c>
      <c r="D1426" t="s">
        <v>76</v>
      </c>
      <c r="E1426">
        <v>8376054749</v>
      </c>
      <c r="F1426">
        <v>7977673058</v>
      </c>
      <c r="G1426">
        <v>7558241484</v>
      </c>
      <c r="H1426">
        <v>6673268451</v>
      </c>
      <c r="I1426">
        <v>6280346104</v>
      </c>
      <c r="J1426">
        <v>6642664992</v>
      </c>
      <c r="K1426">
        <v>7280289247</v>
      </c>
      <c r="L1426">
        <v>7779372463</v>
      </c>
      <c r="M1426">
        <v>7801855642</v>
      </c>
      <c r="N1426">
        <v>6860483057</v>
      </c>
      <c r="O1426">
        <v>5548726741</v>
      </c>
      <c r="P1426">
        <v>113</v>
      </c>
      <c r="Q1426" t="s">
        <v>3146</v>
      </c>
    </row>
    <row r="1427" spans="1:17" x14ac:dyDescent="0.3">
      <c r="A1427" t="s">
        <v>17</v>
      </c>
      <c r="B1427" t="str">
        <f>"600178"</f>
        <v>600178</v>
      </c>
      <c r="C1427" t="s">
        <v>3147</v>
      </c>
      <c r="D1427" t="s">
        <v>274</v>
      </c>
      <c r="E1427">
        <v>8370652242</v>
      </c>
      <c r="F1427">
        <v>8254523795</v>
      </c>
      <c r="G1427">
        <v>4039759052</v>
      </c>
      <c r="H1427">
        <v>3476124738</v>
      </c>
      <c r="I1427">
        <v>3541141770</v>
      </c>
      <c r="J1427">
        <v>4211644291</v>
      </c>
      <c r="K1427">
        <v>3598455214</v>
      </c>
      <c r="L1427">
        <v>2881081672</v>
      </c>
      <c r="M1427">
        <v>2897080538</v>
      </c>
      <c r="N1427">
        <v>3483637946</v>
      </c>
      <c r="O1427">
        <v>3743774321</v>
      </c>
      <c r="P1427">
        <v>119</v>
      </c>
      <c r="Q1427" t="s">
        <v>3148</v>
      </c>
    </row>
    <row r="1428" spans="1:17" x14ac:dyDescent="0.3">
      <c r="A1428" t="s">
        <v>47</v>
      </c>
      <c r="B1428" t="str">
        <f>"002254"</f>
        <v>002254</v>
      </c>
      <c r="C1428" t="s">
        <v>3149</v>
      </c>
      <c r="D1428" t="s">
        <v>1207</v>
      </c>
      <c r="E1428">
        <v>8362232977</v>
      </c>
      <c r="F1428">
        <v>6970725105</v>
      </c>
      <c r="G1428">
        <v>4555348356</v>
      </c>
      <c r="H1428">
        <v>3760196208</v>
      </c>
      <c r="I1428">
        <v>2748200934</v>
      </c>
      <c r="J1428">
        <v>2660037744</v>
      </c>
      <c r="K1428">
        <v>2516039538</v>
      </c>
      <c r="L1428">
        <v>2541367966</v>
      </c>
      <c r="M1428">
        <v>2329475317</v>
      </c>
      <c r="N1428">
        <v>2234853533</v>
      </c>
      <c r="O1428">
        <v>2302313372</v>
      </c>
      <c r="P1428">
        <v>215</v>
      </c>
      <c r="Q1428" t="s">
        <v>3150</v>
      </c>
    </row>
    <row r="1429" spans="1:17" x14ac:dyDescent="0.3">
      <c r="A1429" t="s">
        <v>17</v>
      </c>
      <c r="B1429" t="str">
        <f>"600327"</f>
        <v>600327</v>
      </c>
      <c r="C1429" t="s">
        <v>3151</v>
      </c>
      <c r="D1429" t="s">
        <v>462</v>
      </c>
      <c r="E1429">
        <v>8357139375</v>
      </c>
      <c r="F1429">
        <v>7650232565</v>
      </c>
      <c r="G1429">
        <v>5816659603</v>
      </c>
      <c r="H1429">
        <v>4993239876</v>
      </c>
      <c r="I1429">
        <v>5112360130</v>
      </c>
      <c r="J1429">
        <v>5289065132</v>
      </c>
      <c r="K1429">
        <v>4639179568</v>
      </c>
      <c r="L1429">
        <v>4230326925</v>
      </c>
      <c r="M1429">
        <v>4588196392</v>
      </c>
      <c r="N1429">
        <v>4627730087</v>
      </c>
      <c r="O1429">
        <v>3955234820</v>
      </c>
      <c r="P1429">
        <v>221</v>
      </c>
      <c r="Q1429" t="s">
        <v>3152</v>
      </c>
    </row>
    <row r="1430" spans="1:17" x14ac:dyDescent="0.3">
      <c r="A1430" t="s">
        <v>47</v>
      </c>
      <c r="B1430" t="str">
        <f>"000070"</f>
        <v>000070</v>
      </c>
      <c r="C1430" t="s">
        <v>3153</v>
      </c>
      <c r="D1430" t="s">
        <v>828</v>
      </c>
      <c r="E1430">
        <v>8335510638</v>
      </c>
      <c r="F1430">
        <v>9378797412</v>
      </c>
      <c r="G1430">
        <v>7606728742</v>
      </c>
      <c r="H1430">
        <v>7513906277</v>
      </c>
      <c r="I1430">
        <v>6191818632</v>
      </c>
      <c r="J1430">
        <v>5146012490</v>
      </c>
      <c r="K1430">
        <v>4386116433</v>
      </c>
      <c r="L1430">
        <v>2724741606</v>
      </c>
      <c r="M1430">
        <v>2283463431</v>
      </c>
      <c r="N1430">
        <v>2017959034</v>
      </c>
      <c r="O1430">
        <v>1845778213</v>
      </c>
      <c r="P1430">
        <v>334</v>
      </c>
      <c r="Q1430" t="s">
        <v>3154</v>
      </c>
    </row>
    <row r="1431" spans="1:17" x14ac:dyDescent="0.3">
      <c r="A1431" t="s">
        <v>17</v>
      </c>
      <c r="B1431" t="str">
        <f>"603680"</f>
        <v>603680</v>
      </c>
      <c r="C1431" t="s">
        <v>3155</v>
      </c>
      <c r="D1431" t="s">
        <v>193</v>
      </c>
      <c r="E1431">
        <v>8325377493</v>
      </c>
      <c r="F1431">
        <v>8992683004</v>
      </c>
      <c r="G1431">
        <v>9138897674</v>
      </c>
      <c r="H1431">
        <v>7552233242</v>
      </c>
      <c r="I1431">
        <v>7210495785</v>
      </c>
      <c r="P1431">
        <v>81</v>
      </c>
      <c r="Q1431" t="s">
        <v>3156</v>
      </c>
    </row>
    <row r="1432" spans="1:17" x14ac:dyDescent="0.3">
      <c r="A1432" t="s">
        <v>47</v>
      </c>
      <c r="B1432" t="str">
        <f>"300373"</f>
        <v>300373</v>
      </c>
      <c r="C1432" t="s">
        <v>3157</v>
      </c>
      <c r="D1432" t="s">
        <v>2213</v>
      </c>
      <c r="E1432">
        <v>8321987945</v>
      </c>
      <c r="F1432">
        <v>6061218050</v>
      </c>
      <c r="G1432">
        <v>3679136481</v>
      </c>
      <c r="H1432">
        <v>3356862825</v>
      </c>
      <c r="I1432">
        <v>3411037584</v>
      </c>
      <c r="J1432">
        <v>2849746568</v>
      </c>
      <c r="K1432">
        <v>1368391067</v>
      </c>
      <c r="L1432">
        <v>936041176</v>
      </c>
      <c r="M1432">
        <v>819707127</v>
      </c>
      <c r="P1432">
        <v>4305</v>
      </c>
      <c r="Q1432" t="s">
        <v>3158</v>
      </c>
    </row>
    <row r="1433" spans="1:17" x14ac:dyDescent="0.3">
      <c r="A1433" t="s">
        <v>17</v>
      </c>
      <c r="B1433" t="str">
        <f>"600929"</f>
        <v>600929</v>
      </c>
      <c r="C1433" t="s">
        <v>3159</v>
      </c>
      <c r="D1433" t="s">
        <v>1930</v>
      </c>
      <c r="E1433">
        <v>8294298918</v>
      </c>
      <c r="F1433">
        <v>4551825427</v>
      </c>
      <c r="G1433">
        <v>3920493295</v>
      </c>
      <c r="H1433">
        <v>3736986800</v>
      </c>
      <c r="I1433">
        <v>3620786659</v>
      </c>
      <c r="P1433">
        <v>133</v>
      </c>
      <c r="Q1433" t="s">
        <v>3160</v>
      </c>
    </row>
    <row r="1434" spans="1:17" x14ac:dyDescent="0.3">
      <c r="A1434" t="s">
        <v>47</v>
      </c>
      <c r="B1434" t="str">
        <f>"002215"</f>
        <v>002215</v>
      </c>
      <c r="C1434" t="s">
        <v>3161</v>
      </c>
      <c r="D1434" t="s">
        <v>819</v>
      </c>
      <c r="E1434">
        <v>8260351583</v>
      </c>
      <c r="F1434">
        <v>6041886564</v>
      </c>
      <c r="G1434">
        <v>6185784980</v>
      </c>
      <c r="H1434">
        <v>5261334372</v>
      </c>
      <c r="I1434">
        <v>4547732426</v>
      </c>
      <c r="J1434">
        <v>3406428887</v>
      </c>
      <c r="K1434">
        <v>3426129721</v>
      </c>
      <c r="L1434">
        <v>2672696670</v>
      </c>
      <c r="M1434">
        <v>2675532721</v>
      </c>
      <c r="N1434">
        <v>2036455392</v>
      </c>
      <c r="O1434">
        <v>1925065189</v>
      </c>
      <c r="P1434">
        <v>175</v>
      </c>
      <c r="Q1434" t="s">
        <v>3162</v>
      </c>
    </row>
    <row r="1435" spans="1:17" x14ac:dyDescent="0.3">
      <c r="A1435" t="s">
        <v>47</v>
      </c>
      <c r="B1435" t="str">
        <f>"002121"</f>
        <v>002121</v>
      </c>
      <c r="C1435" t="s">
        <v>3163</v>
      </c>
      <c r="D1435" t="s">
        <v>2197</v>
      </c>
      <c r="E1435">
        <v>8248696649</v>
      </c>
      <c r="F1435">
        <v>8880830537</v>
      </c>
      <c r="G1435">
        <v>9851406772</v>
      </c>
      <c r="H1435">
        <v>11699404169</v>
      </c>
      <c r="I1435">
        <v>15850661646</v>
      </c>
      <c r="J1435">
        <v>14327702106</v>
      </c>
      <c r="K1435">
        <v>10547810471</v>
      </c>
      <c r="L1435">
        <v>5434006807</v>
      </c>
      <c r="M1435">
        <v>3071903381</v>
      </c>
      <c r="N1435">
        <v>2957059490</v>
      </c>
      <c r="O1435">
        <v>2789223771</v>
      </c>
      <c r="P1435">
        <v>234</v>
      </c>
      <c r="Q1435" t="s">
        <v>3164</v>
      </c>
    </row>
    <row r="1436" spans="1:17" x14ac:dyDescent="0.3">
      <c r="A1436" t="s">
        <v>47</v>
      </c>
      <c r="B1436" t="str">
        <f>"000737"</f>
        <v>000737</v>
      </c>
      <c r="C1436" t="s">
        <v>3165</v>
      </c>
      <c r="D1436" t="s">
        <v>1930</v>
      </c>
      <c r="E1436">
        <v>8243336627</v>
      </c>
      <c r="F1436">
        <v>1233933344</v>
      </c>
      <c r="G1436">
        <v>1152257615</v>
      </c>
      <c r="H1436">
        <v>1565797330</v>
      </c>
      <c r="I1436">
        <v>2561390696</v>
      </c>
      <c r="J1436">
        <v>2906414818</v>
      </c>
      <c r="K1436">
        <v>3102514117</v>
      </c>
      <c r="L1436">
        <v>3020982504</v>
      </c>
      <c r="M1436">
        <v>3394888776</v>
      </c>
      <c r="N1436">
        <v>3281809789</v>
      </c>
      <c r="O1436">
        <v>3858240297</v>
      </c>
      <c r="P1436">
        <v>83</v>
      </c>
      <c r="Q1436" t="s">
        <v>3166</v>
      </c>
    </row>
    <row r="1437" spans="1:17" x14ac:dyDescent="0.3">
      <c r="A1437" t="s">
        <v>47</v>
      </c>
      <c r="B1437" t="str">
        <f>"002925"</f>
        <v>002925</v>
      </c>
      <c r="C1437" t="s">
        <v>3167</v>
      </c>
      <c r="D1437" t="s">
        <v>283</v>
      </c>
      <c r="E1437">
        <v>8243053965</v>
      </c>
      <c r="F1437">
        <v>7999069666</v>
      </c>
      <c r="G1437">
        <v>5464292989</v>
      </c>
      <c r="H1437">
        <v>4855739312</v>
      </c>
      <c r="I1437">
        <v>4090676587</v>
      </c>
      <c r="P1437">
        <v>1061</v>
      </c>
      <c r="Q1437" t="s">
        <v>3168</v>
      </c>
    </row>
    <row r="1438" spans="1:17" x14ac:dyDescent="0.3">
      <c r="A1438" t="s">
        <v>47</v>
      </c>
      <c r="B1438" t="str">
        <f>"300166"</f>
        <v>300166</v>
      </c>
      <c r="C1438" t="s">
        <v>3169</v>
      </c>
      <c r="D1438" t="s">
        <v>700</v>
      </c>
      <c r="E1438">
        <v>8237322505</v>
      </c>
      <c r="F1438">
        <v>7450218338</v>
      </c>
      <c r="G1438">
        <v>6688688438</v>
      </c>
      <c r="H1438">
        <v>6103602278</v>
      </c>
      <c r="I1438">
        <v>5050885314</v>
      </c>
      <c r="J1438">
        <v>4949963713</v>
      </c>
      <c r="K1438">
        <v>2819513427</v>
      </c>
      <c r="L1438">
        <v>1865548638</v>
      </c>
      <c r="M1438">
        <v>1198949915</v>
      </c>
      <c r="N1438">
        <v>793042744</v>
      </c>
      <c r="O1438">
        <v>721095802</v>
      </c>
      <c r="P1438">
        <v>461</v>
      </c>
      <c r="Q1438" t="s">
        <v>3170</v>
      </c>
    </row>
    <row r="1439" spans="1:17" x14ac:dyDescent="0.3">
      <c r="A1439" t="s">
        <v>17</v>
      </c>
      <c r="B1439" t="str">
        <f>"603611"</f>
        <v>603611</v>
      </c>
      <c r="C1439" t="s">
        <v>3171</v>
      </c>
      <c r="D1439" t="s">
        <v>429</v>
      </c>
      <c r="E1439">
        <v>8227450541</v>
      </c>
      <c r="F1439">
        <v>5982867623</v>
      </c>
      <c r="G1439">
        <v>5059127891</v>
      </c>
      <c r="H1439">
        <v>3712681297</v>
      </c>
      <c r="I1439">
        <v>2907683904</v>
      </c>
      <c r="J1439">
        <v>2631602639</v>
      </c>
      <c r="K1439">
        <v>1352049053</v>
      </c>
      <c r="L1439">
        <v>1191863906</v>
      </c>
      <c r="P1439">
        <v>315</v>
      </c>
      <c r="Q1439" t="s">
        <v>3172</v>
      </c>
    </row>
    <row r="1440" spans="1:17" x14ac:dyDescent="0.3">
      <c r="A1440" t="s">
        <v>47</v>
      </c>
      <c r="B1440" t="str">
        <f>"000682"</f>
        <v>000682</v>
      </c>
      <c r="C1440" t="s">
        <v>3173</v>
      </c>
      <c r="D1440" t="s">
        <v>679</v>
      </c>
      <c r="E1440">
        <v>8222520184</v>
      </c>
      <c r="F1440">
        <v>6800440890</v>
      </c>
      <c r="G1440">
        <v>6184745184</v>
      </c>
      <c r="H1440">
        <v>5102125006</v>
      </c>
      <c r="I1440">
        <v>4772429719</v>
      </c>
      <c r="J1440">
        <v>4329727073</v>
      </c>
      <c r="K1440">
        <v>3285547683</v>
      </c>
      <c r="L1440">
        <v>3071292505</v>
      </c>
      <c r="M1440">
        <v>2676743809</v>
      </c>
      <c r="N1440">
        <v>2435220656</v>
      </c>
      <c r="O1440">
        <v>1946510152</v>
      </c>
      <c r="P1440">
        <v>156</v>
      </c>
      <c r="Q1440" t="s">
        <v>3174</v>
      </c>
    </row>
    <row r="1441" spans="1:17" x14ac:dyDescent="0.3">
      <c r="A1441" t="s">
        <v>17</v>
      </c>
      <c r="B1441" t="str">
        <f>"603129"</f>
        <v>603129</v>
      </c>
      <c r="C1441" t="s">
        <v>3175</v>
      </c>
      <c r="D1441" t="s">
        <v>1847</v>
      </c>
      <c r="E1441">
        <v>8187005613</v>
      </c>
      <c r="F1441">
        <v>4513472344</v>
      </c>
      <c r="G1441">
        <v>2492767768</v>
      </c>
      <c r="H1441">
        <v>1996554250</v>
      </c>
      <c r="I1441">
        <v>1687651332</v>
      </c>
      <c r="J1441">
        <v>996420873</v>
      </c>
      <c r="P1441">
        <v>625</v>
      </c>
      <c r="Q1441" t="s">
        <v>3176</v>
      </c>
    </row>
    <row r="1442" spans="1:17" x14ac:dyDescent="0.3">
      <c r="A1442" t="s">
        <v>47</v>
      </c>
      <c r="B1442" t="str">
        <f>"300483"</f>
        <v>300483</v>
      </c>
      <c r="C1442" t="s">
        <v>3177</v>
      </c>
      <c r="D1442" t="s">
        <v>476</v>
      </c>
      <c r="E1442">
        <v>8182727198</v>
      </c>
      <c r="F1442">
        <v>7056732236</v>
      </c>
      <c r="G1442">
        <v>6885129745</v>
      </c>
      <c r="H1442">
        <v>6284834123</v>
      </c>
      <c r="I1442">
        <v>1593283046</v>
      </c>
      <c r="J1442">
        <v>542750418</v>
      </c>
      <c r="K1442">
        <v>545789865</v>
      </c>
      <c r="L1442">
        <v>427595105</v>
      </c>
      <c r="P1442">
        <v>140</v>
      </c>
      <c r="Q1442" t="s">
        <v>3178</v>
      </c>
    </row>
    <row r="1443" spans="1:17" x14ac:dyDescent="0.3">
      <c r="A1443" t="s">
        <v>47</v>
      </c>
      <c r="B1443" t="str">
        <f>"300057"</f>
        <v>300057</v>
      </c>
      <c r="C1443" t="s">
        <v>3179</v>
      </c>
      <c r="D1443" t="s">
        <v>346</v>
      </c>
      <c r="E1443">
        <v>8171828951</v>
      </c>
      <c r="F1443">
        <v>8290025767</v>
      </c>
      <c r="G1443">
        <v>7222949439</v>
      </c>
      <c r="H1443">
        <v>6495104787</v>
      </c>
      <c r="I1443">
        <v>5530748315</v>
      </c>
      <c r="J1443">
        <v>4662513597</v>
      </c>
      <c r="K1443">
        <v>4622037451</v>
      </c>
      <c r="L1443">
        <v>4454645859</v>
      </c>
      <c r="M1443">
        <v>3794020079</v>
      </c>
      <c r="N1443">
        <v>3480889425</v>
      </c>
      <c r="O1443">
        <v>1973720155</v>
      </c>
      <c r="P1443">
        <v>438</v>
      </c>
      <c r="Q1443" t="s">
        <v>3180</v>
      </c>
    </row>
    <row r="1444" spans="1:17" x14ac:dyDescent="0.3">
      <c r="A1444" t="s">
        <v>47</v>
      </c>
      <c r="B1444" t="str">
        <f>"002850"</f>
        <v>002850</v>
      </c>
      <c r="C1444" t="s">
        <v>3181</v>
      </c>
      <c r="D1444" t="s">
        <v>215</v>
      </c>
      <c r="E1444">
        <v>8171655659</v>
      </c>
      <c r="F1444">
        <v>5684991033</v>
      </c>
      <c r="G1444">
        <v>3680945873</v>
      </c>
      <c r="H1444">
        <v>3671511846</v>
      </c>
      <c r="I1444">
        <v>3142252069</v>
      </c>
      <c r="J1444">
        <v>3045903113</v>
      </c>
      <c r="P1444">
        <v>379</v>
      </c>
      <c r="Q1444" t="s">
        <v>3182</v>
      </c>
    </row>
    <row r="1445" spans="1:17" x14ac:dyDescent="0.3">
      <c r="A1445" t="s">
        <v>47</v>
      </c>
      <c r="B1445" t="str">
        <f>"002930"</f>
        <v>002930</v>
      </c>
      <c r="C1445" t="s">
        <v>3183</v>
      </c>
      <c r="D1445" t="s">
        <v>1477</v>
      </c>
      <c r="E1445">
        <v>8169470654</v>
      </c>
      <c r="F1445">
        <v>6175848826</v>
      </c>
      <c r="G1445">
        <v>4245916981</v>
      </c>
      <c r="H1445">
        <v>2734387949</v>
      </c>
      <c r="I1445">
        <v>2342180961</v>
      </c>
      <c r="P1445">
        <v>160</v>
      </c>
      <c r="Q1445" t="s">
        <v>3184</v>
      </c>
    </row>
    <row r="1446" spans="1:17" x14ac:dyDescent="0.3">
      <c r="A1446" t="s">
        <v>47</v>
      </c>
      <c r="B1446" t="str">
        <f>"000837"</f>
        <v>000837</v>
      </c>
      <c r="C1446" t="s">
        <v>3185</v>
      </c>
      <c r="D1446" t="s">
        <v>3186</v>
      </c>
      <c r="E1446">
        <v>8166316387</v>
      </c>
      <c r="F1446">
        <v>9259357790</v>
      </c>
      <c r="G1446">
        <v>8829488655</v>
      </c>
      <c r="H1446">
        <v>9332347649</v>
      </c>
      <c r="I1446">
        <v>9156965284</v>
      </c>
      <c r="J1446">
        <v>7882110512</v>
      </c>
      <c r="K1446">
        <v>6823986382</v>
      </c>
      <c r="L1446">
        <v>6388692476</v>
      </c>
      <c r="M1446">
        <v>2281804032</v>
      </c>
      <c r="N1446">
        <v>2205713211</v>
      </c>
      <c r="O1446">
        <v>2058798100</v>
      </c>
      <c r="P1446">
        <v>129</v>
      </c>
      <c r="Q1446" t="s">
        <v>3187</v>
      </c>
    </row>
    <row r="1447" spans="1:17" x14ac:dyDescent="0.3">
      <c r="A1447" t="s">
        <v>17</v>
      </c>
      <c r="B1447" t="str">
        <f>"600676"</f>
        <v>600676</v>
      </c>
      <c r="C1447" t="s">
        <v>3188</v>
      </c>
      <c r="D1447" t="s">
        <v>810</v>
      </c>
      <c r="E1447">
        <v>8143981588</v>
      </c>
      <c r="F1447">
        <v>8912076319</v>
      </c>
      <c r="G1447">
        <v>8655197320</v>
      </c>
      <c r="H1447">
        <v>8940088577</v>
      </c>
      <c r="I1447">
        <v>8885375192</v>
      </c>
      <c r="J1447">
        <v>9011307013</v>
      </c>
      <c r="K1447">
        <v>7412649909</v>
      </c>
      <c r="L1447">
        <v>7277114373</v>
      </c>
      <c r="M1447">
        <v>6756090971</v>
      </c>
      <c r="N1447">
        <v>6629650954</v>
      </c>
      <c r="O1447">
        <v>6118101926</v>
      </c>
      <c r="P1447">
        <v>88</v>
      </c>
      <c r="Q1447" t="s">
        <v>3189</v>
      </c>
    </row>
    <row r="1448" spans="1:17" x14ac:dyDescent="0.3">
      <c r="A1448" t="s">
        <v>47</v>
      </c>
      <c r="B1448" t="str">
        <f>"002507"</f>
        <v>002507</v>
      </c>
      <c r="C1448" t="s">
        <v>3190</v>
      </c>
      <c r="D1448" t="s">
        <v>1241</v>
      </c>
      <c r="E1448">
        <v>8131377281</v>
      </c>
      <c r="F1448">
        <v>4245272482</v>
      </c>
      <c r="G1448">
        <v>3742489955</v>
      </c>
      <c r="H1448">
        <v>3172849952</v>
      </c>
      <c r="I1448">
        <v>2548848109</v>
      </c>
      <c r="J1448">
        <v>2118101674</v>
      </c>
      <c r="K1448">
        <v>1750834623</v>
      </c>
      <c r="L1448">
        <v>1443861232</v>
      </c>
      <c r="M1448">
        <v>1321941640</v>
      </c>
      <c r="N1448">
        <v>1143690134</v>
      </c>
      <c r="O1448">
        <v>1077742585</v>
      </c>
      <c r="P1448">
        <v>4502</v>
      </c>
      <c r="Q1448" t="s">
        <v>3191</v>
      </c>
    </row>
    <row r="1449" spans="1:17" x14ac:dyDescent="0.3">
      <c r="A1449" t="s">
        <v>47</v>
      </c>
      <c r="B1449" t="str">
        <f>"000566"</f>
        <v>000566</v>
      </c>
      <c r="C1449" t="s">
        <v>3192</v>
      </c>
      <c r="D1449" t="s">
        <v>550</v>
      </c>
      <c r="E1449">
        <v>8121971647</v>
      </c>
      <c r="F1449">
        <v>9707734194</v>
      </c>
      <c r="G1449">
        <v>10896527075</v>
      </c>
      <c r="H1449">
        <v>10914737219</v>
      </c>
      <c r="I1449">
        <v>10450237094</v>
      </c>
      <c r="J1449">
        <v>10397794318</v>
      </c>
      <c r="K1449">
        <v>5006922773</v>
      </c>
      <c r="L1449">
        <v>4297542506</v>
      </c>
      <c r="M1449">
        <v>4089305135</v>
      </c>
      <c r="N1449">
        <v>2917950205</v>
      </c>
      <c r="O1449">
        <v>2130622710</v>
      </c>
      <c r="P1449">
        <v>195</v>
      </c>
      <c r="Q1449" t="s">
        <v>3193</v>
      </c>
    </row>
    <row r="1450" spans="1:17" x14ac:dyDescent="0.3">
      <c r="A1450" t="s">
        <v>47</v>
      </c>
      <c r="B1450" t="str">
        <f>"002318"</f>
        <v>002318</v>
      </c>
      <c r="C1450" t="s">
        <v>3194</v>
      </c>
      <c r="D1450" t="s">
        <v>555</v>
      </c>
      <c r="E1450">
        <v>8100166614</v>
      </c>
      <c r="F1450">
        <v>6661348233</v>
      </c>
      <c r="G1450">
        <v>6056708122</v>
      </c>
      <c r="H1450">
        <v>5139674211</v>
      </c>
      <c r="I1450">
        <v>4991357392</v>
      </c>
      <c r="J1450">
        <v>3797764472</v>
      </c>
      <c r="K1450">
        <v>3676514979</v>
      </c>
      <c r="L1450">
        <v>3688781300</v>
      </c>
      <c r="M1450">
        <v>3455475350</v>
      </c>
      <c r="N1450">
        <v>3085236343</v>
      </c>
      <c r="O1450">
        <v>2715088184</v>
      </c>
      <c r="P1450">
        <v>451</v>
      </c>
      <c r="Q1450" t="s">
        <v>3195</v>
      </c>
    </row>
    <row r="1451" spans="1:17" x14ac:dyDescent="0.3">
      <c r="A1451" t="s">
        <v>17</v>
      </c>
      <c r="B1451" t="str">
        <f>"603515"</f>
        <v>603515</v>
      </c>
      <c r="C1451" t="s">
        <v>3196</v>
      </c>
      <c r="D1451" t="s">
        <v>2170</v>
      </c>
      <c r="E1451">
        <v>8097215800</v>
      </c>
      <c r="F1451">
        <v>7888633497</v>
      </c>
      <c r="G1451">
        <v>6902512534</v>
      </c>
      <c r="H1451">
        <v>6848327477</v>
      </c>
      <c r="I1451">
        <v>6131335924</v>
      </c>
      <c r="J1451">
        <v>5081319248</v>
      </c>
      <c r="K1451">
        <v>3385798900</v>
      </c>
      <c r="P1451">
        <v>2557</v>
      </c>
      <c r="Q1451" t="s">
        <v>3197</v>
      </c>
    </row>
    <row r="1452" spans="1:17" x14ac:dyDescent="0.3">
      <c r="A1452" t="s">
        <v>47</v>
      </c>
      <c r="B1452" t="str">
        <f>"002586"</f>
        <v>002586</v>
      </c>
      <c r="C1452" t="s">
        <v>3198</v>
      </c>
      <c r="D1452" t="s">
        <v>84</v>
      </c>
      <c r="E1452">
        <v>8093332539</v>
      </c>
      <c r="F1452">
        <v>7452383846</v>
      </c>
      <c r="G1452">
        <v>8669381600</v>
      </c>
      <c r="H1452">
        <v>10903749179</v>
      </c>
      <c r="I1452">
        <v>8390649983</v>
      </c>
      <c r="J1452">
        <v>7631840458</v>
      </c>
      <c r="K1452">
        <v>4181765643</v>
      </c>
      <c r="L1452">
        <v>3276606297</v>
      </c>
      <c r="M1452">
        <v>3040681380</v>
      </c>
      <c r="N1452">
        <v>2077407058</v>
      </c>
      <c r="O1452">
        <v>1677920987</v>
      </c>
      <c r="P1452">
        <v>62</v>
      </c>
      <c r="Q1452" t="s">
        <v>3199</v>
      </c>
    </row>
    <row r="1453" spans="1:17" x14ac:dyDescent="0.3">
      <c r="A1453" t="s">
        <v>17</v>
      </c>
      <c r="B1453" t="str">
        <f>"603008"</f>
        <v>603008</v>
      </c>
      <c r="C1453" t="s">
        <v>3200</v>
      </c>
      <c r="D1453" t="s">
        <v>2082</v>
      </c>
      <c r="E1453">
        <v>8073607287</v>
      </c>
      <c r="F1453">
        <v>6863922598</v>
      </c>
      <c r="G1453">
        <v>6265653468</v>
      </c>
      <c r="H1453">
        <v>6050984298</v>
      </c>
      <c r="I1453">
        <v>6116482918</v>
      </c>
      <c r="J1453">
        <v>4600695009</v>
      </c>
      <c r="K1453">
        <v>3536047388</v>
      </c>
      <c r="L1453">
        <v>2019562971</v>
      </c>
      <c r="M1453">
        <v>1569624688</v>
      </c>
      <c r="N1453">
        <v>1205362240</v>
      </c>
      <c r="P1453">
        <v>300</v>
      </c>
      <c r="Q1453" t="s">
        <v>3201</v>
      </c>
    </row>
    <row r="1454" spans="1:17" x14ac:dyDescent="0.3">
      <c r="A1454" t="s">
        <v>17</v>
      </c>
      <c r="B1454" t="str">
        <f>"600330"</f>
        <v>600330</v>
      </c>
      <c r="C1454" t="s">
        <v>3202</v>
      </c>
      <c r="D1454" t="s">
        <v>1973</v>
      </c>
      <c r="E1454">
        <v>8066254930</v>
      </c>
      <c r="F1454">
        <v>7376072274</v>
      </c>
      <c r="G1454">
        <v>6951703282</v>
      </c>
      <c r="H1454">
        <v>6475410882</v>
      </c>
      <c r="I1454">
        <v>5520807005</v>
      </c>
      <c r="J1454">
        <v>4910575976</v>
      </c>
      <c r="K1454">
        <v>4358112676</v>
      </c>
      <c r="L1454">
        <v>4817286547</v>
      </c>
      <c r="M1454">
        <v>2726016899</v>
      </c>
      <c r="N1454">
        <v>2443646381</v>
      </c>
      <c r="O1454">
        <v>2521380057</v>
      </c>
      <c r="P1454">
        <v>3157</v>
      </c>
      <c r="Q1454" t="s">
        <v>3203</v>
      </c>
    </row>
    <row r="1455" spans="1:17" x14ac:dyDescent="0.3">
      <c r="A1455" t="s">
        <v>17</v>
      </c>
      <c r="B1455" t="str">
        <f>"600681"</f>
        <v>600681</v>
      </c>
      <c r="C1455" t="s">
        <v>3204</v>
      </c>
      <c r="D1455" t="s">
        <v>476</v>
      </c>
      <c r="E1455">
        <v>8062920516</v>
      </c>
      <c r="F1455">
        <v>8369437517</v>
      </c>
      <c r="G1455">
        <v>8608360803</v>
      </c>
      <c r="H1455">
        <v>8749066300</v>
      </c>
      <c r="I1455">
        <v>6763003182</v>
      </c>
      <c r="J1455">
        <v>3881834546</v>
      </c>
      <c r="K1455">
        <v>2672370004</v>
      </c>
      <c r="L1455">
        <v>183229324</v>
      </c>
      <c r="M1455">
        <v>165826290</v>
      </c>
      <c r="N1455">
        <v>192412327</v>
      </c>
      <c r="O1455">
        <v>151361006</v>
      </c>
      <c r="P1455">
        <v>472</v>
      </c>
      <c r="Q1455" t="s">
        <v>3205</v>
      </c>
    </row>
    <row r="1456" spans="1:17" x14ac:dyDescent="0.3">
      <c r="A1456" t="s">
        <v>17</v>
      </c>
      <c r="B1456" t="str">
        <f>"601515"</f>
        <v>601515</v>
      </c>
      <c r="C1456" t="s">
        <v>3206</v>
      </c>
      <c r="D1456" t="s">
        <v>1842</v>
      </c>
      <c r="E1456">
        <v>8052586431</v>
      </c>
      <c r="F1456">
        <v>6698350578</v>
      </c>
      <c r="G1456">
        <v>6113300463</v>
      </c>
      <c r="H1456">
        <v>6356821736</v>
      </c>
      <c r="I1456">
        <v>5717410044</v>
      </c>
      <c r="J1456">
        <v>5816697958</v>
      </c>
      <c r="K1456">
        <v>4920360216</v>
      </c>
      <c r="L1456">
        <v>4346564907</v>
      </c>
      <c r="M1456">
        <v>3457706206</v>
      </c>
      <c r="N1456">
        <v>3063477767</v>
      </c>
      <c r="O1456">
        <v>2613990917</v>
      </c>
      <c r="P1456">
        <v>28151</v>
      </c>
      <c r="Q1456" t="s">
        <v>3207</v>
      </c>
    </row>
    <row r="1457" spans="1:17" x14ac:dyDescent="0.3">
      <c r="A1457" t="s">
        <v>47</v>
      </c>
      <c r="B1457" t="str">
        <f>"000823"</f>
        <v>000823</v>
      </c>
      <c r="C1457" t="s">
        <v>3208</v>
      </c>
      <c r="D1457" t="s">
        <v>1115</v>
      </c>
      <c r="E1457">
        <v>8046393905</v>
      </c>
      <c r="F1457">
        <v>7078169559</v>
      </c>
      <c r="G1457">
        <v>5670783900</v>
      </c>
      <c r="H1457">
        <v>5232847348</v>
      </c>
      <c r="I1457">
        <v>5120821889</v>
      </c>
      <c r="J1457">
        <v>4722127795</v>
      </c>
      <c r="K1457">
        <v>4482105000</v>
      </c>
      <c r="L1457">
        <v>4762424428</v>
      </c>
      <c r="M1457">
        <v>4782013130</v>
      </c>
      <c r="N1457">
        <v>3568803023</v>
      </c>
      <c r="O1457">
        <v>3631082864</v>
      </c>
      <c r="P1457">
        <v>354</v>
      </c>
      <c r="Q1457" t="s">
        <v>3209</v>
      </c>
    </row>
    <row r="1458" spans="1:17" x14ac:dyDescent="0.3">
      <c r="A1458" t="s">
        <v>17</v>
      </c>
      <c r="B1458" t="str">
        <f>"600601"</f>
        <v>600601</v>
      </c>
      <c r="C1458" t="s">
        <v>3210</v>
      </c>
      <c r="D1458" t="s">
        <v>1115</v>
      </c>
      <c r="E1458">
        <v>8033696138</v>
      </c>
      <c r="F1458">
        <v>8714597152</v>
      </c>
      <c r="G1458">
        <v>9943018895</v>
      </c>
      <c r="H1458">
        <v>10771244346</v>
      </c>
      <c r="I1458">
        <v>11407201158</v>
      </c>
      <c r="J1458">
        <v>10409959681</v>
      </c>
      <c r="K1458">
        <v>9274969602</v>
      </c>
      <c r="L1458">
        <v>8567769631</v>
      </c>
      <c r="M1458">
        <v>6107627810</v>
      </c>
      <c r="N1458">
        <v>6314121608</v>
      </c>
      <c r="O1458">
        <v>6154653972</v>
      </c>
      <c r="P1458">
        <v>228</v>
      </c>
      <c r="Q1458" t="s">
        <v>3211</v>
      </c>
    </row>
    <row r="1459" spans="1:17" x14ac:dyDescent="0.3">
      <c r="A1459" t="s">
        <v>17</v>
      </c>
      <c r="B1459" t="str">
        <f>"600987"</f>
        <v>600987</v>
      </c>
      <c r="C1459" t="s">
        <v>3212</v>
      </c>
      <c r="D1459" t="s">
        <v>2435</v>
      </c>
      <c r="E1459">
        <v>8025056931</v>
      </c>
      <c r="F1459">
        <v>7316613715</v>
      </c>
      <c r="G1459">
        <v>7024923504</v>
      </c>
      <c r="H1459">
        <v>6671318853</v>
      </c>
      <c r="I1459">
        <v>4996704531</v>
      </c>
      <c r="J1459">
        <v>4350217885</v>
      </c>
      <c r="K1459">
        <v>4146307433</v>
      </c>
      <c r="L1459">
        <v>3634276847</v>
      </c>
      <c r="M1459">
        <v>3531428321</v>
      </c>
      <c r="N1459">
        <v>2873286198</v>
      </c>
      <c r="O1459">
        <v>2705865184</v>
      </c>
      <c r="P1459">
        <v>4846</v>
      </c>
      <c r="Q1459" t="s">
        <v>3213</v>
      </c>
    </row>
    <row r="1460" spans="1:17" x14ac:dyDescent="0.3">
      <c r="A1460" t="s">
        <v>47</v>
      </c>
      <c r="B1460" t="str">
        <f>"002895"</f>
        <v>002895</v>
      </c>
      <c r="C1460" t="s">
        <v>3214</v>
      </c>
      <c r="D1460" t="s">
        <v>760</v>
      </c>
      <c r="E1460">
        <v>8022395263</v>
      </c>
      <c r="F1460">
        <v>4120546939</v>
      </c>
      <c r="G1460">
        <v>2842800616</v>
      </c>
      <c r="H1460">
        <v>2735414883</v>
      </c>
      <c r="I1460">
        <v>2447686068</v>
      </c>
      <c r="J1460">
        <v>2085633822</v>
      </c>
      <c r="P1460">
        <v>148</v>
      </c>
      <c r="Q1460" t="s">
        <v>3215</v>
      </c>
    </row>
    <row r="1461" spans="1:17" x14ac:dyDescent="0.3">
      <c r="A1461" t="s">
        <v>17</v>
      </c>
      <c r="B1461" t="str">
        <f>"603861"</f>
        <v>603861</v>
      </c>
      <c r="C1461" t="s">
        <v>3216</v>
      </c>
      <c r="D1461" t="s">
        <v>562</v>
      </c>
      <c r="E1461">
        <v>8020681856</v>
      </c>
      <c r="F1461">
        <v>7553494342</v>
      </c>
      <c r="G1461">
        <v>6841193418</v>
      </c>
      <c r="H1461">
        <v>5239786551</v>
      </c>
      <c r="I1461">
        <v>4399781792</v>
      </c>
      <c r="J1461">
        <v>2693575710</v>
      </c>
      <c r="K1461">
        <v>2668202727</v>
      </c>
      <c r="P1461">
        <v>109</v>
      </c>
      <c r="Q1461" t="s">
        <v>3217</v>
      </c>
    </row>
    <row r="1462" spans="1:17" x14ac:dyDescent="0.3">
      <c r="A1462" t="s">
        <v>17</v>
      </c>
      <c r="B1462" t="str">
        <f>"600072"</f>
        <v>600072</v>
      </c>
      <c r="C1462" t="s">
        <v>3218</v>
      </c>
      <c r="D1462" t="s">
        <v>351</v>
      </c>
      <c r="E1462">
        <v>8019830031</v>
      </c>
      <c r="F1462">
        <v>8881901600</v>
      </c>
      <c r="G1462">
        <v>10893784263</v>
      </c>
      <c r="H1462">
        <v>9124120602</v>
      </c>
      <c r="I1462">
        <v>10976350765</v>
      </c>
      <c r="J1462">
        <v>11421231068</v>
      </c>
      <c r="K1462">
        <v>1953622544</v>
      </c>
      <c r="L1462">
        <v>2220172988</v>
      </c>
      <c r="M1462">
        <v>2143845787</v>
      </c>
      <c r="N1462">
        <v>2246846901</v>
      </c>
      <c r="O1462">
        <v>2326849475</v>
      </c>
      <c r="P1462">
        <v>181</v>
      </c>
      <c r="Q1462" t="s">
        <v>3219</v>
      </c>
    </row>
    <row r="1463" spans="1:17" x14ac:dyDescent="0.3">
      <c r="A1463" t="s">
        <v>47</v>
      </c>
      <c r="B1463" t="str">
        <f>"301078"</f>
        <v>301078</v>
      </c>
      <c r="C1463" t="s">
        <v>3220</v>
      </c>
      <c r="D1463" t="s">
        <v>1904</v>
      </c>
      <c r="E1463">
        <v>8015360247</v>
      </c>
      <c r="P1463">
        <v>23</v>
      </c>
      <c r="Q1463" t="s">
        <v>3221</v>
      </c>
    </row>
    <row r="1464" spans="1:17" x14ac:dyDescent="0.3">
      <c r="A1464" t="s">
        <v>47</v>
      </c>
      <c r="B1464" t="str">
        <f>"300867"</f>
        <v>300867</v>
      </c>
      <c r="C1464" t="s">
        <v>3222</v>
      </c>
      <c r="D1464" t="s">
        <v>1310</v>
      </c>
      <c r="E1464">
        <v>8007050114</v>
      </c>
      <c r="F1464">
        <v>7172138071</v>
      </c>
      <c r="P1464">
        <v>103</v>
      </c>
      <c r="Q1464" t="s">
        <v>3223</v>
      </c>
    </row>
    <row r="1465" spans="1:17" x14ac:dyDescent="0.3">
      <c r="A1465" t="s">
        <v>47</v>
      </c>
      <c r="B1465" t="str">
        <f>"300463"</f>
        <v>300463</v>
      </c>
      <c r="C1465" t="s">
        <v>3224</v>
      </c>
      <c r="D1465" t="s">
        <v>2322</v>
      </c>
      <c r="E1465">
        <v>8002274266</v>
      </c>
      <c r="F1465">
        <v>6630517914</v>
      </c>
      <c r="G1465">
        <v>5600109951</v>
      </c>
      <c r="H1465">
        <v>4745304609</v>
      </c>
      <c r="I1465">
        <v>3736394888</v>
      </c>
      <c r="J1465">
        <v>2759852016</v>
      </c>
      <c r="K1465">
        <v>2370778332</v>
      </c>
      <c r="L1465">
        <v>1236202638</v>
      </c>
      <c r="P1465">
        <v>1101</v>
      </c>
      <c r="Q1465" t="s">
        <v>3225</v>
      </c>
    </row>
    <row r="1466" spans="1:17" x14ac:dyDescent="0.3">
      <c r="A1466" t="s">
        <v>47</v>
      </c>
      <c r="B1466" t="str">
        <f>"002298"</f>
        <v>002298</v>
      </c>
      <c r="C1466" t="s">
        <v>3226</v>
      </c>
      <c r="D1466" t="s">
        <v>1859</v>
      </c>
      <c r="E1466">
        <v>7995221950</v>
      </c>
      <c r="F1466">
        <v>7525591297</v>
      </c>
      <c r="G1466">
        <v>7056217510</v>
      </c>
      <c r="H1466">
        <v>6097164246</v>
      </c>
      <c r="I1466">
        <v>6274858593</v>
      </c>
      <c r="J1466">
        <v>5214614798</v>
      </c>
      <c r="K1466">
        <v>5023057016</v>
      </c>
      <c r="L1466">
        <v>2164295347</v>
      </c>
      <c r="M1466">
        <v>2234122028</v>
      </c>
      <c r="N1466">
        <v>1954556996</v>
      </c>
      <c r="O1466">
        <v>1509473942</v>
      </c>
      <c r="P1466">
        <v>182</v>
      </c>
      <c r="Q1466" t="s">
        <v>3227</v>
      </c>
    </row>
    <row r="1467" spans="1:17" x14ac:dyDescent="0.3">
      <c r="A1467" t="s">
        <v>47</v>
      </c>
      <c r="B1467" t="str">
        <f>"301200"</f>
        <v>301200</v>
      </c>
      <c r="C1467" t="s">
        <v>3228</v>
      </c>
      <c r="E1467">
        <v>7994579057</v>
      </c>
      <c r="P1467">
        <v>13</v>
      </c>
      <c r="Q1467" t="s">
        <v>3229</v>
      </c>
    </row>
    <row r="1468" spans="1:17" x14ac:dyDescent="0.3">
      <c r="A1468" t="s">
        <v>47</v>
      </c>
      <c r="B1468" t="str">
        <f>"002099"</f>
        <v>002099</v>
      </c>
      <c r="C1468" t="s">
        <v>3230</v>
      </c>
      <c r="D1468" t="s">
        <v>1112</v>
      </c>
      <c r="E1468">
        <v>7991182947</v>
      </c>
      <c r="F1468">
        <v>7517274006</v>
      </c>
      <c r="G1468">
        <v>6350342221</v>
      </c>
      <c r="H1468">
        <v>7119310130</v>
      </c>
      <c r="I1468">
        <v>7159190218</v>
      </c>
      <c r="J1468">
        <v>7232178679</v>
      </c>
      <c r="K1468">
        <v>5128792991</v>
      </c>
      <c r="L1468">
        <v>4279890035</v>
      </c>
      <c r="M1468">
        <v>2152486176</v>
      </c>
      <c r="N1468">
        <v>1990465874</v>
      </c>
      <c r="O1468">
        <v>1471719699</v>
      </c>
      <c r="P1468">
        <v>298</v>
      </c>
      <c r="Q1468" t="s">
        <v>3231</v>
      </c>
    </row>
    <row r="1469" spans="1:17" x14ac:dyDescent="0.3">
      <c r="A1469" t="s">
        <v>17</v>
      </c>
      <c r="B1469" t="str">
        <f>"600789"</f>
        <v>600789</v>
      </c>
      <c r="C1469" t="s">
        <v>3232</v>
      </c>
      <c r="D1469" t="s">
        <v>550</v>
      </c>
      <c r="E1469">
        <v>7986559031</v>
      </c>
      <c r="F1469">
        <v>7544777895</v>
      </c>
      <c r="G1469">
        <v>7329422166</v>
      </c>
      <c r="H1469">
        <v>6828443292</v>
      </c>
      <c r="I1469">
        <v>6395881527</v>
      </c>
      <c r="J1469">
        <v>4402477228</v>
      </c>
      <c r="K1469">
        <v>4025170446</v>
      </c>
      <c r="L1469">
        <v>4047210346</v>
      </c>
      <c r="M1469">
        <v>4196590682</v>
      </c>
      <c r="N1469">
        <v>4104853721</v>
      </c>
      <c r="O1469">
        <v>3770264531</v>
      </c>
      <c r="P1469">
        <v>245</v>
      </c>
      <c r="Q1469" t="s">
        <v>3233</v>
      </c>
    </row>
    <row r="1470" spans="1:17" x14ac:dyDescent="0.3">
      <c r="A1470" t="s">
        <v>17</v>
      </c>
      <c r="B1470" t="str">
        <f>"688055"</f>
        <v>688055</v>
      </c>
      <c r="C1470" t="s">
        <v>3234</v>
      </c>
      <c r="D1470" t="s">
        <v>181</v>
      </c>
      <c r="E1470">
        <v>7982705475</v>
      </c>
      <c r="F1470">
        <v>5869404845</v>
      </c>
      <c r="G1470">
        <v>5080292322</v>
      </c>
      <c r="P1470">
        <v>76</v>
      </c>
      <c r="Q1470" t="s">
        <v>3235</v>
      </c>
    </row>
    <row r="1471" spans="1:17" x14ac:dyDescent="0.3">
      <c r="A1471" t="s">
        <v>47</v>
      </c>
      <c r="B1471" t="str">
        <f>"000821"</f>
        <v>000821</v>
      </c>
      <c r="C1471" t="s">
        <v>3236</v>
      </c>
      <c r="D1471" t="s">
        <v>3237</v>
      </c>
      <c r="E1471">
        <v>7976736927</v>
      </c>
      <c r="F1471">
        <v>6484571188</v>
      </c>
      <c r="G1471">
        <v>5047531046</v>
      </c>
      <c r="H1471">
        <v>5277337526</v>
      </c>
      <c r="I1471">
        <v>4240518596</v>
      </c>
      <c r="J1471">
        <v>3027668150</v>
      </c>
      <c r="K1471">
        <v>2842380600</v>
      </c>
      <c r="L1471">
        <v>2012963416</v>
      </c>
      <c r="M1471">
        <v>1875422331</v>
      </c>
      <c r="N1471">
        <v>1425071549</v>
      </c>
      <c r="O1471">
        <v>1516282317</v>
      </c>
      <c r="P1471">
        <v>166</v>
      </c>
      <c r="Q1471" t="s">
        <v>3238</v>
      </c>
    </row>
    <row r="1472" spans="1:17" x14ac:dyDescent="0.3">
      <c r="A1472" t="s">
        <v>17</v>
      </c>
      <c r="B1472" t="str">
        <f>"603881"</f>
        <v>603881</v>
      </c>
      <c r="C1472" t="s">
        <v>3239</v>
      </c>
      <c r="D1472" t="s">
        <v>700</v>
      </c>
      <c r="E1472">
        <v>7971087284</v>
      </c>
      <c r="F1472">
        <v>8349322625</v>
      </c>
      <c r="G1472">
        <v>3920374839</v>
      </c>
      <c r="H1472">
        <v>2856432680</v>
      </c>
      <c r="I1472">
        <v>1694904299</v>
      </c>
      <c r="J1472">
        <v>1518651084</v>
      </c>
      <c r="P1472">
        <v>486</v>
      </c>
      <c r="Q1472" t="s">
        <v>3240</v>
      </c>
    </row>
    <row r="1473" spans="1:17" x14ac:dyDescent="0.3">
      <c r="A1473" t="s">
        <v>47</v>
      </c>
      <c r="B1473" t="str">
        <f>"300568"</f>
        <v>300568</v>
      </c>
      <c r="C1473" t="s">
        <v>3241</v>
      </c>
      <c r="D1473" t="s">
        <v>1017</v>
      </c>
      <c r="E1473">
        <v>7958639149</v>
      </c>
      <c r="F1473">
        <v>6727387454</v>
      </c>
      <c r="G1473">
        <v>5502370295</v>
      </c>
      <c r="H1473">
        <v>4037717686</v>
      </c>
      <c r="I1473">
        <v>2852590436</v>
      </c>
      <c r="J1473">
        <v>1963901099</v>
      </c>
      <c r="P1473">
        <v>474</v>
      </c>
      <c r="Q1473" t="s">
        <v>3242</v>
      </c>
    </row>
    <row r="1474" spans="1:17" x14ac:dyDescent="0.3">
      <c r="A1474" t="s">
        <v>17</v>
      </c>
      <c r="B1474" t="str">
        <f>"603690"</f>
        <v>603690</v>
      </c>
      <c r="C1474" t="s">
        <v>3243</v>
      </c>
      <c r="D1474" t="s">
        <v>1252</v>
      </c>
      <c r="E1474">
        <v>7956309882</v>
      </c>
      <c r="F1474">
        <v>6029713429</v>
      </c>
      <c r="G1474">
        <v>3316059962</v>
      </c>
      <c r="H1474">
        <v>2301755208</v>
      </c>
      <c r="I1474">
        <v>1078776457</v>
      </c>
      <c r="J1474">
        <v>744159553</v>
      </c>
      <c r="P1474">
        <v>450</v>
      </c>
      <c r="Q1474" t="s">
        <v>3244</v>
      </c>
    </row>
    <row r="1475" spans="1:17" x14ac:dyDescent="0.3">
      <c r="A1475" t="s">
        <v>47</v>
      </c>
      <c r="B1475" t="str">
        <f>"002101"</f>
        <v>002101</v>
      </c>
      <c r="C1475" t="s">
        <v>3245</v>
      </c>
      <c r="D1475" t="s">
        <v>1815</v>
      </c>
      <c r="E1475">
        <v>7931516512</v>
      </c>
      <c r="F1475">
        <v>8262381344</v>
      </c>
      <c r="G1475">
        <v>7887660846</v>
      </c>
      <c r="H1475">
        <v>8384308817</v>
      </c>
      <c r="I1475">
        <v>7935538916</v>
      </c>
      <c r="J1475">
        <v>3945309140</v>
      </c>
      <c r="K1475">
        <v>2803624401</v>
      </c>
      <c r="L1475">
        <v>2667705152</v>
      </c>
      <c r="M1475">
        <v>2458859818</v>
      </c>
      <c r="N1475">
        <v>1871361723</v>
      </c>
      <c r="O1475">
        <v>1519286554</v>
      </c>
      <c r="P1475">
        <v>267</v>
      </c>
      <c r="Q1475" t="s">
        <v>3246</v>
      </c>
    </row>
    <row r="1476" spans="1:17" x14ac:dyDescent="0.3">
      <c r="A1476" t="s">
        <v>47</v>
      </c>
      <c r="B1476" t="str">
        <f>"000612"</f>
        <v>000612</v>
      </c>
      <c r="C1476" t="s">
        <v>3247</v>
      </c>
      <c r="D1476" t="s">
        <v>346</v>
      </c>
      <c r="E1476">
        <v>7923754214</v>
      </c>
      <c r="F1476">
        <v>7336373083</v>
      </c>
      <c r="G1476">
        <v>7318008243</v>
      </c>
      <c r="H1476">
        <v>7282839942</v>
      </c>
      <c r="I1476">
        <v>7352648063</v>
      </c>
      <c r="J1476">
        <v>7277130772</v>
      </c>
      <c r="K1476">
        <v>8486895060</v>
      </c>
      <c r="L1476">
        <v>9174481320</v>
      </c>
      <c r="M1476">
        <v>7389366272</v>
      </c>
      <c r="N1476">
        <v>6612618674</v>
      </c>
      <c r="O1476">
        <v>4969289618</v>
      </c>
      <c r="P1476">
        <v>199</v>
      </c>
      <c r="Q1476" t="s">
        <v>3248</v>
      </c>
    </row>
    <row r="1477" spans="1:17" x14ac:dyDescent="0.3">
      <c r="A1477" t="s">
        <v>47</v>
      </c>
      <c r="B1477" t="str">
        <f>"002738"</f>
        <v>002738</v>
      </c>
      <c r="C1477" t="s">
        <v>3249</v>
      </c>
      <c r="D1477" t="s">
        <v>1002</v>
      </c>
      <c r="E1477">
        <v>7918522028</v>
      </c>
      <c r="F1477">
        <v>5028045709</v>
      </c>
      <c r="G1477">
        <v>4000324011</v>
      </c>
      <c r="H1477">
        <v>3278201679</v>
      </c>
      <c r="I1477">
        <v>1088897348</v>
      </c>
      <c r="J1477">
        <v>965014547</v>
      </c>
      <c r="K1477">
        <v>753125301</v>
      </c>
      <c r="L1477">
        <v>723386698</v>
      </c>
      <c r="P1477">
        <v>192</v>
      </c>
      <c r="Q1477" t="s">
        <v>3250</v>
      </c>
    </row>
    <row r="1478" spans="1:17" x14ac:dyDescent="0.3">
      <c r="A1478" t="s">
        <v>47</v>
      </c>
      <c r="B1478" t="str">
        <f>"002067"</f>
        <v>002067</v>
      </c>
      <c r="C1478" t="s">
        <v>3251</v>
      </c>
      <c r="D1478" t="s">
        <v>587</v>
      </c>
      <c r="E1478">
        <v>7916494366</v>
      </c>
      <c r="F1478">
        <v>7379402854</v>
      </c>
      <c r="G1478">
        <v>5772938150</v>
      </c>
      <c r="H1478">
        <v>6412753744</v>
      </c>
      <c r="I1478">
        <v>6216145957</v>
      </c>
      <c r="J1478">
        <v>5760963372</v>
      </c>
      <c r="K1478">
        <v>5777816786</v>
      </c>
      <c r="L1478">
        <v>5817726506</v>
      </c>
      <c r="M1478">
        <v>5285233092</v>
      </c>
      <c r="N1478">
        <v>5229961429</v>
      </c>
      <c r="O1478">
        <v>5290759416</v>
      </c>
      <c r="P1478">
        <v>173</v>
      </c>
      <c r="Q1478" t="s">
        <v>3252</v>
      </c>
    </row>
    <row r="1479" spans="1:17" x14ac:dyDescent="0.3">
      <c r="A1479" t="s">
        <v>17</v>
      </c>
      <c r="B1479" t="str">
        <f>"603713"</f>
        <v>603713</v>
      </c>
      <c r="C1479" t="s">
        <v>3253</v>
      </c>
      <c r="D1479" t="s">
        <v>1477</v>
      </c>
      <c r="E1479">
        <v>7911915957</v>
      </c>
      <c r="F1479">
        <v>5429134476</v>
      </c>
      <c r="G1479">
        <v>2731422503</v>
      </c>
      <c r="H1479">
        <v>2053553127</v>
      </c>
      <c r="I1479">
        <v>1134928861</v>
      </c>
      <c r="P1479">
        <v>457</v>
      </c>
      <c r="Q1479" t="s">
        <v>3254</v>
      </c>
    </row>
    <row r="1480" spans="1:17" x14ac:dyDescent="0.3">
      <c r="A1480" t="s">
        <v>47</v>
      </c>
      <c r="B1480" t="str">
        <f>"000751"</f>
        <v>000751</v>
      </c>
      <c r="C1480" t="s">
        <v>3255</v>
      </c>
      <c r="D1480" t="s">
        <v>1299</v>
      </c>
      <c r="E1480">
        <v>7907064441</v>
      </c>
      <c r="F1480">
        <v>5444399796</v>
      </c>
      <c r="G1480">
        <v>5224908180</v>
      </c>
      <c r="H1480">
        <v>4632950365</v>
      </c>
      <c r="I1480">
        <v>4465857407</v>
      </c>
      <c r="J1480">
        <v>4230559181</v>
      </c>
      <c r="K1480">
        <v>3661881912</v>
      </c>
      <c r="L1480">
        <v>3178674935</v>
      </c>
      <c r="M1480">
        <v>4072802774</v>
      </c>
      <c r="N1480">
        <v>2926070985</v>
      </c>
      <c r="O1480">
        <v>7470622788</v>
      </c>
      <c r="P1480">
        <v>128</v>
      </c>
      <c r="Q1480" t="s">
        <v>3256</v>
      </c>
    </row>
    <row r="1481" spans="1:17" x14ac:dyDescent="0.3">
      <c r="A1481" t="s">
        <v>17</v>
      </c>
      <c r="B1481" t="str">
        <f>"603825"</f>
        <v>603825</v>
      </c>
      <c r="C1481" t="s">
        <v>3257</v>
      </c>
      <c r="D1481" t="s">
        <v>1824</v>
      </c>
      <c r="E1481">
        <v>7895235540</v>
      </c>
      <c r="F1481">
        <v>6728437569</v>
      </c>
      <c r="G1481">
        <v>5912313082</v>
      </c>
      <c r="H1481">
        <v>6488960755</v>
      </c>
      <c r="I1481">
        <v>4651215672</v>
      </c>
      <c r="J1481">
        <v>3706798200</v>
      </c>
      <c r="P1481">
        <v>158</v>
      </c>
      <c r="Q1481" t="s">
        <v>3258</v>
      </c>
    </row>
    <row r="1482" spans="1:17" x14ac:dyDescent="0.3">
      <c r="A1482" t="s">
        <v>47</v>
      </c>
      <c r="B1482" t="str">
        <f>"002130"</f>
        <v>002130</v>
      </c>
      <c r="C1482" t="s">
        <v>3259</v>
      </c>
      <c r="D1482" t="s">
        <v>1609</v>
      </c>
      <c r="E1482">
        <v>7879120491</v>
      </c>
      <c r="F1482">
        <v>7119024717</v>
      </c>
      <c r="G1482">
        <v>6417250665</v>
      </c>
      <c r="H1482">
        <v>6518127318</v>
      </c>
      <c r="I1482">
        <v>6632114110</v>
      </c>
      <c r="J1482">
        <v>5827513421</v>
      </c>
      <c r="K1482">
        <v>3921277068</v>
      </c>
      <c r="L1482">
        <v>3058972119</v>
      </c>
      <c r="M1482">
        <v>1912061250</v>
      </c>
      <c r="N1482">
        <v>1781756408</v>
      </c>
      <c r="O1482">
        <v>1232164079</v>
      </c>
      <c r="P1482">
        <v>266</v>
      </c>
      <c r="Q1482" t="s">
        <v>3260</v>
      </c>
    </row>
    <row r="1483" spans="1:17" x14ac:dyDescent="0.3">
      <c r="A1483" t="s">
        <v>47</v>
      </c>
      <c r="B1483" t="str">
        <f>"002543"</f>
        <v>002543</v>
      </c>
      <c r="C1483" t="s">
        <v>3261</v>
      </c>
      <c r="D1483" t="s">
        <v>3262</v>
      </c>
      <c r="E1483">
        <v>7873637149</v>
      </c>
      <c r="F1483">
        <v>8084134108</v>
      </c>
      <c r="G1483">
        <v>6872631574</v>
      </c>
      <c r="H1483">
        <v>6926263769</v>
      </c>
      <c r="I1483">
        <v>6788106034</v>
      </c>
      <c r="J1483">
        <v>5344861666</v>
      </c>
      <c r="K1483">
        <v>4397081505</v>
      </c>
      <c r="L1483">
        <v>3794621199</v>
      </c>
      <c r="M1483">
        <v>3654844497</v>
      </c>
      <c r="N1483">
        <v>3148010421</v>
      </c>
      <c r="O1483">
        <v>2892831229</v>
      </c>
      <c r="P1483">
        <v>434</v>
      </c>
      <c r="Q1483" t="s">
        <v>3263</v>
      </c>
    </row>
    <row r="1484" spans="1:17" x14ac:dyDescent="0.3">
      <c r="A1484" t="s">
        <v>17</v>
      </c>
      <c r="B1484" t="str">
        <f>"603818"</f>
        <v>603818</v>
      </c>
      <c r="C1484" t="s">
        <v>3264</v>
      </c>
      <c r="D1484" t="s">
        <v>2082</v>
      </c>
      <c r="E1484">
        <v>7870576055</v>
      </c>
      <c r="F1484">
        <v>7846190773</v>
      </c>
      <c r="G1484">
        <v>6930437234</v>
      </c>
      <c r="H1484">
        <v>7246461328</v>
      </c>
      <c r="I1484">
        <v>2041667244</v>
      </c>
      <c r="J1484">
        <v>1804154525</v>
      </c>
      <c r="K1484">
        <v>1489061310</v>
      </c>
      <c r="L1484">
        <v>925665911</v>
      </c>
      <c r="P1484">
        <v>202</v>
      </c>
      <c r="Q1484" t="s">
        <v>3265</v>
      </c>
    </row>
    <row r="1485" spans="1:17" x14ac:dyDescent="0.3">
      <c r="A1485" t="s">
        <v>17</v>
      </c>
      <c r="B1485" t="str">
        <f>"600785"</f>
        <v>600785</v>
      </c>
      <c r="C1485" t="s">
        <v>3266</v>
      </c>
      <c r="D1485" t="s">
        <v>780</v>
      </c>
      <c r="E1485">
        <v>7869521734</v>
      </c>
      <c r="F1485">
        <v>8607050702</v>
      </c>
      <c r="G1485">
        <v>6251147820</v>
      </c>
      <c r="H1485">
        <v>4986972038</v>
      </c>
      <c r="I1485">
        <v>5010913645</v>
      </c>
      <c r="J1485">
        <v>4407807599</v>
      </c>
      <c r="K1485">
        <v>4342534079</v>
      </c>
      <c r="L1485">
        <v>4012036370</v>
      </c>
      <c r="M1485">
        <v>3967811339</v>
      </c>
      <c r="N1485">
        <v>3724664396</v>
      </c>
      <c r="O1485">
        <v>3117054259</v>
      </c>
      <c r="P1485">
        <v>99</v>
      </c>
      <c r="Q1485" t="s">
        <v>3267</v>
      </c>
    </row>
    <row r="1486" spans="1:17" x14ac:dyDescent="0.3">
      <c r="A1486" t="s">
        <v>47</v>
      </c>
      <c r="B1486" t="str">
        <f>"300123"</f>
        <v>300123</v>
      </c>
      <c r="C1486" t="s">
        <v>3268</v>
      </c>
      <c r="D1486" t="s">
        <v>1385</v>
      </c>
      <c r="E1486">
        <v>7868267355</v>
      </c>
      <c r="F1486">
        <v>8505050119</v>
      </c>
      <c r="G1486">
        <v>7737865273</v>
      </c>
      <c r="H1486">
        <v>7701195546</v>
      </c>
      <c r="I1486">
        <v>6672141367</v>
      </c>
      <c r="J1486">
        <v>2054187719</v>
      </c>
      <c r="K1486">
        <v>1764336073</v>
      </c>
      <c r="L1486">
        <v>1477586729</v>
      </c>
      <c r="M1486">
        <v>1301399221</v>
      </c>
      <c r="N1486">
        <v>1396303658</v>
      </c>
      <c r="O1486">
        <v>1284309924</v>
      </c>
      <c r="P1486">
        <v>232</v>
      </c>
      <c r="Q1486" t="s">
        <v>3269</v>
      </c>
    </row>
    <row r="1487" spans="1:17" x14ac:dyDescent="0.3">
      <c r="A1487" t="s">
        <v>47</v>
      </c>
      <c r="B1487" t="str">
        <f>"300145"</f>
        <v>300145</v>
      </c>
      <c r="C1487" t="s">
        <v>3270</v>
      </c>
      <c r="D1487" t="s">
        <v>1433</v>
      </c>
      <c r="E1487">
        <v>7867918222</v>
      </c>
      <c r="F1487">
        <v>8395222820</v>
      </c>
      <c r="G1487">
        <v>10272884364</v>
      </c>
      <c r="H1487">
        <v>9826753870</v>
      </c>
      <c r="I1487">
        <v>10475748213</v>
      </c>
      <c r="J1487">
        <v>7471614254</v>
      </c>
      <c r="K1487">
        <v>5127845462</v>
      </c>
      <c r="L1487">
        <v>1979159580</v>
      </c>
      <c r="M1487">
        <v>1711925465</v>
      </c>
      <c r="N1487">
        <v>1459536203</v>
      </c>
      <c r="O1487">
        <v>1306874961</v>
      </c>
      <c r="P1487">
        <v>281</v>
      </c>
      <c r="Q1487" t="s">
        <v>3271</v>
      </c>
    </row>
    <row r="1488" spans="1:17" x14ac:dyDescent="0.3">
      <c r="A1488" t="s">
        <v>17</v>
      </c>
      <c r="B1488" t="str">
        <f>"603337"</f>
        <v>603337</v>
      </c>
      <c r="C1488" t="s">
        <v>3272</v>
      </c>
      <c r="D1488" t="s">
        <v>2603</v>
      </c>
      <c r="E1488">
        <v>7850256354</v>
      </c>
      <c r="F1488">
        <v>5718874824</v>
      </c>
      <c r="G1488">
        <v>4185029392</v>
      </c>
      <c r="H1488">
        <v>4153660832</v>
      </c>
      <c r="I1488">
        <v>3663301379</v>
      </c>
      <c r="J1488">
        <v>3026750172</v>
      </c>
      <c r="P1488">
        <v>370</v>
      </c>
      <c r="Q1488" t="s">
        <v>3273</v>
      </c>
    </row>
    <row r="1489" spans="1:17" x14ac:dyDescent="0.3">
      <c r="A1489" t="s">
        <v>17</v>
      </c>
      <c r="B1489" t="str">
        <f>"600986"</f>
        <v>600986</v>
      </c>
      <c r="C1489" t="s">
        <v>3274</v>
      </c>
      <c r="D1489" t="s">
        <v>1824</v>
      </c>
      <c r="E1489">
        <v>7846577510</v>
      </c>
      <c r="F1489">
        <v>6960195689</v>
      </c>
      <c r="G1489">
        <v>7276911833</v>
      </c>
      <c r="H1489">
        <v>10338534100</v>
      </c>
      <c r="I1489">
        <v>10621709735</v>
      </c>
      <c r="J1489">
        <v>7738115918</v>
      </c>
      <c r="K1489">
        <v>8553331103</v>
      </c>
      <c r="L1489">
        <v>4954478088</v>
      </c>
      <c r="M1489">
        <v>3964707726</v>
      </c>
      <c r="N1489">
        <v>2812441751</v>
      </c>
      <c r="O1489">
        <v>2229912243</v>
      </c>
      <c r="P1489">
        <v>239</v>
      </c>
      <c r="Q1489" t="s">
        <v>3275</v>
      </c>
    </row>
    <row r="1490" spans="1:17" x14ac:dyDescent="0.3">
      <c r="A1490" t="s">
        <v>17</v>
      </c>
      <c r="B1490" t="str">
        <f>"600862"</f>
        <v>600862</v>
      </c>
      <c r="C1490" t="s">
        <v>3276</v>
      </c>
      <c r="D1490" t="s">
        <v>570</v>
      </c>
      <c r="E1490">
        <v>7836548428</v>
      </c>
      <c r="F1490">
        <v>7119538633</v>
      </c>
      <c r="G1490">
        <v>6756646607</v>
      </c>
      <c r="H1490">
        <v>7643065727</v>
      </c>
      <c r="I1490">
        <v>6887443105</v>
      </c>
      <c r="J1490">
        <v>8052183000</v>
      </c>
      <c r="K1490">
        <v>8845203985</v>
      </c>
      <c r="L1490">
        <v>5976812745</v>
      </c>
      <c r="M1490">
        <v>6236316677</v>
      </c>
      <c r="N1490">
        <v>4779748968</v>
      </c>
      <c r="O1490">
        <v>4033949531</v>
      </c>
      <c r="P1490">
        <v>457</v>
      </c>
      <c r="Q1490" t="s">
        <v>3277</v>
      </c>
    </row>
    <row r="1491" spans="1:17" x14ac:dyDescent="0.3">
      <c r="A1491" t="s">
        <v>47</v>
      </c>
      <c r="B1491" t="str">
        <f>"002675"</f>
        <v>002675</v>
      </c>
      <c r="C1491" t="s">
        <v>3278</v>
      </c>
      <c r="D1491" t="s">
        <v>550</v>
      </c>
      <c r="E1491">
        <v>7815614818</v>
      </c>
      <c r="F1491">
        <v>7558464113</v>
      </c>
      <c r="G1491">
        <v>7081330628</v>
      </c>
      <c r="H1491">
        <v>6854152666</v>
      </c>
      <c r="I1491">
        <v>5357412474</v>
      </c>
      <c r="J1491">
        <v>4223278350</v>
      </c>
      <c r="K1491">
        <v>2743988933</v>
      </c>
      <c r="L1491">
        <v>1425133390</v>
      </c>
      <c r="M1491">
        <v>1245660110</v>
      </c>
      <c r="N1491">
        <v>1093004880</v>
      </c>
      <c r="O1491">
        <v>400311368</v>
      </c>
      <c r="P1491">
        <v>365</v>
      </c>
      <c r="Q1491" t="s">
        <v>3279</v>
      </c>
    </row>
    <row r="1492" spans="1:17" x14ac:dyDescent="0.3">
      <c r="A1492" t="s">
        <v>17</v>
      </c>
      <c r="B1492" t="str">
        <f>"688289"</f>
        <v>688289</v>
      </c>
      <c r="C1492" t="s">
        <v>3280</v>
      </c>
      <c r="D1492" t="s">
        <v>2322</v>
      </c>
      <c r="E1492">
        <v>7811154611</v>
      </c>
      <c r="F1492">
        <v>6231125849</v>
      </c>
      <c r="G1492">
        <v>1029255163</v>
      </c>
      <c r="P1492">
        <v>209</v>
      </c>
      <c r="Q1492" t="s">
        <v>3281</v>
      </c>
    </row>
    <row r="1493" spans="1:17" x14ac:dyDescent="0.3">
      <c r="A1493" t="s">
        <v>47</v>
      </c>
      <c r="B1493" t="str">
        <f>"002068"</f>
        <v>002068</v>
      </c>
      <c r="C1493" t="s">
        <v>3282</v>
      </c>
      <c r="D1493" t="s">
        <v>3283</v>
      </c>
      <c r="E1493">
        <v>7783067600</v>
      </c>
      <c r="F1493">
        <v>7272156811</v>
      </c>
      <c r="G1493">
        <v>7164326751</v>
      </c>
      <c r="H1493">
        <v>7692756000</v>
      </c>
      <c r="I1493">
        <v>7770200588</v>
      </c>
      <c r="J1493">
        <v>6559576129</v>
      </c>
      <c r="K1493">
        <v>6118666853</v>
      </c>
      <c r="L1493">
        <v>6909494490</v>
      </c>
      <c r="M1493">
        <v>7365928457</v>
      </c>
      <c r="N1493">
        <v>5917326008</v>
      </c>
      <c r="O1493">
        <v>4718601745</v>
      </c>
      <c r="P1493">
        <v>300</v>
      </c>
      <c r="Q1493" t="s">
        <v>3284</v>
      </c>
    </row>
    <row r="1494" spans="1:17" x14ac:dyDescent="0.3">
      <c r="A1494" t="s">
        <v>17</v>
      </c>
      <c r="B1494" t="str">
        <f>"600195"</f>
        <v>600195</v>
      </c>
      <c r="C1494" t="s">
        <v>3285</v>
      </c>
      <c r="D1494" t="s">
        <v>3286</v>
      </c>
      <c r="E1494">
        <v>7770576517</v>
      </c>
      <c r="F1494">
        <v>7069335139</v>
      </c>
      <c r="G1494">
        <v>5825713198</v>
      </c>
      <c r="H1494">
        <v>5560018039</v>
      </c>
      <c r="I1494">
        <v>6337123684</v>
      </c>
      <c r="J1494">
        <v>6113022477</v>
      </c>
      <c r="K1494">
        <v>5662946145</v>
      </c>
      <c r="L1494">
        <v>4475194127</v>
      </c>
      <c r="M1494">
        <v>4250427552</v>
      </c>
      <c r="N1494">
        <v>3217768243</v>
      </c>
      <c r="O1494">
        <v>2950051641</v>
      </c>
      <c r="P1494">
        <v>371</v>
      </c>
      <c r="Q1494" t="s">
        <v>3287</v>
      </c>
    </row>
    <row r="1495" spans="1:17" x14ac:dyDescent="0.3">
      <c r="A1495" t="s">
        <v>17</v>
      </c>
      <c r="B1495" t="str">
        <f>"605507"</f>
        <v>605507</v>
      </c>
      <c r="C1495" t="s">
        <v>3288</v>
      </c>
      <c r="D1495" t="s">
        <v>1112</v>
      </c>
      <c r="E1495">
        <v>7759156784</v>
      </c>
      <c r="F1495">
        <v>5524634935</v>
      </c>
      <c r="P1495">
        <v>25</v>
      </c>
      <c r="Q1495" t="s">
        <v>3289</v>
      </c>
    </row>
    <row r="1496" spans="1:17" x14ac:dyDescent="0.3">
      <c r="A1496" t="s">
        <v>47</v>
      </c>
      <c r="B1496" t="str">
        <f>"002635"</f>
        <v>002635</v>
      </c>
      <c r="C1496" t="s">
        <v>3290</v>
      </c>
      <c r="D1496" t="s">
        <v>283</v>
      </c>
      <c r="E1496">
        <v>7745227948</v>
      </c>
      <c r="F1496">
        <v>7302527468</v>
      </c>
      <c r="G1496">
        <v>7007382438</v>
      </c>
      <c r="H1496">
        <v>8616794513</v>
      </c>
      <c r="I1496">
        <v>8706734128</v>
      </c>
      <c r="J1496">
        <v>3259416858</v>
      </c>
      <c r="K1496">
        <v>3073917110</v>
      </c>
      <c r="L1496">
        <v>2331781257</v>
      </c>
      <c r="M1496">
        <v>1453631383</v>
      </c>
      <c r="N1496">
        <v>1283983236</v>
      </c>
      <c r="O1496">
        <v>1026057662</v>
      </c>
      <c r="P1496">
        <v>513</v>
      </c>
      <c r="Q1496" t="s">
        <v>3291</v>
      </c>
    </row>
    <row r="1497" spans="1:17" x14ac:dyDescent="0.3">
      <c r="A1497" t="s">
        <v>17</v>
      </c>
      <c r="B1497" t="str">
        <f>"600076"</f>
        <v>600076</v>
      </c>
      <c r="C1497" t="s">
        <v>3292</v>
      </c>
      <c r="D1497" t="s">
        <v>2406</v>
      </c>
      <c r="E1497">
        <v>7737646031</v>
      </c>
      <c r="F1497">
        <v>7624442171</v>
      </c>
      <c r="G1497">
        <v>7005863989</v>
      </c>
      <c r="H1497">
        <v>6047518730</v>
      </c>
      <c r="I1497">
        <v>5182354719</v>
      </c>
      <c r="J1497">
        <v>3912025459</v>
      </c>
      <c r="K1497">
        <v>3382855166</v>
      </c>
      <c r="L1497">
        <v>782462144</v>
      </c>
      <c r="M1497">
        <v>542089923</v>
      </c>
      <c r="N1497">
        <v>418452107</v>
      </c>
      <c r="O1497">
        <v>335336370</v>
      </c>
      <c r="P1497">
        <v>200</v>
      </c>
      <c r="Q1497" t="s">
        <v>3293</v>
      </c>
    </row>
    <row r="1498" spans="1:17" x14ac:dyDescent="0.3">
      <c r="A1498" t="s">
        <v>47</v>
      </c>
      <c r="B1498" t="str">
        <f>"001308"</f>
        <v>001308</v>
      </c>
      <c r="C1498" t="s">
        <v>3294</v>
      </c>
      <c r="E1498">
        <v>7736464813</v>
      </c>
      <c r="P1498">
        <v>5</v>
      </c>
      <c r="Q1498" t="s">
        <v>3295</v>
      </c>
    </row>
    <row r="1499" spans="1:17" x14ac:dyDescent="0.3">
      <c r="A1499" t="s">
        <v>47</v>
      </c>
      <c r="B1499" t="str">
        <f>"002132"</f>
        <v>002132</v>
      </c>
      <c r="C1499" t="s">
        <v>3296</v>
      </c>
      <c r="D1499" t="s">
        <v>401</v>
      </c>
      <c r="E1499">
        <v>7735347664</v>
      </c>
      <c r="F1499">
        <v>5473055605</v>
      </c>
      <c r="G1499">
        <v>4650845044</v>
      </c>
      <c r="H1499">
        <v>5552789862</v>
      </c>
      <c r="I1499">
        <v>6680285389</v>
      </c>
      <c r="J1499">
        <v>4620587097</v>
      </c>
      <c r="K1499">
        <v>3026728584</v>
      </c>
      <c r="L1499">
        <v>3358527539</v>
      </c>
      <c r="M1499">
        <v>3380185450</v>
      </c>
      <c r="N1499">
        <v>3141367849</v>
      </c>
      <c r="O1499">
        <v>2968411717</v>
      </c>
      <c r="P1499">
        <v>127</v>
      </c>
      <c r="Q1499" t="s">
        <v>3297</v>
      </c>
    </row>
    <row r="1500" spans="1:17" x14ac:dyDescent="0.3">
      <c r="A1500" t="s">
        <v>47</v>
      </c>
      <c r="B1500" t="str">
        <f>"002665"</f>
        <v>002665</v>
      </c>
      <c r="C1500" t="s">
        <v>3298</v>
      </c>
      <c r="D1500" t="s">
        <v>2256</v>
      </c>
      <c r="E1500">
        <v>7722464466</v>
      </c>
      <c r="F1500">
        <v>8107210748</v>
      </c>
      <c r="G1500">
        <v>9002580968</v>
      </c>
      <c r="H1500">
        <v>8720242783</v>
      </c>
      <c r="I1500">
        <v>9092599842</v>
      </c>
      <c r="J1500">
        <v>4587372225</v>
      </c>
      <c r="K1500">
        <v>4481932801</v>
      </c>
      <c r="L1500">
        <v>3656134951</v>
      </c>
      <c r="M1500">
        <v>2549421806</v>
      </c>
      <c r="N1500">
        <v>2274698911</v>
      </c>
      <c r="O1500">
        <v>2110505985</v>
      </c>
      <c r="P1500">
        <v>208</v>
      </c>
      <c r="Q1500" t="s">
        <v>3299</v>
      </c>
    </row>
    <row r="1501" spans="1:17" x14ac:dyDescent="0.3">
      <c r="A1501" t="s">
        <v>17</v>
      </c>
      <c r="B1501" t="str">
        <f>"603179"</f>
        <v>603179</v>
      </c>
      <c r="C1501" t="s">
        <v>3300</v>
      </c>
      <c r="D1501" t="s">
        <v>836</v>
      </c>
      <c r="E1501">
        <v>7713703366</v>
      </c>
      <c r="F1501">
        <v>6930112253</v>
      </c>
      <c r="G1501">
        <v>4841733641</v>
      </c>
      <c r="H1501">
        <v>4006773499</v>
      </c>
      <c r="I1501">
        <v>3514657324</v>
      </c>
      <c r="J1501">
        <v>2664029743</v>
      </c>
      <c r="P1501">
        <v>302</v>
      </c>
      <c r="Q1501" t="s">
        <v>3301</v>
      </c>
    </row>
    <row r="1502" spans="1:17" x14ac:dyDescent="0.3">
      <c r="A1502" t="s">
        <v>47</v>
      </c>
      <c r="B1502" t="str">
        <f>"000976"</f>
        <v>000976</v>
      </c>
      <c r="C1502" t="s">
        <v>3302</v>
      </c>
      <c r="D1502" t="s">
        <v>193</v>
      </c>
      <c r="E1502">
        <v>7695626742</v>
      </c>
      <c r="F1502">
        <v>7468294615</v>
      </c>
      <c r="G1502">
        <v>6290520040</v>
      </c>
      <c r="H1502">
        <v>4888912252</v>
      </c>
      <c r="I1502">
        <v>4911347942</v>
      </c>
      <c r="J1502">
        <v>4509108218</v>
      </c>
      <c r="K1502">
        <v>4453380231</v>
      </c>
      <c r="L1502">
        <v>613561157</v>
      </c>
      <c r="M1502">
        <v>936149130</v>
      </c>
      <c r="N1502">
        <v>1057098404</v>
      </c>
      <c r="O1502">
        <v>1076383193</v>
      </c>
      <c r="P1502">
        <v>146</v>
      </c>
      <c r="Q1502" t="s">
        <v>3303</v>
      </c>
    </row>
    <row r="1503" spans="1:17" x14ac:dyDescent="0.3">
      <c r="A1503" t="s">
        <v>17</v>
      </c>
      <c r="B1503" t="str">
        <f>"603661"</f>
        <v>603661</v>
      </c>
      <c r="C1503" t="s">
        <v>3304</v>
      </c>
      <c r="D1503" t="s">
        <v>2082</v>
      </c>
      <c r="E1503">
        <v>7694906243</v>
      </c>
      <c r="F1503">
        <v>5169950948</v>
      </c>
      <c r="G1503">
        <v>3761854535</v>
      </c>
      <c r="H1503">
        <v>2847485360</v>
      </c>
      <c r="I1503">
        <v>2615852926</v>
      </c>
      <c r="P1503">
        <v>148</v>
      </c>
      <c r="Q1503" t="s">
        <v>3305</v>
      </c>
    </row>
    <row r="1504" spans="1:17" x14ac:dyDescent="0.3">
      <c r="A1504" t="s">
        <v>47</v>
      </c>
      <c r="B1504" t="str">
        <f>"000639"</f>
        <v>000639</v>
      </c>
      <c r="C1504" t="s">
        <v>3306</v>
      </c>
      <c r="D1504" t="s">
        <v>320</v>
      </c>
      <c r="E1504">
        <v>7682548367</v>
      </c>
      <c r="F1504">
        <v>7714810317</v>
      </c>
      <c r="G1504">
        <v>8079984501</v>
      </c>
      <c r="H1504">
        <v>10123947306</v>
      </c>
      <c r="I1504">
        <v>8456866794</v>
      </c>
      <c r="J1504">
        <v>6633597606</v>
      </c>
      <c r="K1504">
        <v>2240193541</v>
      </c>
      <c r="L1504">
        <v>1829828681</v>
      </c>
      <c r="M1504">
        <v>1433535032</v>
      </c>
      <c r="N1504">
        <v>1510638021</v>
      </c>
      <c r="O1504">
        <v>1843908330</v>
      </c>
      <c r="P1504">
        <v>328</v>
      </c>
      <c r="Q1504" t="s">
        <v>3307</v>
      </c>
    </row>
    <row r="1505" spans="1:17" x14ac:dyDescent="0.3">
      <c r="A1505" t="s">
        <v>47</v>
      </c>
      <c r="B1505" t="str">
        <f>"000980"</f>
        <v>000980</v>
      </c>
      <c r="C1505" t="s">
        <v>3308</v>
      </c>
      <c r="D1505" t="s">
        <v>836</v>
      </c>
      <c r="E1505">
        <v>7681784088</v>
      </c>
      <c r="F1505">
        <v>9681049989</v>
      </c>
      <c r="G1505">
        <v>20213598935</v>
      </c>
      <c r="H1505">
        <v>32069838450</v>
      </c>
      <c r="I1505">
        <v>32286809036</v>
      </c>
      <c r="J1505">
        <v>4052481704</v>
      </c>
      <c r="K1505">
        <v>3507612476</v>
      </c>
      <c r="L1505">
        <v>3020692196</v>
      </c>
      <c r="M1505">
        <v>2754824888</v>
      </c>
      <c r="N1505">
        <v>1843232848</v>
      </c>
      <c r="O1505">
        <v>1751879560</v>
      </c>
      <c r="P1505">
        <v>161</v>
      </c>
      <c r="Q1505" t="s">
        <v>3309</v>
      </c>
    </row>
    <row r="1506" spans="1:17" x14ac:dyDescent="0.3">
      <c r="A1506" t="s">
        <v>47</v>
      </c>
      <c r="B1506" t="str">
        <f>"200505"</f>
        <v>200505</v>
      </c>
      <c r="C1506" t="s">
        <v>3310</v>
      </c>
      <c r="E1506">
        <v>7680884496.7379999</v>
      </c>
      <c r="F1506">
        <v>6733275959.0074997</v>
      </c>
      <c r="G1506">
        <v>5730441760.3010998</v>
      </c>
      <c r="H1506">
        <v>5795928483.5106001</v>
      </c>
      <c r="I1506">
        <v>7213343298.6459999</v>
      </c>
      <c r="J1506">
        <v>1230820140.1068001</v>
      </c>
      <c r="K1506">
        <v>2113846909.0685999</v>
      </c>
      <c r="L1506">
        <v>1922819871.25</v>
      </c>
      <c r="M1506">
        <v>1777076121.0220001</v>
      </c>
      <c r="N1506">
        <v>1759936435.1087999</v>
      </c>
      <c r="O1506">
        <v>1654362801.108</v>
      </c>
      <c r="P1506">
        <v>16</v>
      </c>
      <c r="Q1506" t="s">
        <v>3311</v>
      </c>
    </row>
    <row r="1507" spans="1:17" x14ac:dyDescent="0.3">
      <c r="A1507" t="s">
        <v>47</v>
      </c>
      <c r="B1507" t="str">
        <f>"300294"</f>
        <v>300294</v>
      </c>
      <c r="C1507" t="s">
        <v>3312</v>
      </c>
      <c r="D1507" t="s">
        <v>1393</v>
      </c>
      <c r="E1507">
        <v>7679391433</v>
      </c>
      <c r="F1507">
        <v>5005101157</v>
      </c>
      <c r="G1507">
        <v>5521881351</v>
      </c>
      <c r="H1507">
        <v>5024152317</v>
      </c>
      <c r="I1507">
        <v>3773318735</v>
      </c>
      <c r="J1507">
        <v>2773144586</v>
      </c>
      <c r="K1507">
        <v>2154580686</v>
      </c>
      <c r="L1507">
        <v>1050972989</v>
      </c>
      <c r="M1507">
        <v>939924401</v>
      </c>
      <c r="N1507">
        <v>762945148</v>
      </c>
      <c r="O1507">
        <v>777890996</v>
      </c>
      <c r="P1507">
        <v>495</v>
      </c>
      <c r="Q1507" t="s">
        <v>3313</v>
      </c>
    </row>
    <row r="1508" spans="1:17" x14ac:dyDescent="0.3">
      <c r="A1508" t="s">
        <v>47</v>
      </c>
      <c r="B1508" t="str">
        <f>"000756"</f>
        <v>000756</v>
      </c>
      <c r="C1508" t="s">
        <v>3314</v>
      </c>
      <c r="D1508" t="s">
        <v>1112</v>
      </c>
      <c r="E1508">
        <v>7674086850</v>
      </c>
      <c r="F1508">
        <v>7279400356</v>
      </c>
      <c r="G1508">
        <v>7044298294</v>
      </c>
      <c r="H1508">
        <v>6040069276</v>
      </c>
      <c r="I1508">
        <v>5422254250</v>
      </c>
      <c r="J1508">
        <v>4847044602</v>
      </c>
      <c r="K1508">
        <v>4506695596</v>
      </c>
      <c r="L1508">
        <v>4349056229</v>
      </c>
      <c r="M1508">
        <v>3837642364</v>
      </c>
      <c r="N1508">
        <v>3718379204</v>
      </c>
      <c r="O1508">
        <v>3430189862</v>
      </c>
      <c r="P1508">
        <v>218</v>
      </c>
      <c r="Q1508" t="s">
        <v>3315</v>
      </c>
    </row>
    <row r="1509" spans="1:17" x14ac:dyDescent="0.3">
      <c r="A1509" t="s">
        <v>17</v>
      </c>
      <c r="B1509" t="str">
        <f>"689009"</f>
        <v>689009</v>
      </c>
      <c r="C1509" t="s">
        <v>3316</v>
      </c>
      <c r="D1509" t="s">
        <v>2210</v>
      </c>
      <c r="E1509">
        <v>7670039457</v>
      </c>
      <c r="F1509">
        <v>6618842915</v>
      </c>
      <c r="P1509">
        <v>114</v>
      </c>
      <c r="Q1509" t="s">
        <v>3317</v>
      </c>
    </row>
    <row r="1510" spans="1:17" x14ac:dyDescent="0.3">
      <c r="A1510" t="s">
        <v>47</v>
      </c>
      <c r="B1510" t="str">
        <f>"002537"</f>
        <v>002537</v>
      </c>
      <c r="C1510" t="s">
        <v>3318</v>
      </c>
      <c r="D1510" t="s">
        <v>416</v>
      </c>
      <c r="E1510">
        <v>7659473003</v>
      </c>
      <c r="F1510">
        <v>7166493073</v>
      </c>
      <c r="G1510">
        <v>6345296380</v>
      </c>
      <c r="H1510">
        <v>8882590072</v>
      </c>
      <c r="I1510">
        <v>12175421210</v>
      </c>
      <c r="J1510">
        <v>11778598130</v>
      </c>
      <c r="K1510">
        <v>2853286607</v>
      </c>
      <c r="L1510">
        <v>3051926331</v>
      </c>
      <c r="M1510">
        <v>3100826543</v>
      </c>
      <c r="N1510">
        <v>2879808057</v>
      </c>
      <c r="O1510">
        <v>1859675857</v>
      </c>
      <c r="P1510">
        <v>182</v>
      </c>
      <c r="Q1510" t="s">
        <v>3319</v>
      </c>
    </row>
    <row r="1511" spans="1:17" x14ac:dyDescent="0.3">
      <c r="A1511" t="s">
        <v>47</v>
      </c>
      <c r="B1511" t="str">
        <f>"002160"</f>
        <v>002160</v>
      </c>
      <c r="C1511" t="s">
        <v>3320</v>
      </c>
      <c r="D1511" t="s">
        <v>346</v>
      </c>
      <c r="E1511">
        <v>7649772999</v>
      </c>
      <c r="F1511">
        <v>6669991683</v>
      </c>
      <c r="G1511">
        <v>6008069538</v>
      </c>
      <c r="H1511">
        <v>6480513417</v>
      </c>
      <c r="I1511">
        <v>6418243042</v>
      </c>
      <c r="J1511">
        <v>6047584050</v>
      </c>
      <c r="K1511">
        <v>5006403277</v>
      </c>
      <c r="L1511">
        <v>2977267733</v>
      </c>
      <c r="M1511">
        <v>2203501823</v>
      </c>
      <c r="N1511">
        <v>2305415567</v>
      </c>
      <c r="O1511">
        <v>1757544065</v>
      </c>
      <c r="P1511">
        <v>166</v>
      </c>
      <c r="Q1511" t="s">
        <v>3321</v>
      </c>
    </row>
    <row r="1512" spans="1:17" x14ac:dyDescent="0.3">
      <c r="A1512" t="s">
        <v>47</v>
      </c>
      <c r="B1512" t="str">
        <f>"002628"</f>
        <v>002628</v>
      </c>
      <c r="C1512" t="s">
        <v>3322</v>
      </c>
      <c r="D1512" t="s">
        <v>84</v>
      </c>
      <c r="E1512">
        <v>7647185187</v>
      </c>
      <c r="F1512">
        <v>7745371790</v>
      </c>
      <c r="G1512">
        <v>6612833297</v>
      </c>
      <c r="H1512">
        <v>6168987395</v>
      </c>
      <c r="I1512">
        <v>5204366142</v>
      </c>
      <c r="J1512">
        <v>5330002602</v>
      </c>
      <c r="K1512">
        <v>5309952261</v>
      </c>
      <c r="L1512">
        <v>5759828342</v>
      </c>
      <c r="M1512">
        <v>6453082113</v>
      </c>
      <c r="N1512">
        <v>5642661444</v>
      </c>
      <c r="O1512">
        <v>2732746391</v>
      </c>
      <c r="P1512">
        <v>91</v>
      </c>
      <c r="Q1512" t="s">
        <v>3323</v>
      </c>
    </row>
    <row r="1513" spans="1:17" x14ac:dyDescent="0.3">
      <c r="A1513" t="s">
        <v>17</v>
      </c>
      <c r="B1513" t="str">
        <f>"603887"</f>
        <v>603887</v>
      </c>
      <c r="C1513" t="s">
        <v>3324</v>
      </c>
      <c r="D1513" t="s">
        <v>700</v>
      </c>
      <c r="E1513">
        <v>7634778985</v>
      </c>
      <c r="F1513">
        <v>8138494777</v>
      </c>
      <c r="G1513">
        <v>6072620619</v>
      </c>
      <c r="H1513">
        <v>1662099006</v>
      </c>
      <c r="I1513">
        <v>1239699199</v>
      </c>
      <c r="J1513">
        <v>969930597</v>
      </c>
      <c r="P1513">
        <v>241</v>
      </c>
      <c r="Q1513" t="s">
        <v>3325</v>
      </c>
    </row>
    <row r="1514" spans="1:17" x14ac:dyDescent="0.3">
      <c r="A1514" t="s">
        <v>47</v>
      </c>
      <c r="B1514" t="str">
        <f>"000019"</f>
        <v>000019</v>
      </c>
      <c r="C1514" t="s">
        <v>3326</v>
      </c>
      <c r="D1514" t="s">
        <v>320</v>
      </c>
      <c r="E1514">
        <v>7627326974</v>
      </c>
      <c r="F1514">
        <v>7851650764</v>
      </c>
      <c r="G1514">
        <v>6718173275</v>
      </c>
      <c r="H1514">
        <v>6341280597</v>
      </c>
      <c r="I1514">
        <v>1039060072</v>
      </c>
      <c r="J1514">
        <v>1177683384</v>
      </c>
      <c r="K1514">
        <v>1089994983</v>
      </c>
      <c r="L1514">
        <v>1104501437</v>
      </c>
      <c r="M1514">
        <v>1304095395</v>
      </c>
      <c r="N1514">
        <v>1305160163</v>
      </c>
      <c r="O1514">
        <v>1173423229</v>
      </c>
      <c r="P1514">
        <v>176</v>
      </c>
      <c r="Q1514" t="s">
        <v>3327</v>
      </c>
    </row>
    <row r="1515" spans="1:17" x14ac:dyDescent="0.3">
      <c r="A1515" t="s">
        <v>47</v>
      </c>
      <c r="B1515" t="str">
        <f>"002840"</f>
        <v>002840</v>
      </c>
      <c r="C1515" t="s">
        <v>3328</v>
      </c>
      <c r="D1515" t="s">
        <v>1078</v>
      </c>
      <c r="E1515">
        <v>7620191040</v>
      </c>
      <c r="F1515">
        <v>5833061975</v>
      </c>
      <c r="G1515">
        <v>3526187536</v>
      </c>
      <c r="H1515">
        <v>2405790951</v>
      </c>
      <c r="I1515">
        <v>1718648482</v>
      </c>
      <c r="J1515">
        <v>1420243858</v>
      </c>
      <c r="P1515">
        <v>600</v>
      </c>
      <c r="Q1515" t="s">
        <v>3329</v>
      </c>
    </row>
    <row r="1516" spans="1:17" x14ac:dyDescent="0.3">
      <c r="A1516" t="s">
        <v>47</v>
      </c>
      <c r="B1516" t="str">
        <f>"002557"</f>
        <v>002557</v>
      </c>
      <c r="C1516" t="s">
        <v>3330</v>
      </c>
      <c r="D1516" t="s">
        <v>3331</v>
      </c>
      <c r="E1516">
        <v>7608845365</v>
      </c>
      <c r="F1516">
        <v>7247933897</v>
      </c>
      <c r="G1516">
        <v>5596215458</v>
      </c>
      <c r="H1516">
        <v>4758834901</v>
      </c>
      <c r="I1516">
        <v>4794726172</v>
      </c>
      <c r="J1516">
        <v>4142427534</v>
      </c>
      <c r="K1516">
        <v>4376614244</v>
      </c>
      <c r="L1516">
        <v>4003815098</v>
      </c>
      <c r="M1516">
        <v>3974565413</v>
      </c>
      <c r="N1516">
        <v>3222018499</v>
      </c>
      <c r="O1516">
        <v>3001832839</v>
      </c>
      <c r="P1516">
        <v>1823</v>
      </c>
      <c r="Q1516" t="s">
        <v>3332</v>
      </c>
    </row>
    <row r="1517" spans="1:17" x14ac:dyDescent="0.3">
      <c r="A1517" t="s">
        <v>47</v>
      </c>
      <c r="B1517" t="str">
        <f>"300423"</f>
        <v>300423</v>
      </c>
      <c r="C1517" t="s">
        <v>3333</v>
      </c>
      <c r="D1517" t="s">
        <v>459</v>
      </c>
      <c r="E1517">
        <v>7603419340</v>
      </c>
      <c r="F1517">
        <v>8014283873</v>
      </c>
      <c r="G1517">
        <v>7856248461</v>
      </c>
      <c r="H1517">
        <v>6851525315</v>
      </c>
      <c r="I1517">
        <v>4642908056</v>
      </c>
      <c r="J1517">
        <v>574119603</v>
      </c>
      <c r="K1517">
        <v>548123242</v>
      </c>
      <c r="L1517">
        <v>624943801</v>
      </c>
      <c r="P1517">
        <v>156</v>
      </c>
      <c r="Q1517" t="s">
        <v>3334</v>
      </c>
    </row>
    <row r="1518" spans="1:17" x14ac:dyDescent="0.3">
      <c r="A1518" t="s">
        <v>47</v>
      </c>
      <c r="B1518" t="str">
        <f>"000605"</f>
        <v>000605</v>
      </c>
      <c r="C1518" t="s">
        <v>3335</v>
      </c>
      <c r="D1518" t="s">
        <v>520</v>
      </c>
      <c r="E1518">
        <v>7596432065</v>
      </c>
      <c r="F1518">
        <v>9080875414</v>
      </c>
      <c r="G1518">
        <v>8313112756</v>
      </c>
      <c r="H1518">
        <v>6685863025</v>
      </c>
      <c r="I1518">
        <v>6065465108</v>
      </c>
      <c r="J1518">
        <v>4749279340</v>
      </c>
      <c r="K1518">
        <v>2379611746</v>
      </c>
      <c r="L1518">
        <v>2378850608</v>
      </c>
      <c r="M1518">
        <v>2490289183</v>
      </c>
      <c r="N1518">
        <v>137177686</v>
      </c>
      <c r="O1518">
        <v>126024835</v>
      </c>
      <c r="P1518">
        <v>85</v>
      </c>
      <c r="Q1518" t="s">
        <v>3336</v>
      </c>
    </row>
    <row r="1519" spans="1:17" x14ac:dyDescent="0.3">
      <c r="A1519" t="s">
        <v>47</v>
      </c>
      <c r="B1519" t="str">
        <f>"002595"</f>
        <v>002595</v>
      </c>
      <c r="C1519" t="s">
        <v>3337</v>
      </c>
      <c r="D1519" t="s">
        <v>1973</v>
      </c>
      <c r="E1519">
        <v>7596416213</v>
      </c>
      <c r="F1519">
        <v>7239619566</v>
      </c>
      <c r="G1519">
        <v>6713503916</v>
      </c>
      <c r="H1519">
        <v>5827994910</v>
      </c>
      <c r="I1519">
        <v>4805594371</v>
      </c>
      <c r="J1519">
        <v>4057960385</v>
      </c>
      <c r="K1519">
        <v>3581146242</v>
      </c>
      <c r="L1519">
        <v>3056730625</v>
      </c>
      <c r="M1519">
        <v>2547093893</v>
      </c>
      <c r="N1519">
        <v>2266375139</v>
      </c>
      <c r="O1519">
        <v>2137141594</v>
      </c>
      <c r="P1519">
        <v>4171</v>
      </c>
      <c r="Q1519" t="s">
        <v>3338</v>
      </c>
    </row>
    <row r="1520" spans="1:17" x14ac:dyDescent="0.3">
      <c r="A1520" t="s">
        <v>47</v>
      </c>
      <c r="B1520" t="str">
        <f>"002206"</f>
        <v>002206</v>
      </c>
      <c r="C1520" t="s">
        <v>3339</v>
      </c>
      <c r="D1520" t="s">
        <v>970</v>
      </c>
      <c r="E1520">
        <v>7594821110</v>
      </c>
      <c r="F1520">
        <v>6391357148</v>
      </c>
      <c r="G1520">
        <v>5876613338</v>
      </c>
      <c r="H1520">
        <v>5238152344</v>
      </c>
      <c r="I1520">
        <v>4586426329</v>
      </c>
      <c r="J1520">
        <v>4765247803</v>
      </c>
      <c r="K1520">
        <v>3798264854</v>
      </c>
      <c r="L1520">
        <v>3583956201</v>
      </c>
      <c r="M1520">
        <v>3371201670</v>
      </c>
      <c r="N1520">
        <v>3365399991</v>
      </c>
      <c r="O1520">
        <v>2707757506</v>
      </c>
      <c r="P1520">
        <v>369</v>
      </c>
      <c r="Q1520" t="s">
        <v>3340</v>
      </c>
    </row>
    <row r="1521" spans="1:17" x14ac:dyDescent="0.3">
      <c r="A1521" t="s">
        <v>17</v>
      </c>
      <c r="B1521" t="str">
        <f>"688075"</f>
        <v>688075</v>
      </c>
      <c r="C1521" t="s">
        <v>3341</v>
      </c>
      <c r="D1521" t="s">
        <v>2322</v>
      </c>
      <c r="E1521">
        <v>7591112000</v>
      </c>
      <c r="P1521">
        <v>37</v>
      </c>
      <c r="Q1521" t="s">
        <v>3342</v>
      </c>
    </row>
    <row r="1522" spans="1:17" x14ac:dyDescent="0.3">
      <c r="A1522" t="s">
        <v>47</v>
      </c>
      <c r="B1522" t="str">
        <f>"002011"</f>
        <v>002011</v>
      </c>
      <c r="C1522" t="s">
        <v>3343</v>
      </c>
      <c r="D1522" t="s">
        <v>1511</v>
      </c>
      <c r="E1522">
        <v>7590063291</v>
      </c>
      <c r="F1522">
        <v>7810400573</v>
      </c>
      <c r="G1522">
        <v>8171729761</v>
      </c>
      <c r="H1522">
        <v>10405745069</v>
      </c>
      <c r="I1522">
        <v>13520250690</v>
      </c>
      <c r="J1522">
        <v>12523240725</v>
      </c>
      <c r="K1522">
        <v>11134576245</v>
      </c>
      <c r="L1522">
        <v>10714523531</v>
      </c>
      <c r="M1522">
        <v>9789208887</v>
      </c>
      <c r="N1522">
        <v>10431761706</v>
      </c>
      <c r="O1522">
        <v>8285349178</v>
      </c>
      <c r="P1522">
        <v>201</v>
      </c>
      <c r="Q1522" t="s">
        <v>3344</v>
      </c>
    </row>
    <row r="1523" spans="1:17" x14ac:dyDescent="0.3">
      <c r="A1523" t="s">
        <v>17</v>
      </c>
      <c r="B1523" t="str">
        <f>"603035"</f>
        <v>603035</v>
      </c>
      <c r="C1523" t="s">
        <v>3345</v>
      </c>
      <c r="D1523" t="s">
        <v>416</v>
      </c>
      <c r="E1523">
        <v>7583099251</v>
      </c>
      <c r="F1523">
        <v>7114179956</v>
      </c>
      <c r="G1523">
        <v>6718837186</v>
      </c>
      <c r="H1523">
        <v>4949035276</v>
      </c>
      <c r="I1523">
        <v>3693167907</v>
      </c>
      <c r="J1523">
        <v>2976004174</v>
      </c>
      <c r="P1523">
        <v>244</v>
      </c>
      <c r="Q1523" t="s">
        <v>3346</v>
      </c>
    </row>
    <row r="1524" spans="1:17" x14ac:dyDescent="0.3">
      <c r="A1524" t="s">
        <v>47</v>
      </c>
      <c r="B1524" t="str">
        <f>"002682"</f>
        <v>002682</v>
      </c>
      <c r="C1524" t="s">
        <v>3347</v>
      </c>
      <c r="D1524" t="s">
        <v>1035</v>
      </c>
      <c r="E1524">
        <v>7579783886</v>
      </c>
      <c r="F1524">
        <v>8532520467</v>
      </c>
      <c r="G1524">
        <v>9954454740</v>
      </c>
      <c r="H1524">
        <v>9665899126</v>
      </c>
      <c r="I1524">
        <v>7192561977</v>
      </c>
      <c r="J1524">
        <v>6695819715</v>
      </c>
      <c r="K1524">
        <v>4149153962</v>
      </c>
      <c r="L1524">
        <v>3127565274</v>
      </c>
      <c r="M1524">
        <v>3098755156</v>
      </c>
      <c r="N1524">
        <v>2806479316</v>
      </c>
      <c r="O1524">
        <v>1778520987</v>
      </c>
      <c r="P1524">
        <v>80</v>
      </c>
      <c r="Q1524" t="s">
        <v>3348</v>
      </c>
    </row>
    <row r="1525" spans="1:17" x14ac:dyDescent="0.3">
      <c r="A1525" t="s">
        <v>17</v>
      </c>
      <c r="B1525" t="str">
        <f>"600105"</f>
        <v>600105</v>
      </c>
      <c r="C1525" t="s">
        <v>3349</v>
      </c>
      <c r="D1525" t="s">
        <v>828</v>
      </c>
      <c r="E1525">
        <v>7578104452</v>
      </c>
      <c r="F1525">
        <v>7717254075</v>
      </c>
      <c r="G1525">
        <v>5978125395</v>
      </c>
      <c r="H1525">
        <v>5477723761</v>
      </c>
      <c r="I1525">
        <v>4868587159</v>
      </c>
      <c r="J1525">
        <v>4234969305</v>
      </c>
      <c r="K1525">
        <v>3430408665</v>
      </c>
      <c r="L1525">
        <v>2509712263</v>
      </c>
      <c r="M1525">
        <v>2577943495</v>
      </c>
      <c r="N1525">
        <v>3787190889</v>
      </c>
      <c r="O1525">
        <v>3785733662</v>
      </c>
      <c r="P1525">
        <v>274</v>
      </c>
      <c r="Q1525" t="s">
        <v>3350</v>
      </c>
    </row>
    <row r="1526" spans="1:17" x14ac:dyDescent="0.3">
      <c r="A1526" t="s">
        <v>47</v>
      </c>
      <c r="B1526" t="str">
        <f>"300363"</f>
        <v>300363</v>
      </c>
      <c r="C1526" t="s">
        <v>3351</v>
      </c>
      <c r="D1526" t="s">
        <v>777</v>
      </c>
      <c r="E1526">
        <v>7574948453</v>
      </c>
      <c r="F1526">
        <v>4683978702</v>
      </c>
      <c r="G1526">
        <v>4031014909</v>
      </c>
      <c r="H1526">
        <v>4246718756</v>
      </c>
      <c r="I1526">
        <v>2774270657</v>
      </c>
      <c r="J1526">
        <v>3015783199</v>
      </c>
      <c r="K1526">
        <v>2431093400</v>
      </c>
      <c r="L1526">
        <v>1798725906</v>
      </c>
      <c r="M1526">
        <v>1249322043</v>
      </c>
      <c r="P1526">
        <v>542</v>
      </c>
      <c r="Q1526" t="s">
        <v>3352</v>
      </c>
    </row>
    <row r="1527" spans="1:17" x14ac:dyDescent="0.3">
      <c r="A1527" t="s">
        <v>17</v>
      </c>
      <c r="B1527" t="str">
        <f>"603456"</f>
        <v>603456</v>
      </c>
      <c r="C1527" t="s">
        <v>3353</v>
      </c>
      <c r="D1527" t="s">
        <v>777</v>
      </c>
      <c r="E1527">
        <v>7545719098</v>
      </c>
      <c r="F1527">
        <v>5685476319</v>
      </c>
      <c r="G1527">
        <v>4995377004</v>
      </c>
      <c r="H1527">
        <v>3339286768</v>
      </c>
      <c r="I1527">
        <v>3379050062</v>
      </c>
      <c r="J1527">
        <v>3113922551</v>
      </c>
      <c r="K1527">
        <v>3313057663</v>
      </c>
      <c r="L1527">
        <v>2172631312</v>
      </c>
      <c r="P1527">
        <v>453</v>
      </c>
      <c r="Q1527" t="s">
        <v>3354</v>
      </c>
    </row>
    <row r="1528" spans="1:17" x14ac:dyDescent="0.3">
      <c r="A1528" t="s">
        <v>47</v>
      </c>
      <c r="B1528" t="str">
        <f>"002409"</f>
        <v>002409</v>
      </c>
      <c r="C1528" t="s">
        <v>3355</v>
      </c>
      <c r="D1528" t="s">
        <v>567</v>
      </c>
      <c r="E1528">
        <v>7543661719</v>
      </c>
      <c r="F1528">
        <v>5918723583</v>
      </c>
      <c r="G1528">
        <v>5127605360</v>
      </c>
      <c r="H1528">
        <v>4752395614</v>
      </c>
      <c r="I1528">
        <v>1860883590</v>
      </c>
      <c r="J1528">
        <v>2007292368</v>
      </c>
      <c r="K1528">
        <v>1588746904</v>
      </c>
      <c r="L1528">
        <v>1580185688</v>
      </c>
      <c r="M1528">
        <v>1436328816</v>
      </c>
      <c r="N1528">
        <v>1348379005</v>
      </c>
      <c r="O1528">
        <v>1386337796</v>
      </c>
      <c r="P1528">
        <v>496</v>
      </c>
      <c r="Q1528" t="s">
        <v>3356</v>
      </c>
    </row>
    <row r="1529" spans="1:17" x14ac:dyDescent="0.3">
      <c r="A1529" t="s">
        <v>47</v>
      </c>
      <c r="B1529" t="str">
        <f>"002752"</f>
        <v>002752</v>
      </c>
      <c r="C1529" t="s">
        <v>3357</v>
      </c>
      <c r="D1529" t="s">
        <v>1913</v>
      </c>
      <c r="E1529">
        <v>7529402436</v>
      </c>
      <c r="F1529">
        <v>5684353093</v>
      </c>
      <c r="G1529">
        <v>4207095143</v>
      </c>
      <c r="H1529">
        <v>3567907694</v>
      </c>
      <c r="I1529">
        <v>3219523710</v>
      </c>
      <c r="J1529">
        <v>2772874793</v>
      </c>
      <c r="K1529">
        <v>2381701789</v>
      </c>
      <c r="L1529">
        <v>2315560561</v>
      </c>
      <c r="P1529">
        <v>79</v>
      </c>
      <c r="Q1529" t="s">
        <v>3358</v>
      </c>
    </row>
    <row r="1530" spans="1:17" x14ac:dyDescent="0.3">
      <c r="A1530" t="s">
        <v>17</v>
      </c>
      <c r="B1530" t="str">
        <f>"600651"</f>
        <v>600651</v>
      </c>
      <c r="C1530" t="s">
        <v>3359</v>
      </c>
      <c r="D1530" t="s">
        <v>862</v>
      </c>
      <c r="E1530">
        <v>7528988803</v>
      </c>
      <c r="F1530">
        <v>8707222199</v>
      </c>
      <c r="G1530">
        <v>9863995965</v>
      </c>
      <c r="H1530">
        <v>11478256604</v>
      </c>
      <c r="I1530">
        <v>15726809412</v>
      </c>
      <c r="J1530">
        <v>12077707848</v>
      </c>
      <c r="K1530">
        <v>11746518343</v>
      </c>
      <c r="L1530">
        <v>5873433065</v>
      </c>
      <c r="M1530">
        <v>2568394496</v>
      </c>
      <c r="N1530">
        <v>2328856552</v>
      </c>
      <c r="O1530">
        <v>2255471331</v>
      </c>
      <c r="P1530">
        <v>112</v>
      </c>
      <c r="Q1530" t="s">
        <v>3360</v>
      </c>
    </row>
    <row r="1531" spans="1:17" x14ac:dyDescent="0.3">
      <c r="A1531" t="s">
        <v>17</v>
      </c>
      <c r="B1531" t="str">
        <f>"600746"</f>
        <v>600746</v>
      </c>
      <c r="C1531" t="s">
        <v>3361</v>
      </c>
      <c r="D1531" t="s">
        <v>783</v>
      </c>
      <c r="E1531">
        <v>7516205168</v>
      </c>
      <c r="F1531">
        <v>5077448278</v>
      </c>
      <c r="G1531">
        <v>3576883422</v>
      </c>
      <c r="H1531">
        <v>597374459</v>
      </c>
      <c r="I1531">
        <v>683424400</v>
      </c>
      <c r="J1531">
        <v>762236198</v>
      </c>
      <c r="K1531">
        <v>559175687</v>
      </c>
      <c r="L1531">
        <v>564359411</v>
      </c>
      <c r="M1531">
        <v>612926109</v>
      </c>
      <c r="N1531">
        <v>715710400</v>
      </c>
      <c r="O1531">
        <v>771611210</v>
      </c>
      <c r="P1531">
        <v>230</v>
      </c>
      <c r="Q1531" t="s">
        <v>3362</v>
      </c>
    </row>
    <row r="1532" spans="1:17" x14ac:dyDescent="0.3">
      <c r="A1532" t="s">
        <v>17</v>
      </c>
      <c r="B1532" t="str">
        <f>"600336"</f>
        <v>600336</v>
      </c>
      <c r="C1532" t="s">
        <v>3363</v>
      </c>
      <c r="D1532" t="s">
        <v>323</v>
      </c>
      <c r="E1532">
        <v>7515047234</v>
      </c>
      <c r="F1532">
        <v>8350283869</v>
      </c>
      <c r="G1532">
        <v>7431758512</v>
      </c>
      <c r="H1532">
        <v>6090995463</v>
      </c>
      <c r="I1532">
        <v>4839537406</v>
      </c>
      <c r="J1532">
        <v>4182357738</v>
      </c>
      <c r="K1532">
        <v>3190302147</v>
      </c>
      <c r="L1532">
        <v>3234387440</v>
      </c>
      <c r="M1532">
        <v>3238399290</v>
      </c>
      <c r="N1532">
        <v>3091165806</v>
      </c>
      <c r="O1532">
        <v>2719191350</v>
      </c>
      <c r="P1532">
        <v>223</v>
      </c>
      <c r="Q1532" t="s">
        <v>3364</v>
      </c>
    </row>
    <row r="1533" spans="1:17" x14ac:dyDescent="0.3">
      <c r="A1533" t="s">
        <v>47</v>
      </c>
      <c r="B1533" t="str">
        <f>"300285"</f>
        <v>300285</v>
      </c>
      <c r="C1533" t="s">
        <v>3365</v>
      </c>
      <c r="D1533" t="s">
        <v>710</v>
      </c>
      <c r="E1533">
        <v>7511880182</v>
      </c>
      <c r="F1533">
        <v>6250282846</v>
      </c>
      <c r="G1533">
        <v>4914600955</v>
      </c>
      <c r="H1533">
        <v>4498909630</v>
      </c>
      <c r="I1533">
        <v>3294787552</v>
      </c>
      <c r="J1533">
        <v>2562688754</v>
      </c>
      <c r="K1533">
        <v>1947855096</v>
      </c>
      <c r="L1533">
        <v>944457782</v>
      </c>
      <c r="M1533">
        <v>738937465</v>
      </c>
      <c r="N1533">
        <v>626809361</v>
      </c>
      <c r="O1533">
        <v>549294902</v>
      </c>
      <c r="P1533">
        <v>1537</v>
      </c>
      <c r="Q1533" t="s">
        <v>3366</v>
      </c>
    </row>
    <row r="1534" spans="1:17" x14ac:dyDescent="0.3">
      <c r="A1534" t="s">
        <v>17</v>
      </c>
      <c r="B1534" t="str">
        <f>"600251"</f>
        <v>600251</v>
      </c>
      <c r="C1534" t="s">
        <v>3367</v>
      </c>
      <c r="D1534" t="s">
        <v>3368</v>
      </c>
      <c r="E1534">
        <v>7503450775</v>
      </c>
      <c r="F1534">
        <v>5557107280</v>
      </c>
      <c r="G1534">
        <v>4229727783</v>
      </c>
      <c r="H1534">
        <v>5431692179</v>
      </c>
      <c r="I1534">
        <v>4619198247</v>
      </c>
      <c r="J1534">
        <v>3597014451</v>
      </c>
      <c r="K1534">
        <v>3446392052</v>
      </c>
      <c r="L1534">
        <v>3604441345</v>
      </c>
      <c r="M1534">
        <v>2409977852</v>
      </c>
      <c r="N1534">
        <v>2795770236</v>
      </c>
      <c r="O1534">
        <v>2571238787</v>
      </c>
      <c r="P1534">
        <v>148</v>
      </c>
      <c r="Q1534" t="s">
        <v>3369</v>
      </c>
    </row>
    <row r="1535" spans="1:17" x14ac:dyDescent="0.3">
      <c r="A1535" t="s">
        <v>47</v>
      </c>
      <c r="B1535" t="str">
        <f>"002303"</f>
        <v>002303</v>
      </c>
      <c r="C1535" t="s">
        <v>3370</v>
      </c>
      <c r="D1535" t="s">
        <v>1842</v>
      </c>
      <c r="E1535">
        <v>7498887540</v>
      </c>
      <c r="F1535">
        <v>7200147169</v>
      </c>
      <c r="G1535">
        <v>7282007153</v>
      </c>
      <c r="H1535">
        <v>6321901389</v>
      </c>
      <c r="I1535">
        <v>5990520196</v>
      </c>
      <c r="J1535">
        <v>4888329397</v>
      </c>
      <c r="K1535">
        <v>3159554821</v>
      </c>
      <c r="L1535">
        <v>3058551447</v>
      </c>
      <c r="M1535">
        <v>2676191982</v>
      </c>
      <c r="N1535">
        <v>2160086129</v>
      </c>
      <c r="O1535">
        <v>1996414924</v>
      </c>
      <c r="P1535">
        <v>224</v>
      </c>
      <c r="Q1535" t="s">
        <v>3371</v>
      </c>
    </row>
    <row r="1536" spans="1:17" x14ac:dyDescent="0.3">
      <c r="A1536" t="s">
        <v>17</v>
      </c>
      <c r="B1536" t="str">
        <f>"603123"</f>
        <v>603123</v>
      </c>
      <c r="C1536" t="s">
        <v>3372</v>
      </c>
      <c r="D1536" t="s">
        <v>1073</v>
      </c>
      <c r="E1536">
        <v>7498628531</v>
      </c>
      <c r="F1536">
        <v>7177971401</v>
      </c>
      <c r="G1536">
        <v>5046744955</v>
      </c>
      <c r="H1536">
        <v>5652411299</v>
      </c>
      <c r="I1536">
        <v>5060590811</v>
      </c>
      <c r="J1536">
        <v>5075508474</v>
      </c>
      <c r="K1536">
        <v>5356379392</v>
      </c>
      <c r="L1536">
        <v>4643425311</v>
      </c>
      <c r="M1536">
        <v>3262419293</v>
      </c>
      <c r="N1536">
        <v>3578991591</v>
      </c>
      <c r="O1536">
        <v>3095213477</v>
      </c>
      <c r="P1536">
        <v>100</v>
      </c>
      <c r="Q1536" t="s">
        <v>3373</v>
      </c>
    </row>
    <row r="1537" spans="1:17" x14ac:dyDescent="0.3">
      <c r="A1537" t="s">
        <v>47</v>
      </c>
      <c r="B1537" t="str">
        <f>"300616"</f>
        <v>300616</v>
      </c>
      <c r="C1537" t="s">
        <v>3374</v>
      </c>
      <c r="D1537" t="s">
        <v>1505</v>
      </c>
      <c r="E1537">
        <v>7492529344</v>
      </c>
      <c r="F1537">
        <v>5876268186</v>
      </c>
      <c r="G1537">
        <v>5134729499</v>
      </c>
      <c r="H1537">
        <v>4791932846</v>
      </c>
      <c r="I1537">
        <v>4223647276</v>
      </c>
      <c r="J1537">
        <v>3344647380</v>
      </c>
      <c r="P1537">
        <v>694</v>
      </c>
      <c r="Q1537" t="s">
        <v>3375</v>
      </c>
    </row>
    <row r="1538" spans="1:17" x14ac:dyDescent="0.3">
      <c r="A1538" t="s">
        <v>47</v>
      </c>
      <c r="B1538" t="str">
        <f>"300432"</f>
        <v>300432</v>
      </c>
      <c r="C1538" t="s">
        <v>3376</v>
      </c>
      <c r="D1538" t="s">
        <v>274</v>
      </c>
      <c r="E1538">
        <v>7492309908</v>
      </c>
      <c r="F1538">
        <v>3203707513</v>
      </c>
      <c r="G1538">
        <v>2612342729</v>
      </c>
      <c r="H1538">
        <v>3058670753</v>
      </c>
      <c r="I1538">
        <v>5584702836</v>
      </c>
      <c r="J1538">
        <v>4632395140</v>
      </c>
      <c r="K1538">
        <v>1312709191</v>
      </c>
      <c r="L1538">
        <v>1194975010</v>
      </c>
      <c r="P1538">
        <v>304</v>
      </c>
      <c r="Q1538" t="s">
        <v>3377</v>
      </c>
    </row>
    <row r="1539" spans="1:17" x14ac:dyDescent="0.3">
      <c r="A1539" t="s">
        <v>17</v>
      </c>
      <c r="B1539" t="str">
        <f>"600078"</f>
        <v>600078</v>
      </c>
      <c r="C1539" t="s">
        <v>3378</v>
      </c>
      <c r="D1539" t="s">
        <v>760</v>
      </c>
      <c r="E1539">
        <v>7490252783</v>
      </c>
      <c r="F1539">
        <v>5459774271</v>
      </c>
      <c r="G1539">
        <v>7354661645</v>
      </c>
      <c r="H1539">
        <v>7809365313</v>
      </c>
      <c r="I1539">
        <v>7354993036</v>
      </c>
      <c r="J1539">
        <v>7166459115</v>
      </c>
      <c r="K1539">
        <v>6441980205</v>
      </c>
      <c r="L1539">
        <v>5911538284</v>
      </c>
      <c r="M1539">
        <v>4925220734</v>
      </c>
      <c r="N1539">
        <v>5436319383</v>
      </c>
      <c r="O1539">
        <v>6311789029</v>
      </c>
      <c r="P1539">
        <v>85</v>
      </c>
      <c r="Q1539" t="s">
        <v>3379</v>
      </c>
    </row>
    <row r="1540" spans="1:17" x14ac:dyDescent="0.3">
      <c r="A1540" t="s">
        <v>47</v>
      </c>
      <c r="B1540" t="str">
        <f>"301109"</f>
        <v>301109</v>
      </c>
      <c r="C1540" t="s">
        <v>3380</v>
      </c>
      <c r="E1540">
        <v>7487363388</v>
      </c>
      <c r="P1540">
        <v>3</v>
      </c>
      <c r="Q1540" t="s">
        <v>3381</v>
      </c>
    </row>
    <row r="1541" spans="1:17" x14ac:dyDescent="0.3">
      <c r="A1541" t="s">
        <v>47</v>
      </c>
      <c r="B1541" t="str">
        <f>"000901"</f>
        <v>000901</v>
      </c>
      <c r="C1541" t="s">
        <v>3382</v>
      </c>
      <c r="D1541" t="s">
        <v>1385</v>
      </c>
      <c r="E1541">
        <v>7480935390</v>
      </c>
      <c r="F1541">
        <v>7581360253</v>
      </c>
      <c r="G1541">
        <v>7501278521</v>
      </c>
      <c r="H1541">
        <v>6394919193</v>
      </c>
      <c r="I1541">
        <v>6262133319</v>
      </c>
      <c r="J1541">
        <v>5801393674</v>
      </c>
      <c r="K1541">
        <v>2164330862</v>
      </c>
      <c r="L1541">
        <v>2127299973</v>
      </c>
      <c r="M1541">
        <v>1689218333</v>
      </c>
      <c r="N1541">
        <v>1343592438</v>
      </c>
      <c r="O1541">
        <v>1150081136</v>
      </c>
      <c r="P1541">
        <v>224</v>
      </c>
      <c r="Q1541" t="s">
        <v>3383</v>
      </c>
    </row>
    <row r="1542" spans="1:17" x14ac:dyDescent="0.3">
      <c r="A1542" t="s">
        <v>47</v>
      </c>
      <c r="B1542" t="str">
        <f>"002533"</f>
        <v>002533</v>
      </c>
      <c r="C1542" t="s">
        <v>3384</v>
      </c>
      <c r="D1542" t="s">
        <v>1616</v>
      </c>
      <c r="E1542">
        <v>7474398424</v>
      </c>
      <c r="F1542">
        <v>7227849277</v>
      </c>
      <c r="G1542">
        <v>5594361881</v>
      </c>
      <c r="H1542">
        <v>4085489618</v>
      </c>
      <c r="I1542">
        <v>3346729542</v>
      </c>
      <c r="J1542">
        <v>3116473045</v>
      </c>
      <c r="K1542">
        <v>2961671629</v>
      </c>
      <c r="L1542">
        <v>2804552752</v>
      </c>
      <c r="M1542">
        <v>2602468677</v>
      </c>
      <c r="N1542">
        <v>2360835027</v>
      </c>
      <c r="O1542">
        <v>2206998185</v>
      </c>
      <c r="P1542">
        <v>192</v>
      </c>
      <c r="Q1542" t="s">
        <v>3385</v>
      </c>
    </row>
    <row r="1543" spans="1:17" x14ac:dyDescent="0.3">
      <c r="A1543" t="s">
        <v>47</v>
      </c>
      <c r="B1543" t="str">
        <f>"300033"</f>
        <v>300033</v>
      </c>
      <c r="C1543" t="s">
        <v>3386</v>
      </c>
      <c r="D1543" t="s">
        <v>1859</v>
      </c>
      <c r="E1543">
        <v>7474130708</v>
      </c>
      <c r="F1543">
        <v>6559531569</v>
      </c>
      <c r="G1543">
        <v>5349758152</v>
      </c>
      <c r="H1543">
        <v>4120159135</v>
      </c>
      <c r="I1543">
        <v>3785386609</v>
      </c>
      <c r="J1543">
        <v>3790970646</v>
      </c>
      <c r="K1543">
        <v>3287007069</v>
      </c>
      <c r="L1543">
        <v>1858180343</v>
      </c>
      <c r="M1543">
        <v>1316577169</v>
      </c>
      <c r="N1543">
        <v>1244512477</v>
      </c>
      <c r="O1543">
        <v>1233786249</v>
      </c>
      <c r="P1543">
        <v>2726</v>
      </c>
      <c r="Q1543" t="s">
        <v>3387</v>
      </c>
    </row>
    <row r="1544" spans="1:17" x14ac:dyDescent="0.3">
      <c r="A1544" t="s">
        <v>17</v>
      </c>
      <c r="B1544" t="str">
        <f>"600230"</f>
        <v>600230</v>
      </c>
      <c r="C1544" t="s">
        <v>3388</v>
      </c>
      <c r="D1544" t="s">
        <v>334</v>
      </c>
      <c r="E1544">
        <v>7473772407</v>
      </c>
      <c r="F1544">
        <v>6719808870</v>
      </c>
      <c r="G1544">
        <v>5135145501</v>
      </c>
      <c r="H1544">
        <v>4545921642</v>
      </c>
      <c r="I1544">
        <v>4385315429</v>
      </c>
      <c r="J1544">
        <v>4011311258</v>
      </c>
      <c r="K1544">
        <v>3884168573</v>
      </c>
      <c r="L1544">
        <v>4642232760</v>
      </c>
      <c r="M1544">
        <v>4561796219</v>
      </c>
      <c r="N1544">
        <v>4573278127</v>
      </c>
      <c r="O1544">
        <v>4793531561</v>
      </c>
      <c r="P1544">
        <v>382</v>
      </c>
      <c r="Q1544" t="s">
        <v>3389</v>
      </c>
    </row>
    <row r="1545" spans="1:17" x14ac:dyDescent="0.3">
      <c r="A1545" t="s">
        <v>47</v>
      </c>
      <c r="B1545" t="str">
        <f>"300102"</f>
        <v>300102</v>
      </c>
      <c r="C1545" t="s">
        <v>3390</v>
      </c>
      <c r="D1545" t="s">
        <v>862</v>
      </c>
      <c r="E1545">
        <v>7470534242</v>
      </c>
      <c r="F1545">
        <v>6159193297</v>
      </c>
      <c r="G1545">
        <v>6749842930</v>
      </c>
      <c r="H1545">
        <v>6292485694</v>
      </c>
      <c r="I1545">
        <v>5300636533</v>
      </c>
      <c r="J1545">
        <v>3311578481</v>
      </c>
      <c r="K1545">
        <v>3300113301</v>
      </c>
      <c r="L1545">
        <v>2098242789</v>
      </c>
      <c r="M1545">
        <v>2006086062</v>
      </c>
      <c r="N1545">
        <v>1898916324</v>
      </c>
      <c r="O1545">
        <v>1851116086</v>
      </c>
      <c r="P1545">
        <v>158</v>
      </c>
      <c r="Q1545" t="s">
        <v>3391</v>
      </c>
    </row>
    <row r="1546" spans="1:17" x14ac:dyDescent="0.3">
      <c r="A1546" t="s">
        <v>17</v>
      </c>
      <c r="B1546" t="str">
        <f>"603444"</f>
        <v>603444</v>
      </c>
      <c r="C1546" t="s">
        <v>3392</v>
      </c>
      <c r="D1546" t="s">
        <v>1032</v>
      </c>
      <c r="E1546">
        <v>7469722617</v>
      </c>
      <c r="F1546">
        <v>6127708374</v>
      </c>
      <c r="G1546">
        <v>4872146924</v>
      </c>
      <c r="H1546">
        <v>4229694344</v>
      </c>
      <c r="I1546">
        <v>3302436062</v>
      </c>
      <c r="J1546">
        <v>2673067803</v>
      </c>
      <c r="P1546">
        <v>4237</v>
      </c>
      <c r="Q1546" t="s">
        <v>3393</v>
      </c>
    </row>
    <row r="1547" spans="1:17" x14ac:dyDescent="0.3">
      <c r="A1547" t="s">
        <v>47</v>
      </c>
      <c r="B1547" t="str">
        <f>"300253"</f>
        <v>300253</v>
      </c>
      <c r="C1547" t="s">
        <v>3394</v>
      </c>
      <c r="D1547" t="s">
        <v>1859</v>
      </c>
      <c r="E1547">
        <v>7459281143</v>
      </c>
      <c r="F1547">
        <v>6802457169</v>
      </c>
      <c r="G1547">
        <v>5004678145</v>
      </c>
      <c r="H1547">
        <v>4226795054</v>
      </c>
      <c r="I1547">
        <v>3636193673</v>
      </c>
      <c r="J1547">
        <v>3414092075</v>
      </c>
      <c r="K1547">
        <v>2599260337</v>
      </c>
      <c r="L1547">
        <v>1202855492</v>
      </c>
      <c r="M1547">
        <v>730086948</v>
      </c>
      <c r="N1547">
        <v>613128178</v>
      </c>
      <c r="O1547">
        <v>515765874</v>
      </c>
      <c r="P1547">
        <v>935</v>
      </c>
      <c r="Q1547" t="s">
        <v>3395</v>
      </c>
    </row>
    <row r="1548" spans="1:17" x14ac:dyDescent="0.3">
      <c r="A1548" t="s">
        <v>17</v>
      </c>
      <c r="B1548" t="str">
        <f>"600397"</f>
        <v>600397</v>
      </c>
      <c r="C1548" t="s">
        <v>3396</v>
      </c>
      <c r="D1548" t="s">
        <v>141</v>
      </c>
      <c r="E1548">
        <v>7448969222</v>
      </c>
      <c r="F1548">
        <v>7767956610</v>
      </c>
      <c r="G1548">
        <v>6920301131</v>
      </c>
      <c r="H1548">
        <v>6692998128</v>
      </c>
      <c r="I1548">
        <v>6799432530</v>
      </c>
      <c r="J1548">
        <v>7335647942</v>
      </c>
      <c r="K1548">
        <v>10866081506</v>
      </c>
      <c r="L1548">
        <v>9420081843</v>
      </c>
      <c r="M1548">
        <v>9566854461</v>
      </c>
      <c r="N1548">
        <v>8664526983</v>
      </c>
      <c r="O1548">
        <v>8048166473</v>
      </c>
      <c r="P1548">
        <v>91</v>
      </c>
      <c r="Q1548" t="s">
        <v>3397</v>
      </c>
    </row>
    <row r="1549" spans="1:17" x14ac:dyDescent="0.3">
      <c r="A1549" t="s">
        <v>47</v>
      </c>
      <c r="B1549" t="str">
        <f>"002155"</f>
        <v>002155</v>
      </c>
      <c r="C1549" t="s">
        <v>3398</v>
      </c>
      <c r="D1549" t="s">
        <v>600</v>
      </c>
      <c r="E1549">
        <v>7447397362</v>
      </c>
      <c r="F1549">
        <v>6974056782</v>
      </c>
      <c r="G1549">
        <v>6970322123</v>
      </c>
      <c r="H1549">
        <v>7227676441</v>
      </c>
      <c r="I1549">
        <v>6819625046</v>
      </c>
      <c r="J1549">
        <v>6469429283</v>
      </c>
      <c r="K1549">
        <v>5784684858</v>
      </c>
      <c r="L1549">
        <v>5780250503</v>
      </c>
      <c r="M1549">
        <v>4433976660</v>
      </c>
      <c r="N1549">
        <v>4153502531</v>
      </c>
      <c r="O1549">
        <v>3755708414</v>
      </c>
      <c r="P1549">
        <v>219</v>
      </c>
      <c r="Q1549" t="s">
        <v>3399</v>
      </c>
    </row>
    <row r="1550" spans="1:17" x14ac:dyDescent="0.3">
      <c r="A1550" t="s">
        <v>47</v>
      </c>
      <c r="B1550" t="str">
        <f>"002697"</f>
        <v>002697</v>
      </c>
      <c r="C1550" t="s">
        <v>3400</v>
      </c>
      <c r="D1550" t="s">
        <v>692</v>
      </c>
      <c r="E1550">
        <v>7447160931</v>
      </c>
      <c r="F1550">
        <v>7137636942</v>
      </c>
      <c r="G1550">
        <v>5465748887</v>
      </c>
      <c r="H1550">
        <v>4631114868</v>
      </c>
      <c r="I1550">
        <v>4333613265</v>
      </c>
      <c r="J1550">
        <v>4129565475</v>
      </c>
      <c r="K1550">
        <v>3681194176</v>
      </c>
      <c r="L1550">
        <v>3221856101</v>
      </c>
      <c r="M1550">
        <v>2914253733</v>
      </c>
      <c r="N1550">
        <v>2682169133</v>
      </c>
      <c r="P1550">
        <v>503</v>
      </c>
      <c r="Q1550" t="s">
        <v>3401</v>
      </c>
    </row>
    <row r="1551" spans="1:17" x14ac:dyDescent="0.3">
      <c r="A1551" t="s">
        <v>47</v>
      </c>
      <c r="B1551" t="str">
        <f>"002818"</f>
        <v>002818</v>
      </c>
      <c r="C1551" t="s">
        <v>3402</v>
      </c>
      <c r="D1551" t="s">
        <v>454</v>
      </c>
      <c r="E1551">
        <v>7426090697</v>
      </c>
      <c r="F1551">
        <v>6851969429</v>
      </c>
      <c r="G1551">
        <v>6023037058</v>
      </c>
      <c r="H1551">
        <v>5865561531</v>
      </c>
      <c r="I1551">
        <v>5501391824</v>
      </c>
      <c r="J1551">
        <v>4933984385</v>
      </c>
      <c r="P1551">
        <v>868</v>
      </c>
      <c r="Q1551" t="s">
        <v>3403</v>
      </c>
    </row>
    <row r="1552" spans="1:17" x14ac:dyDescent="0.3">
      <c r="A1552" t="s">
        <v>47</v>
      </c>
      <c r="B1552" t="str">
        <f>"000572"</f>
        <v>000572</v>
      </c>
      <c r="C1552" t="s">
        <v>3404</v>
      </c>
      <c r="D1552" t="s">
        <v>114</v>
      </c>
      <c r="E1552">
        <v>7425592974</v>
      </c>
      <c r="F1552">
        <v>8644033913</v>
      </c>
      <c r="G1552">
        <v>10014872972</v>
      </c>
      <c r="H1552">
        <v>11011460335</v>
      </c>
      <c r="I1552">
        <v>14464040923</v>
      </c>
      <c r="J1552">
        <v>17808288001</v>
      </c>
      <c r="K1552">
        <v>16767116506</v>
      </c>
      <c r="L1552">
        <v>16443297617</v>
      </c>
      <c r="M1552">
        <v>13799500521</v>
      </c>
      <c r="N1552">
        <v>12519192491</v>
      </c>
      <c r="O1552">
        <v>12997056700</v>
      </c>
      <c r="P1552">
        <v>151</v>
      </c>
      <c r="Q1552" t="s">
        <v>3405</v>
      </c>
    </row>
    <row r="1553" spans="1:17" x14ac:dyDescent="0.3">
      <c r="A1553" t="s">
        <v>47</v>
      </c>
      <c r="B1553" t="str">
        <f>"000911"</f>
        <v>000911</v>
      </c>
      <c r="C1553" t="s">
        <v>3406</v>
      </c>
      <c r="D1553" t="s">
        <v>1708</v>
      </c>
      <c r="E1553">
        <v>7420970619</v>
      </c>
      <c r="F1553">
        <v>5916125202</v>
      </c>
      <c r="G1553">
        <v>5900330437</v>
      </c>
      <c r="H1553">
        <v>7242641227</v>
      </c>
      <c r="I1553">
        <v>8243625864</v>
      </c>
      <c r="J1553">
        <v>7868784736</v>
      </c>
      <c r="K1553">
        <v>6565341687</v>
      </c>
      <c r="L1553">
        <v>5336885074</v>
      </c>
      <c r="M1553">
        <v>6354471556</v>
      </c>
      <c r="N1553">
        <v>6166121990</v>
      </c>
      <c r="O1553">
        <v>5508861235</v>
      </c>
      <c r="P1553">
        <v>334</v>
      </c>
      <c r="Q1553" t="s">
        <v>3407</v>
      </c>
    </row>
    <row r="1554" spans="1:17" x14ac:dyDescent="0.3">
      <c r="A1554" t="s">
        <v>47</v>
      </c>
      <c r="B1554" t="str">
        <f>"002756"</f>
        <v>002756</v>
      </c>
      <c r="C1554" t="s">
        <v>3408</v>
      </c>
      <c r="D1554" t="s">
        <v>555</v>
      </c>
      <c r="E1554">
        <v>7420962738</v>
      </c>
      <c r="F1554">
        <v>5580876179</v>
      </c>
      <c r="G1554">
        <v>4646745779</v>
      </c>
      <c r="H1554">
        <v>4384713531</v>
      </c>
      <c r="I1554">
        <v>4222228050</v>
      </c>
      <c r="J1554">
        <v>3616466993</v>
      </c>
      <c r="K1554">
        <v>3204555124</v>
      </c>
      <c r="L1554">
        <v>2066175771</v>
      </c>
      <c r="P1554">
        <v>307</v>
      </c>
      <c r="Q1554" t="s">
        <v>3409</v>
      </c>
    </row>
    <row r="1555" spans="1:17" x14ac:dyDescent="0.3">
      <c r="A1555" t="s">
        <v>47</v>
      </c>
      <c r="B1555" t="str">
        <f>"300496"</f>
        <v>300496</v>
      </c>
      <c r="C1555" t="s">
        <v>3410</v>
      </c>
      <c r="D1555" t="s">
        <v>700</v>
      </c>
      <c r="E1555">
        <v>7420758099</v>
      </c>
      <c r="F1555">
        <v>6062071924</v>
      </c>
      <c r="G1555">
        <v>3350112212</v>
      </c>
      <c r="H1555">
        <v>2497771261</v>
      </c>
      <c r="I1555">
        <v>2337887227</v>
      </c>
      <c r="J1555">
        <v>2527802124</v>
      </c>
      <c r="K1555">
        <v>1274137595</v>
      </c>
      <c r="L1555">
        <v>437025775</v>
      </c>
      <c r="P1555">
        <v>1141</v>
      </c>
      <c r="Q1555" t="s">
        <v>3411</v>
      </c>
    </row>
    <row r="1556" spans="1:17" x14ac:dyDescent="0.3">
      <c r="A1556" t="s">
        <v>17</v>
      </c>
      <c r="B1556" t="str">
        <f>"688363"</f>
        <v>688363</v>
      </c>
      <c r="C1556" t="s">
        <v>3412</v>
      </c>
      <c r="D1556" t="s">
        <v>3413</v>
      </c>
      <c r="E1556">
        <v>7414325261</v>
      </c>
      <c r="F1556">
        <v>6052083652</v>
      </c>
      <c r="G1556">
        <v>5031639091</v>
      </c>
      <c r="H1556">
        <v>2097556900</v>
      </c>
      <c r="P1556">
        <v>1156</v>
      </c>
      <c r="Q1556" t="s">
        <v>3414</v>
      </c>
    </row>
    <row r="1557" spans="1:17" x14ac:dyDescent="0.3">
      <c r="A1557" t="s">
        <v>17</v>
      </c>
      <c r="B1557" t="str">
        <f>"603517"</f>
        <v>603517</v>
      </c>
      <c r="C1557" t="s">
        <v>3415</v>
      </c>
      <c r="D1557" t="s">
        <v>3416</v>
      </c>
      <c r="E1557">
        <v>7402083335</v>
      </c>
      <c r="F1557">
        <v>6226387890</v>
      </c>
      <c r="G1557">
        <v>5420291681</v>
      </c>
      <c r="H1557">
        <v>4977976830</v>
      </c>
      <c r="I1557">
        <v>3226102020</v>
      </c>
      <c r="J1557">
        <v>2879257699</v>
      </c>
      <c r="P1557">
        <v>2367</v>
      </c>
      <c r="Q1557" t="s">
        <v>3417</v>
      </c>
    </row>
    <row r="1558" spans="1:17" x14ac:dyDescent="0.3">
      <c r="A1558" t="s">
        <v>17</v>
      </c>
      <c r="B1558" t="str">
        <f>"600173"</f>
        <v>600173</v>
      </c>
      <c r="C1558" t="s">
        <v>3418</v>
      </c>
      <c r="D1558" t="s">
        <v>76</v>
      </c>
      <c r="E1558">
        <v>7396146663</v>
      </c>
      <c r="F1558">
        <v>8043254387</v>
      </c>
      <c r="G1558">
        <v>7624252226</v>
      </c>
      <c r="H1558">
        <v>6515583887</v>
      </c>
      <c r="I1558">
        <v>5630094210</v>
      </c>
      <c r="J1558">
        <v>4204004165</v>
      </c>
      <c r="K1558">
        <v>4186006525</v>
      </c>
      <c r="L1558">
        <v>4408587101</v>
      </c>
      <c r="M1558">
        <v>4087120503</v>
      </c>
      <c r="N1558">
        <v>3407720761</v>
      </c>
      <c r="O1558">
        <v>2893609291</v>
      </c>
      <c r="P1558">
        <v>302</v>
      </c>
      <c r="Q1558" t="s">
        <v>3419</v>
      </c>
    </row>
    <row r="1559" spans="1:17" x14ac:dyDescent="0.3">
      <c r="A1559" t="s">
        <v>47</v>
      </c>
      <c r="B1559" t="str">
        <f>"002913"</f>
        <v>002913</v>
      </c>
      <c r="C1559" t="s">
        <v>3420</v>
      </c>
      <c r="D1559" t="s">
        <v>1115</v>
      </c>
      <c r="E1559">
        <v>7394110584</v>
      </c>
      <c r="F1559">
        <v>5297075580</v>
      </c>
      <c r="G1559">
        <v>3870165960</v>
      </c>
      <c r="H1559">
        <v>3150930391</v>
      </c>
      <c r="I1559">
        <v>2832295675</v>
      </c>
      <c r="P1559">
        <v>205</v>
      </c>
      <c r="Q1559" t="s">
        <v>3421</v>
      </c>
    </row>
    <row r="1560" spans="1:17" x14ac:dyDescent="0.3">
      <c r="A1560" t="s">
        <v>47</v>
      </c>
      <c r="B1560" t="str">
        <f>"002538"</f>
        <v>002538</v>
      </c>
      <c r="C1560" t="s">
        <v>3422</v>
      </c>
      <c r="D1560" t="s">
        <v>2175</v>
      </c>
      <c r="E1560">
        <v>7393562667</v>
      </c>
      <c r="F1560">
        <v>6888092684</v>
      </c>
      <c r="G1560">
        <v>5736012426</v>
      </c>
      <c r="H1560">
        <v>5148714211</v>
      </c>
      <c r="I1560">
        <v>4977208111</v>
      </c>
      <c r="J1560">
        <v>4814598156</v>
      </c>
      <c r="K1560">
        <v>4251571505</v>
      </c>
      <c r="L1560">
        <v>3645621788</v>
      </c>
      <c r="M1560">
        <v>3157338790</v>
      </c>
      <c r="N1560">
        <v>2803874433</v>
      </c>
      <c r="O1560">
        <v>2176459001</v>
      </c>
      <c r="P1560">
        <v>174</v>
      </c>
      <c r="Q1560" t="s">
        <v>3423</v>
      </c>
    </row>
    <row r="1561" spans="1:17" x14ac:dyDescent="0.3">
      <c r="A1561" t="s">
        <v>47</v>
      </c>
      <c r="B1561" t="str">
        <f>"002313"</f>
        <v>002313</v>
      </c>
      <c r="C1561" t="s">
        <v>3424</v>
      </c>
      <c r="D1561" t="s">
        <v>962</v>
      </c>
      <c r="E1561">
        <v>7389096371</v>
      </c>
      <c r="F1561">
        <v>7675895179</v>
      </c>
      <c r="G1561">
        <v>7210999444</v>
      </c>
      <c r="H1561">
        <v>6867451433</v>
      </c>
      <c r="I1561">
        <v>5439971080</v>
      </c>
      <c r="J1561">
        <v>3686380510</v>
      </c>
      <c r="K1561">
        <v>4007729213</v>
      </c>
      <c r="L1561">
        <v>4371665332</v>
      </c>
      <c r="M1561">
        <v>4164250809</v>
      </c>
      <c r="N1561">
        <v>3313641268</v>
      </c>
      <c r="O1561">
        <v>1855039809</v>
      </c>
      <c r="P1561">
        <v>243</v>
      </c>
      <c r="Q1561" t="s">
        <v>3425</v>
      </c>
    </row>
    <row r="1562" spans="1:17" x14ac:dyDescent="0.3">
      <c r="A1562" t="s">
        <v>17</v>
      </c>
      <c r="B1562" t="str">
        <f>"603815"</f>
        <v>603815</v>
      </c>
      <c r="C1562" t="s">
        <v>3426</v>
      </c>
      <c r="D1562" t="s">
        <v>84</v>
      </c>
      <c r="E1562">
        <v>7384097633</v>
      </c>
      <c r="F1562">
        <v>5026418269</v>
      </c>
      <c r="G1562">
        <v>4633129633</v>
      </c>
      <c r="P1562">
        <v>85</v>
      </c>
      <c r="Q1562" t="s">
        <v>3427</v>
      </c>
    </row>
    <row r="1563" spans="1:17" x14ac:dyDescent="0.3">
      <c r="A1563" t="s">
        <v>17</v>
      </c>
      <c r="B1563" t="str">
        <f>"601126"</f>
        <v>601126</v>
      </c>
      <c r="C1563" t="s">
        <v>3428</v>
      </c>
      <c r="D1563" t="s">
        <v>679</v>
      </c>
      <c r="E1563">
        <v>7382423100</v>
      </c>
      <c r="F1563">
        <v>6998502503</v>
      </c>
      <c r="G1563">
        <v>5852703912</v>
      </c>
      <c r="H1563">
        <v>5441783461</v>
      </c>
      <c r="I1563">
        <v>5383464205</v>
      </c>
      <c r="J1563">
        <v>5629422736</v>
      </c>
      <c r="K1563">
        <v>5372410510</v>
      </c>
      <c r="L1563">
        <v>5152487648</v>
      </c>
      <c r="M1563">
        <v>4593442632</v>
      </c>
      <c r="N1563">
        <v>4177955555</v>
      </c>
      <c r="O1563">
        <v>3396479180</v>
      </c>
      <c r="P1563">
        <v>279</v>
      </c>
      <c r="Q1563" t="s">
        <v>3429</v>
      </c>
    </row>
    <row r="1564" spans="1:17" x14ac:dyDescent="0.3">
      <c r="A1564" t="s">
        <v>47</v>
      </c>
      <c r="B1564" t="str">
        <f>"300628"</f>
        <v>300628</v>
      </c>
      <c r="C1564" t="s">
        <v>3430</v>
      </c>
      <c r="D1564" t="s">
        <v>962</v>
      </c>
      <c r="E1564">
        <v>7380630556</v>
      </c>
      <c r="F1564">
        <v>6111789322</v>
      </c>
      <c r="G1564">
        <v>5261638519</v>
      </c>
      <c r="H1564">
        <v>3930434173</v>
      </c>
      <c r="I1564">
        <v>3165564964</v>
      </c>
      <c r="J1564">
        <v>2642069362</v>
      </c>
      <c r="P1564">
        <v>2264</v>
      </c>
      <c r="Q1564" t="s">
        <v>3431</v>
      </c>
    </row>
    <row r="1565" spans="1:17" x14ac:dyDescent="0.3">
      <c r="A1565" t="s">
        <v>47</v>
      </c>
      <c r="B1565" t="str">
        <f>"000862"</f>
        <v>000862</v>
      </c>
      <c r="C1565" t="s">
        <v>3432</v>
      </c>
      <c r="D1565" t="s">
        <v>298</v>
      </c>
      <c r="E1565">
        <v>7375620914</v>
      </c>
      <c r="F1565">
        <v>8920761996</v>
      </c>
      <c r="G1565">
        <v>9186999875</v>
      </c>
      <c r="H1565">
        <v>9559355377</v>
      </c>
      <c r="I1565">
        <v>9135148507</v>
      </c>
      <c r="J1565">
        <v>9851270429</v>
      </c>
      <c r="K1565">
        <v>9173527285</v>
      </c>
      <c r="L1565">
        <v>9566441761</v>
      </c>
      <c r="M1565">
        <v>4714529974</v>
      </c>
      <c r="N1565">
        <v>5062366303</v>
      </c>
      <c r="O1565">
        <v>5526782838</v>
      </c>
      <c r="P1565">
        <v>171</v>
      </c>
      <c r="Q1565" t="s">
        <v>3433</v>
      </c>
    </row>
    <row r="1566" spans="1:17" x14ac:dyDescent="0.3">
      <c r="A1566" t="s">
        <v>17</v>
      </c>
      <c r="B1566" t="str">
        <f>"600562"</f>
        <v>600562</v>
      </c>
      <c r="C1566" t="s">
        <v>3434</v>
      </c>
      <c r="D1566" t="s">
        <v>1385</v>
      </c>
      <c r="E1566">
        <v>7359140135</v>
      </c>
      <c r="F1566">
        <v>8357497578</v>
      </c>
      <c r="G1566">
        <v>2969808923</v>
      </c>
      <c r="H1566">
        <v>2872435100</v>
      </c>
      <c r="I1566">
        <v>2676184853</v>
      </c>
      <c r="J1566">
        <v>2393610177</v>
      </c>
      <c r="K1566">
        <v>1757397686</v>
      </c>
      <c r="L1566">
        <v>1441670918</v>
      </c>
      <c r="M1566">
        <v>1284787312</v>
      </c>
      <c r="N1566">
        <v>646605179</v>
      </c>
      <c r="O1566">
        <v>607583446</v>
      </c>
      <c r="P1566">
        <v>283</v>
      </c>
      <c r="Q1566" t="s">
        <v>3435</v>
      </c>
    </row>
    <row r="1567" spans="1:17" x14ac:dyDescent="0.3">
      <c r="A1567" t="s">
        <v>17</v>
      </c>
      <c r="B1567" t="str">
        <f>"600551"</f>
        <v>600551</v>
      </c>
      <c r="C1567" t="s">
        <v>3436</v>
      </c>
      <c r="D1567" t="s">
        <v>1288</v>
      </c>
      <c r="E1567">
        <v>7356675573</v>
      </c>
      <c r="F1567">
        <v>7010730009</v>
      </c>
      <c r="G1567">
        <v>6799300502</v>
      </c>
      <c r="H1567">
        <v>6746087675</v>
      </c>
      <c r="I1567">
        <v>6765271100</v>
      </c>
      <c r="J1567">
        <v>8061155586</v>
      </c>
      <c r="K1567">
        <v>6632704775</v>
      </c>
      <c r="L1567">
        <v>6028308450</v>
      </c>
      <c r="M1567">
        <v>5396013197</v>
      </c>
      <c r="N1567">
        <v>4722142235</v>
      </c>
      <c r="O1567">
        <v>4157353054</v>
      </c>
      <c r="P1567">
        <v>134</v>
      </c>
      <c r="Q1567" t="s">
        <v>3437</v>
      </c>
    </row>
    <row r="1568" spans="1:17" x14ac:dyDescent="0.3">
      <c r="A1568" t="s">
        <v>17</v>
      </c>
      <c r="B1568" t="str">
        <f>"601010"</f>
        <v>601010</v>
      </c>
      <c r="C1568" t="s">
        <v>3438</v>
      </c>
      <c r="D1568" t="s">
        <v>780</v>
      </c>
      <c r="E1568">
        <v>7335329109</v>
      </c>
      <c r="F1568">
        <v>7096213122</v>
      </c>
      <c r="G1568">
        <v>6544686763</v>
      </c>
      <c r="H1568">
        <v>6298018165</v>
      </c>
      <c r="I1568">
        <v>6334135019</v>
      </c>
      <c r="J1568">
        <v>6462770215</v>
      </c>
      <c r="K1568">
        <v>6692339841</v>
      </c>
      <c r="L1568">
        <v>6777772285</v>
      </c>
      <c r="M1568">
        <v>6689882570</v>
      </c>
      <c r="N1568">
        <v>6212713337</v>
      </c>
      <c r="O1568">
        <v>5088696118</v>
      </c>
      <c r="P1568">
        <v>94</v>
      </c>
      <c r="Q1568" t="s">
        <v>3439</v>
      </c>
    </row>
    <row r="1569" spans="1:17" x14ac:dyDescent="0.3">
      <c r="A1569" t="s">
        <v>17</v>
      </c>
      <c r="B1569" t="str">
        <f>"603556"</f>
        <v>603556</v>
      </c>
      <c r="C1569" t="s">
        <v>3440</v>
      </c>
      <c r="D1569" t="s">
        <v>2197</v>
      </c>
      <c r="E1569">
        <v>7331926406</v>
      </c>
      <c r="F1569">
        <v>7081574710</v>
      </c>
      <c r="G1569">
        <v>6659602869</v>
      </c>
      <c r="H1569">
        <v>6395509113</v>
      </c>
      <c r="I1569">
        <v>6313603884</v>
      </c>
      <c r="J1569">
        <v>5541231663</v>
      </c>
      <c r="P1569">
        <v>218</v>
      </c>
      <c r="Q1569" t="s">
        <v>3441</v>
      </c>
    </row>
    <row r="1570" spans="1:17" x14ac:dyDescent="0.3">
      <c r="A1570" t="s">
        <v>47</v>
      </c>
      <c r="B1570" t="str">
        <f>"000925"</f>
        <v>000925</v>
      </c>
      <c r="C1570" t="s">
        <v>3442</v>
      </c>
      <c r="D1570" t="s">
        <v>193</v>
      </c>
      <c r="E1570">
        <v>7327557496</v>
      </c>
      <c r="F1570">
        <v>6557305784</v>
      </c>
      <c r="G1570">
        <v>7448793132</v>
      </c>
      <c r="H1570">
        <v>6431640724</v>
      </c>
      <c r="I1570">
        <v>5908319712</v>
      </c>
      <c r="J1570">
        <v>3789411831</v>
      </c>
      <c r="K1570">
        <v>3785664758</v>
      </c>
      <c r="L1570">
        <v>3772516881</v>
      </c>
      <c r="M1570">
        <v>3046333186</v>
      </c>
      <c r="N1570">
        <v>2979225988</v>
      </c>
      <c r="O1570">
        <v>3043015202</v>
      </c>
      <c r="P1570">
        <v>188</v>
      </c>
      <c r="Q1570" t="s">
        <v>3443</v>
      </c>
    </row>
    <row r="1571" spans="1:17" x14ac:dyDescent="0.3">
      <c r="A1571" t="s">
        <v>47</v>
      </c>
      <c r="B1571" t="str">
        <f>"002320"</f>
        <v>002320</v>
      </c>
      <c r="C1571" t="s">
        <v>3444</v>
      </c>
      <c r="D1571" t="s">
        <v>176</v>
      </c>
      <c r="E1571">
        <v>7321193036</v>
      </c>
      <c r="F1571">
        <v>4351362182</v>
      </c>
      <c r="G1571">
        <v>4152763953</v>
      </c>
      <c r="H1571">
        <v>4082828555</v>
      </c>
      <c r="I1571">
        <v>4112710788</v>
      </c>
      <c r="J1571">
        <v>3832691210</v>
      </c>
      <c r="K1571">
        <v>2354509617</v>
      </c>
      <c r="L1571">
        <v>2311992797</v>
      </c>
      <c r="M1571">
        <v>1970799977</v>
      </c>
      <c r="N1571">
        <v>1983561006</v>
      </c>
      <c r="O1571">
        <v>1997309855</v>
      </c>
      <c r="P1571">
        <v>174</v>
      </c>
      <c r="Q1571" t="s">
        <v>3445</v>
      </c>
    </row>
    <row r="1572" spans="1:17" x14ac:dyDescent="0.3">
      <c r="A1572" t="s">
        <v>47</v>
      </c>
      <c r="B1572" t="str">
        <f>"002511"</f>
        <v>002511</v>
      </c>
      <c r="C1572" t="s">
        <v>3446</v>
      </c>
      <c r="D1572" t="s">
        <v>2299</v>
      </c>
      <c r="E1572">
        <v>7319188356</v>
      </c>
      <c r="F1572">
        <v>7327573420</v>
      </c>
      <c r="G1572">
        <v>6131890290</v>
      </c>
      <c r="H1572">
        <v>5410673731</v>
      </c>
      <c r="I1572">
        <v>5088373838</v>
      </c>
      <c r="J1572">
        <v>4517637444</v>
      </c>
      <c r="K1572">
        <v>4553130074</v>
      </c>
      <c r="L1572">
        <v>4430533116</v>
      </c>
      <c r="M1572">
        <v>4337415911</v>
      </c>
      <c r="N1572">
        <v>4269263825</v>
      </c>
      <c r="O1572">
        <v>2785428663</v>
      </c>
      <c r="P1572">
        <v>2513</v>
      </c>
      <c r="Q1572" t="s">
        <v>3447</v>
      </c>
    </row>
    <row r="1573" spans="1:17" x14ac:dyDescent="0.3">
      <c r="A1573" t="s">
        <v>17</v>
      </c>
      <c r="B1573" t="str">
        <f>"603916"</f>
        <v>603916</v>
      </c>
      <c r="C1573" t="s">
        <v>3448</v>
      </c>
      <c r="D1573" t="s">
        <v>710</v>
      </c>
      <c r="E1573">
        <v>7315104093</v>
      </c>
      <c r="F1573">
        <v>6383968565</v>
      </c>
      <c r="G1573">
        <v>5796976662</v>
      </c>
      <c r="H1573">
        <v>3616593841</v>
      </c>
      <c r="I1573">
        <v>2759901574</v>
      </c>
      <c r="J1573">
        <v>2258715653</v>
      </c>
      <c r="P1573">
        <v>273</v>
      </c>
      <c r="Q1573" t="s">
        <v>3449</v>
      </c>
    </row>
    <row r="1574" spans="1:17" x14ac:dyDescent="0.3">
      <c r="A1574" t="s">
        <v>17</v>
      </c>
      <c r="B1574" t="str">
        <f>"600867"</f>
        <v>600867</v>
      </c>
      <c r="C1574" t="s">
        <v>3450</v>
      </c>
      <c r="D1574" t="s">
        <v>1480</v>
      </c>
      <c r="E1574">
        <v>7303544733</v>
      </c>
      <c r="F1574">
        <v>6131589003</v>
      </c>
      <c r="G1574">
        <v>5836597144</v>
      </c>
      <c r="H1574">
        <v>6006384525</v>
      </c>
      <c r="I1574">
        <v>5039564247</v>
      </c>
      <c r="J1574">
        <v>4759154213</v>
      </c>
      <c r="K1574">
        <v>3942583405</v>
      </c>
      <c r="L1574">
        <v>3064632426</v>
      </c>
      <c r="M1574">
        <v>2661843628</v>
      </c>
      <c r="N1574">
        <v>2522942345</v>
      </c>
      <c r="O1574">
        <v>2441165561</v>
      </c>
      <c r="P1574">
        <v>2948</v>
      </c>
      <c r="Q1574" t="s">
        <v>3451</v>
      </c>
    </row>
    <row r="1575" spans="1:17" x14ac:dyDescent="0.3">
      <c r="A1575" t="s">
        <v>47</v>
      </c>
      <c r="B1575" t="str">
        <f>"002773"</f>
        <v>002773</v>
      </c>
      <c r="C1575" t="s">
        <v>3452</v>
      </c>
      <c r="D1575" t="s">
        <v>550</v>
      </c>
      <c r="E1575">
        <v>7289467387</v>
      </c>
      <c r="F1575">
        <v>7087273271</v>
      </c>
      <c r="G1575">
        <v>7440664258</v>
      </c>
      <c r="H1575">
        <v>5345864761</v>
      </c>
      <c r="I1575">
        <v>4783289067</v>
      </c>
      <c r="J1575">
        <v>3985218321</v>
      </c>
      <c r="K1575">
        <v>3187445284</v>
      </c>
      <c r="L1575">
        <v>1983427900</v>
      </c>
      <c r="P1575">
        <v>5281</v>
      </c>
      <c r="Q1575" t="s">
        <v>3453</v>
      </c>
    </row>
    <row r="1576" spans="1:17" x14ac:dyDescent="0.3">
      <c r="A1576" t="s">
        <v>17</v>
      </c>
      <c r="B1576" t="str">
        <f>"600106"</f>
        <v>600106</v>
      </c>
      <c r="C1576" t="s">
        <v>3454</v>
      </c>
      <c r="D1576" t="s">
        <v>471</v>
      </c>
      <c r="E1576">
        <v>7284753645</v>
      </c>
      <c r="F1576">
        <v>7537494387</v>
      </c>
      <c r="G1576">
        <v>6271884955</v>
      </c>
      <c r="H1576">
        <v>6550083051</v>
      </c>
      <c r="I1576">
        <v>6800436050</v>
      </c>
      <c r="J1576">
        <v>6862834807</v>
      </c>
      <c r="K1576">
        <v>6785641214</v>
      </c>
      <c r="L1576">
        <v>6996803439</v>
      </c>
      <c r="M1576">
        <v>5786349870</v>
      </c>
      <c r="N1576">
        <v>5912306385</v>
      </c>
      <c r="O1576">
        <v>5406109566</v>
      </c>
      <c r="P1576">
        <v>145</v>
      </c>
      <c r="Q1576" t="s">
        <v>3455</v>
      </c>
    </row>
    <row r="1577" spans="1:17" x14ac:dyDescent="0.3">
      <c r="A1577" t="s">
        <v>17</v>
      </c>
      <c r="B1577" t="str">
        <f>"600552"</f>
        <v>600552</v>
      </c>
      <c r="C1577" t="s">
        <v>3456</v>
      </c>
      <c r="D1577" t="s">
        <v>181</v>
      </c>
      <c r="E1577">
        <v>7272307139</v>
      </c>
      <c r="F1577">
        <v>8262786007</v>
      </c>
      <c r="G1577">
        <v>7204387985</v>
      </c>
      <c r="H1577">
        <v>6275751313</v>
      </c>
      <c r="I1577">
        <v>5318966727</v>
      </c>
      <c r="J1577">
        <v>4995266657</v>
      </c>
      <c r="K1577">
        <v>4251937521</v>
      </c>
      <c r="L1577">
        <v>2664791148</v>
      </c>
      <c r="M1577">
        <v>2132009331</v>
      </c>
      <c r="N1577">
        <v>2092036297</v>
      </c>
      <c r="O1577">
        <v>1067985613</v>
      </c>
      <c r="P1577">
        <v>169</v>
      </c>
      <c r="Q1577" t="s">
        <v>3457</v>
      </c>
    </row>
    <row r="1578" spans="1:17" x14ac:dyDescent="0.3">
      <c r="A1578" t="s">
        <v>47</v>
      </c>
      <c r="B1578" t="str">
        <f>"000897"</f>
        <v>000897</v>
      </c>
      <c r="C1578" t="s">
        <v>3458</v>
      </c>
      <c r="D1578" t="s">
        <v>76</v>
      </c>
      <c r="E1578">
        <v>7269593947</v>
      </c>
      <c r="F1578">
        <v>7237958324</v>
      </c>
      <c r="G1578">
        <v>6878630141</v>
      </c>
      <c r="H1578">
        <v>6852401559</v>
      </c>
      <c r="I1578">
        <v>6122245219</v>
      </c>
      <c r="J1578">
        <v>6321998275</v>
      </c>
      <c r="K1578">
        <v>6509783089</v>
      </c>
      <c r="L1578">
        <v>6129774974</v>
      </c>
      <c r="M1578">
        <v>7463774936</v>
      </c>
      <c r="N1578">
        <v>10132848643</v>
      </c>
      <c r="O1578">
        <v>9196899652</v>
      </c>
      <c r="P1578">
        <v>170</v>
      </c>
      <c r="Q1578" t="s">
        <v>3459</v>
      </c>
    </row>
    <row r="1579" spans="1:17" x14ac:dyDescent="0.3">
      <c r="A1579" t="s">
        <v>17</v>
      </c>
      <c r="B1579" t="str">
        <f>"600990"</f>
        <v>600990</v>
      </c>
      <c r="C1579" t="s">
        <v>3460</v>
      </c>
      <c r="D1579" t="s">
        <v>1385</v>
      </c>
      <c r="E1579">
        <v>7264145394</v>
      </c>
      <c r="F1579">
        <v>7348540808</v>
      </c>
      <c r="G1579">
        <v>6676881471</v>
      </c>
      <c r="H1579">
        <v>6888096258</v>
      </c>
      <c r="I1579">
        <v>6109801561</v>
      </c>
      <c r="J1579">
        <v>3492183303</v>
      </c>
      <c r="K1579">
        <v>2943986541</v>
      </c>
      <c r="L1579">
        <v>2462745431</v>
      </c>
      <c r="M1579">
        <v>1860717987</v>
      </c>
      <c r="N1579">
        <v>1145283291</v>
      </c>
      <c r="O1579">
        <v>1119755845</v>
      </c>
      <c r="P1579">
        <v>166</v>
      </c>
      <c r="Q1579" t="s">
        <v>3461</v>
      </c>
    </row>
    <row r="1580" spans="1:17" x14ac:dyDescent="0.3">
      <c r="A1580" t="s">
        <v>17</v>
      </c>
      <c r="B1580" t="str">
        <f>"603055"</f>
        <v>603055</v>
      </c>
      <c r="C1580" t="s">
        <v>3462</v>
      </c>
      <c r="D1580" t="s">
        <v>3463</v>
      </c>
      <c r="E1580">
        <v>7263016162</v>
      </c>
      <c r="F1580">
        <v>5839782132</v>
      </c>
      <c r="G1580">
        <v>4611208665</v>
      </c>
      <c r="H1580">
        <v>4503064065</v>
      </c>
      <c r="I1580">
        <v>3454984241</v>
      </c>
      <c r="P1580">
        <v>145</v>
      </c>
      <c r="Q1580" t="s">
        <v>3464</v>
      </c>
    </row>
    <row r="1581" spans="1:17" x14ac:dyDescent="0.3">
      <c r="A1581" t="s">
        <v>17</v>
      </c>
      <c r="B1581" t="str">
        <f>"600727"</f>
        <v>600727</v>
      </c>
      <c r="C1581" t="s">
        <v>3465</v>
      </c>
      <c r="D1581" t="s">
        <v>851</v>
      </c>
      <c r="E1581">
        <v>7257448901</v>
      </c>
      <c r="F1581">
        <v>4796804297</v>
      </c>
      <c r="G1581">
        <v>2118699216</v>
      </c>
      <c r="H1581">
        <v>1843309908</v>
      </c>
      <c r="I1581">
        <v>1476820410</v>
      </c>
      <c r="J1581">
        <v>1409304458</v>
      </c>
      <c r="K1581">
        <v>1371282493</v>
      </c>
      <c r="L1581">
        <v>1360658307</v>
      </c>
      <c r="M1581">
        <v>1321335355</v>
      </c>
      <c r="N1581">
        <v>1278504770</v>
      </c>
      <c r="O1581">
        <v>1409927213</v>
      </c>
      <c r="P1581">
        <v>138</v>
      </c>
      <c r="Q1581" t="s">
        <v>3466</v>
      </c>
    </row>
    <row r="1582" spans="1:17" x14ac:dyDescent="0.3">
      <c r="A1582" t="s">
        <v>47</v>
      </c>
      <c r="B1582" t="str">
        <f>"002435"</f>
        <v>002435</v>
      </c>
      <c r="C1582" t="s">
        <v>3467</v>
      </c>
      <c r="D1582" t="s">
        <v>550</v>
      </c>
      <c r="E1582">
        <v>7254222077</v>
      </c>
      <c r="F1582">
        <v>7551608794</v>
      </c>
      <c r="G1582">
        <v>7605407774</v>
      </c>
      <c r="H1582">
        <v>8335219904</v>
      </c>
      <c r="I1582">
        <v>6769122432</v>
      </c>
      <c r="J1582">
        <v>5986981375</v>
      </c>
      <c r="K1582">
        <v>1452645252</v>
      </c>
      <c r="L1582">
        <v>1398573828</v>
      </c>
      <c r="M1582">
        <v>1321192335</v>
      </c>
      <c r="N1582">
        <v>1160086378</v>
      </c>
      <c r="O1582">
        <v>1188735662</v>
      </c>
      <c r="P1582">
        <v>139</v>
      </c>
      <c r="Q1582" t="s">
        <v>3468</v>
      </c>
    </row>
    <row r="1583" spans="1:17" x14ac:dyDescent="0.3">
      <c r="A1583" t="s">
        <v>17</v>
      </c>
      <c r="B1583" t="str">
        <f>"603678"</f>
        <v>603678</v>
      </c>
      <c r="C1583" t="s">
        <v>3469</v>
      </c>
      <c r="D1583" t="s">
        <v>1385</v>
      </c>
      <c r="E1583">
        <v>7253280693</v>
      </c>
      <c r="F1583">
        <v>6154144075</v>
      </c>
      <c r="G1583">
        <v>4392713030</v>
      </c>
      <c r="H1583">
        <v>3789600711</v>
      </c>
      <c r="I1583">
        <v>3384649986</v>
      </c>
      <c r="J1583">
        <v>2942594847</v>
      </c>
      <c r="K1583">
        <v>1672383499</v>
      </c>
      <c r="L1583">
        <v>1448590201</v>
      </c>
      <c r="P1583">
        <v>639</v>
      </c>
      <c r="Q1583" t="s">
        <v>3470</v>
      </c>
    </row>
    <row r="1584" spans="1:17" x14ac:dyDescent="0.3">
      <c r="A1584" t="s">
        <v>17</v>
      </c>
      <c r="B1584" t="str">
        <f>"688295"</f>
        <v>688295</v>
      </c>
      <c r="C1584" t="s">
        <v>3471</v>
      </c>
      <c r="E1584">
        <v>7253066793</v>
      </c>
      <c r="P1584">
        <v>15</v>
      </c>
      <c r="Q1584" t="s">
        <v>3472</v>
      </c>
    </row>
    <row r="1585" spans="1:17" x14ac:dyDescent="0.3">
      <c r="A1585" t="s">
        <v>47</v>
      </c>
      <c r="B1585" t="str">
        <f>"002218"</f>
        <v>002218</v>
      </c>
      <c r="C1585" t="s">
        <v>3473</v>
      </c>
      <c r="D1585" t="s">
        <v>1555</v>
      </c>
      <c r="E1585">
        <v>7244571998</v>
      </c>
      <c r="F1585">
        <v>6614476419</v>
      </c>
      <c r="G1585">
        <v>6529450186</v>
      </c>
      <c r="H1585">
        <v>6278842574</v>
      </c>
      <c r="I1585">
        <v>5920300657</v>
      </c>
      <c r="J1585">
        <v>4879638078</v>
      </c>
      <c r="K1585">
        <v>4353445961</v>
      </c>
      <c r="L1585">
        <v>4216133716</v>
      </c>
      <c r="M1585">
        <v>2699971716</v>
      </c>
      <c r="N1585">
        <v>2470287625</v>
      </c>
      <c r="O1585">
        <v>2314824295</v>
      </c>
      <c r="P1585">
        <v>218</v>
      </c>
      <c r="Q1585" t="s">
        <v>3474</v>
      </c>
    </row>
    <row r="1586" spans="1:17" x14ac:dyDescent="0.3">
      <c r="A1586" t="s">
        <v>47</v>
      </c>
      <c r="B1586" t="str">
        <f>"002734"</f>
        <v>002734</v>
      </c>
      <c r="C1586" t="s">
        <v>3475</v>
      </c>
      <c r="D1586" t="s">
        <v>819</v>
      </c>
      <c r="E1586">
        <v>7238255557</v>
      </c>
      <c r="F1586">
        <v>6061291065</v>
      </c>
      <c r="G1586">
        <v>4977113679</v>
      </c>
      <c r="H1586">
        <v>2815097213</v>
      </c>
      <c r="I1586">
        <v>2379359399</v>
      </c>
      <c r="J1586">
        <v>2099029259</v>
      </c>
      <c r="K1586">
        <v>1245366493</v>
      </c>
      <c r="L1586">
        <v>1105277076</v>
      </c>
      <c r="P1586">
        <v>261</v>
      </c>
      <c r="Q1586" t="s">
        <v>3476</v>
      </c>
    </row>
    <row r="1587" spans="1:17" x14ac:dyDescent="0.3">
      <c r="A1587" t="s">
        <v>47</v>
      </c>
      <c r="B1587" t="str">
        <f>"002867"</f>
        <v>002867</v>
      </c>
      <c r="C1587" t="s">
        <v>3477</v>
      </c>
      <c r="D1587" t="s">
        <v>1508</v>
      </c>
      <c r="E1587">
        <v>7237198740</v>
      </c>
      <c r="F1587">
        <v>6655632055</v>
      </c>
      <c r="G1587">
        <v>5775179914</v>
      </c>
      <c r="H1587">
        <v>5849489404</v>
      </c>
      <c r="I1587">
        <v>4831468611</v>
      </c>
      <c r="J1587">
        <v>2518062445</v>
      </c>
      <c r="P1587">
        <v>1635</v>
      </c>
      <c r="Q1587" t="s">
        <v>3478</v>
      </c>
    </row>
    <row r="1588" spans="1:17" x14ac:dyDescent="0.3">
      <c r="A1588" t="s">
        <v>17</v>
      </c>
      <c r="B1588" t="str">
        <f>"600469"</f>
        <v>600469</v>
      </c>
      <c r="C1588" t="s">
        <v>3479</v>
      </c>
      <c r="D1588" t="s">
        <v>1102</v>
      </c>
      <c r="E1588">
        <v>7235923266</v>
      </c>
      <c r="F1588">
        <v>7775669667</v>
      </c>
      <c r="G1588">
        <v>7332908717</v>
      </c>
      <c r="H1588">
        <v>7053391186</v>
      </c>
      <c r="I1588">
        <v>7695312892</v>
      </c>
      <c r="J1588">
        <v>8018277136</v>
      </c>
      <c r="K1588">
        <v>6841138714</v>
      </c>
      <c r="L1588">
        <v>7153597425</v>
      </c>
      <c r="M1588">
        <v>7771492974</v>
      </c>
      <c r="N1588">
        <v>7933060100</v>
      </c>
      <c r="O1588">
        <v>8035495262</v>
      </c>
      <c r="P1588">
        <v>99</v>
      </c>
      <c r="Q1588" t="s">
        <v>3480</v>
      </c>
    </row>
    <row r="1589" spans="1:17" x14ac:dyDescent="0.3">
      <c r="A1589" t="s">
        <v>47</v>
      </c>
      <c r="B1589" t="str">
        <f>"000403"</f>
        <v>000403</v>
      </c>
      <c r="C1589" t="s">
        <v>3481</v>
      </c>
      <c r="D1589" t="s">
        <v>1393</v>
      </c>
      <c r="E1589">
        <v>7234043957</v>
      </c>
      <c r="F1589">
        <v>6929174705</v>
      </c>
      <c r="G1589">
        <v>1514053114</v>
      </c>
      <c r="H1589">
        <v>1311094825</v>
      </c>
      <c r="I1589">
        <v>1325974891</v>
      </c>
      <c r="J1589">
        <v>1262436851</v>
      </c>
      <c r="K1589">
        <v>1274409003</v>
      </c>
      <c r="L1589">
        <v>1237285170</v>
      </c>
      <c r="M1589">
        <v>1220859663</v>
      </c>
      <c r="N1589">
        <v>1092652370</v>
      </c>
      <c r="O1589">
        <v>961206149</v>
      </c>
      <c r="P1589">
        <v>294</v>
      </c>
      <c r="Q1589" t="s">
        <v>3482</v>
      </c>
    </row>
    <row r="1590" spans="1:17" x14ac:dyDescent="0.3">
      <c r="A1590" t="s">
        <v>17</v>
      </c>
      <c r="B1590" t="str">
        <f>"688707"</f>
        <v>688707</v>
      </c>
      <c r="C1590" t="s">
        <v>3483</v>
      </c>
      <c r="D1590" t="s">
        <v>1017</v>
      </c>
      <c r="E1590">
        <v>7230920087</v>
      </c>
      <c r="F1590">
        <v>4755901662</v>
      </c>
      <c r="P1590">
        <v>31</v>
      </c>
      <c r="Q1590" t="s">
        <v>3484</v>
      </c>
    </row>
    <row r="1591" spans="1:17" x14ac:dyDescent="0.3">
      <c r="A1591" t="s">
        <v>47</v>
      </c>
      <c r="B1591" t="str">
        <f>"002747"</f>
        <v>002747</v>
      </c>
      <c r="C1591" t="s">
        <v>3485</v>
      </c>
      <c r="D1591" t="s">
        <v>2592</v>
      </c>
      <c r="E1591">
        <v>7230228750</v>
      </c>
      <c r="F1591">
        <v>5847510762</v>
      </c>
      <c r="G1591">
        <v>3957278555</v>
      </c>
      <c r="H1591">
        <v>3778452137</v>
      </c>
      <c r="I1591">
        <v>3204644674</v>
      </c>
      <c r="J1591">
        <v>2104728929</v>
      </c>
      <c r="K1591">
        <v>815255323</v>
      </c>
      <c r="L1591">
        <v>637565308</v>
      </c>
      <c r="P1591">
        <v>474</v>
      </c>
      <c r="Q1591" t="s">
        <v>3486</v>
      </c>
    </row>
    <row r="1592" spans="1:17" x14ac:dyDescent="0.3">
      <c r="A1592" t="s">
        <v>17</v>
      </c>
      <c r="B1592" t="str">
        <f>"600783"</f>
        <v>600783</v>
      </c>
      <c r="C1592" t="s">
        <v>3487</v>
      </c>
      <c r="D1592" t="s">
        <v>810</v>
      </c>
      <c r="E1592">
        <v>7213245335</v>
      </c>
      <c r="F1592">
        <v>6678752474</v>
      </c>
      <c r="G1592">
        <v>6038501343</v>
      </c>
      <c r="H1592">
        <v>5313465832</v>
      </c>
      <c r="I1592">
        <v>5997313783</v>
      </c>
      <c r="J1592">
        <v>5805546570</v>
      </c>
      <c r="K1592">
        <v>5225433107</v>
      </c>
      <c r="L1592">
        <v>5182391669</v>
      </c>
      <c r="M1592">
        <v>4870488160</v>
      </c>
      <c r="N1592">
        <v>4057430533</v>
      </c>
      <c r="O1592">
        <v>3895347084</v>
      </c>
      <c r="P1592">
        <v>124</v>
      </c>
      <c r="Q1592" t="s">
        <v>3488</v>
      </c>
    </row>
    <row r="1593" spans="1:17" x14ac:dyDescent="0.3">
      <c r="A1593" t="s">
        <v>47</v>
      </c>
      <c r="B1593" t="str">
        <f>"300621"</f>
        <v>300621</v>
      </c>
      <c r="C1593" t="s">
        <v>3489</v>
      </c>
      <c r="D1593" t="s">
        <v>1163</v>
      </c>
      <c r="E1593">
        <v>7210562594</v>
      </c>
      <c r="F1593">
        <v>5538892126</v>
      </c>
      <c r="G1593">
        <v>2499148279</v>
      </c>
      <c r="H1593">
        <v>2351264812</v>
      </c>
      <c r="I1593">
        <v>1852601521</v>
      </c>
      <c r="J1593">
        <v>1748000621</v>
      </c>
      <c r="P1593">
        <v>56</v>
      </c>
      <c r="Q1593" t="s">
        <v>3490</v>
      </c>
    </row>
    <row r="1594" spans="1:17" x14ac:dyDescent="0.3">
      <c r="A1594" t="s">
        <v>47</v>
      </c>
      <c r="B1594" t="str">
        <f>"002402"</f>
        <v>002402</v>
      </c>
      <c r="C1594" t="s">
        <v>3491</v>
      </c>
      <c r="D1594" t="s">
        <v>283</v>
      </c>
      <c r="E1594">
        <v>7207510406</v>
      </c>
      <c r="F1594">
        <v>6528894811</v>
      </c>
      <c r="G1594">
        <v>4573526641</v>
      </c>
      <c r="H1594">
        <v>3597278889</v>
      </c>
      <c r="I1594">
        <v>2240331577</v>
      </c>
      <c r="J1594">
        <v>1698510090</v>
      </c>
      <c r="K1594">
        <v>1389186347</v>
      </c>
      <c r="L1594">
        <v>1288903005</v>
      </c>
      <c r="M1594">
        <v>1018378578</v>
      </c>
      <c r="N1594">
        <v>980221805</v>
      </c>
      <c r="O1594">
        <v>910687749</v>
      </c>
      <c r="P1594">
        <v>1281</v>
      </c>
      <c r="Q1594" t="s">
        <v>3492</v>
      </c>
    </row>
    <row r="1595" spans="1:17" x14ac:dyDescent="0.3">
      <c r="A1595" t="s">
        <v>47</v>
      </c>
      <c r="B1595" t="str">
        <f>"300981"</f>
        <v>300981</v>
      </c>
      <c r="C1595" t="s">
        <v>3493</v>
      </c>
      <c r="D1595" t="s">
        <v>1650</v>
      </c>
      <c r="E1595">
        <v>7200501370</v>
      </c>
      <c r="F1595">
        <v>5007990342</v>
      </c>
      <c r="G1595">
        <v>1153873080</v>
      </c>
      <c r="P1595">
        <v>127</v>
      </c>
      <c r="Q1595" t="s">
        <v>3494</v>
      </c>
    </row>
    <row r="1596" spans="1:17" x14ac:dyDescent="0.3">
      <c r="A1596" t="s">
        <v>17</v>
      </c>
      <c r="B1596" t="str">
        <f>"600819"</f>
        <v>600819</v>
      </c>
      <c r="C1596" t="s">
        <v>3495</v>
      </c>
      <c r="D1596" t="s">
        <v>1635</v>
      </c>
      <c r="E1596">
        <v>7199626376</v>
      </c>
      <c r="F1596">
        <v>6844771806</v>
      </c>
      <c r="G1596">
        <v>6614698985</v>
      </c>
      <c r="H1596">
        <v>7400294606</v>
      </c>
      <c r="I1596">
        <v>7146100802</v>
      </c>
      <c r="J1596">
        <v>7371259681</v>
      </c>
      <c r="K1596">
        <v>8772547682</v>
      </c>
      <c r="L1596">
        <v>8439043610</v>
      </c>
      <c r="M1596">
        <v>7193873303</v>
      </c>
      <c r="N1596">
        <v>6331914187</v>
      </c>
      <c r="O1596">
        <v>6516277196</v>
      </c>
      <c r="P1596">
        <v>94</v>
      </c>
      <c r="Q1596" t="s">
        <v>3496</v>
      </c>
    </row>
    <row r="1597" spans="1:17" x14ac:dyDescent="0.3">
      <c r="A1597" t="s">
        <v>47</v>
      </c>
      <c r="B1597" t="str">
        <f>"002190"</f>
        <v>002190</v>
      </c>
      <c r="C1597" t="s">
        <v>3497</v>
      </c>
      <c r="D1597" t="s">
        <v>570</v>
      </c>
      <c r="E1597">
        <v>7189254953</v>
      </c>
      <c r="F1597">
        <v>3528285225</v>
      </c>
      <c r="G1597">
        <v>3383951365</v>
      </c>
      <c r="H1597">
        <v>8986186522</v>
      </c>
      <c r="I1597">
        <v>10196185402</v>
      </c>
      <c r="J1597">
        <v>8856926029</v>
      </c>
      <c r="K1597">
        <v>6503935201</v>
      </c>
      <c r="L1597">
        <v>3455737752</v>
      </c>
      <c r="M1597">
        <v>3045808842</v>
      </c>
      <c r="N1597">
        <v>2823550004</v>
      </c>
      <c r="O1597">
        <v>2725447509</v>
      </c>
      <c r="P1597">
        <v>184</v>
      </c>
      <c r="Q1597" t="s">
        <v>3498</v>
      </c>
    </row>
    <row r="1598" spans="1:17" x14ac:dyDescent="0.3">
      <c r="A1598" t="s">
        <v>47</v>
      </c>
      <c r="B1598" t="str">
        <f>"002400"</f>
        <v>002400</v>
      </c>
      <c r="C1598" t="s">
        <v>3499</v>
      </c>
      <c r="D1598" t="s">
        <v>1824</v>
      </c>
      <c r="E1598">
        <v>7187139601</v>
      </c>
      <c r="F1598">
        <v>7215410342</v>
      </c>
      <c r="G1598">
        <v>9181903421</v>
      </c>
      <c r="H1598">
        <v>9338557401</v>
      </c>
      <c r="I1598">
        <v>9857646311</v>
      </c>
      <c r="J1598">
        <v>10110067938</v>
      </c>
      <c r="K1598">
        <v>7967310253</v>
      </c>
      <c r="L1598">
        <v>5675695220</v>
      </c>
      <c r="M1598">
        <v>3144129260</v>
      </c>
      <c r="N1598">
        <v>2893699147</v>
      </c>
      <c r="O1598">
        <v>2074726438</v>
      </c>
      <c r="P1598">
        <v>328</v>
      </c>
      <c r="Q1598" t="s">
        <v>3500</v>
      </c>
    </row>
    <row r="1599" spans="1:17" x14ac:dyDescent="0.3">
      <c r="A1599" t="s">
        <v>17</v>
      </c>
      <c r="B1599" t="str">
        <f>"600715"</f>
        <v>600715</v>
      </c>
      <c r="C1599" t="s">
        <v>3501</v>
      </c>
      <c r="D1599" t="s">
        <v>1032</v>
      </c>
      <c r="E1599">
        <v>7183350074</v>
      </c>
      <c r="F1599">
        <v>8434818744</v>
      </c>
      <c r="G1599">
        <v>10705524782</v>
      </c>
      <c r="H1599">
        <v>9944909710</v>
      </c>
      <c r="I1599">
        <v>10639899824</v>
      </c>
      <c r="J1599">
        <v>7848301422</v>
      </c>
      <c r="K1599">
        <v>5258202148</v>
      </c>
      <c r="L1599">
        <v>265529123</v>
      </c>
      <c r="M1599">
        <v>223644375</v>
      </c>
      <c r="N1599">
        <v>244166515</v>
      </c>
      <c r="O1599">
        <v>272323046</v>
      </c>
      <c r="P1599">
        <v>127</v>
      </c>
      <c r="Q1599" t="s">
        <v>3502</v>
      </c>
    </row>
    <row r="1600" spans="1:17" x14ac:dyDescent="0.3">
      <c r="A1600" t="s">
        <v>47</v>
      </c>
      <c r="B1600" t="str">
        <f>"002291"</f>
        <v>002291</v>
      </c>
      <c r="C1600" t="s">
        <v>3503</v>
      </c>
      <c r="D1600" t="s">
        <v>1824</v>
      </c>
      <c r="E1600">
        <v>7179455552</v>
      </c>
      <c r="F1600">
        <v>5650422792</v>
      </c>
      <c r="G1600">
        <v>5237045376</v>
      </c>
      <c r="H1600">
        <v>5134429704</v>
      </c>
      <c r="I1600">
        <v>3320383638</v>
      </c>
      <c r="J1600">
        <v>3517559602</v>
      </c>
      <c r="K1600">
        <v>3057310907</v>
      </c>
      <c r="L1600">
        <v>2948246241</v>
      </c>
      <c r="M1600">
        <v>2859022324</v>
      </c>
      <c r="N1600">
        <v>2674966796</v>
      </c>
      <c r="O1600">
        <v>2171881750</v>
      </c>
      <c r="P1600">
        <v>172</v>
      </c>
      <c r="Q1600" t="s">
        <v>3504</v>
      </c>
    </row>
    <row r="1601" spans="1:17" x14ac:dyDescent="0.3">
      <c r="A1601" t="s">
        <v>47</v>
      </c>
      <c r="B1601" t="str">
        <f>"000863"</f>
        <v>000863</v>
      </c>
      <c r="C1601" t="s">
        <v>3505</v>
      </c>
      <c r="D1601" t="s">
        <v>76</v>
      </c>
      <c r="E1601">
        <v>7175351789</v>
      </c>
      <c r="F1601">
        <v>9219270882</v>
      </c>
      <c r="G1601">
        <v>12830897789</v>
      </c>
      <c r="H1601">
        <v>12284720874</v>
      </c>
      <c r="I1601">
        <v>13039306312</v>
      </c>
      <c r="J1601">
        <v>12324343342</v>
      </c>
      <c r="K1601">
        <v>13168820089</v>
      </c>
      <c r="L1601">
        <v>11632932812</v>
      </c>
      <c r="M1601">
        <v>9270444418</v>
      </c>
      <c r="N1601">
        <v>5303058578</v>
      </c>
      <c r="O1601">
        <v>4656630519</v>
      </c>
      <c r="P1601">
        <v>171</v>
      </c>
      <c r="Q1601" t="s">
        <v>3506</v>
      </c>
    </row>
    <row r="1602" spans="1:17" x14ac:dyDescent="0.3">
      <c r="A1602" t="s">
        <v>17</v>
      </c>
      <c r="B1602" t="str">
        <f>"600798"</f>
        <v>600798</v>
      </c>
      <c r="C1602" t="s">
        <v>3507</v>
      </c>
      <c r="D1602" t="s">
        <v>176</v>
      </c>
      <c r="E1602">
        <v>7173601700</v>
      </c>
      <c r="F1602">
        <v>7191725897</v>
      </c>
      <c r="G1602">
        <v>7214872691</v>
      </c>
      <c r="H1602">
        <v>7430597913</v>
      </c>
      <c r="I1602">
        <v>6259398667</v>
      </c>
      <c r="J1602">
        <v>6367864600</v>
      </c>
      <c r="K1602">
        <v>6202184422</v>
      </c>
      <c r="L1602">
        <v>6350393058</v>
      </c>
      <c r="M1602">
        <v>6498818301</v>
      </c>
      <c r="N1602">
        <v>6696678044</v>
      </c>
      <c r="O1602">
        <v>7061827083</v>
      </c>
      <c r="P1602">
        <v>142</v>
      </c>
      <c r="Q1602" t="s">
        <v>3508</v>
      </c>
    </row>
    <row r="1603" spans="1:17" x14ac:dyDescent="0.3">
      <c r="A1603" t="s">
        <v>47</v>
      </c>
      <c r="B1603" t="str">
        <f>"002225"</f>
        <v>002225</v>
      </c>
      <c r="C1603" t="s">
        <v>3509</v>
      </c>
      <c r="D1603" t="s">
        <v>3510</v>
      </c>
      <c r="E1603">
        <v>7159517459</v>
      </c>
      <c r="F1603">
        <v>6493352212</v>
      </c>
      <c r="G1603">
        <v>5877999101</v>
      </c>
      <c r="H1603">
        <v>5523562368</v>
      </c>
      <c r="I1603">
        <v>5039576644</v>
      </c>
      <c r="J1603">
        <v>4851766853</v>
      </c>
      <c r="K1603">
        <v>5233822146</v>
      </c>
      <c r="L1603">
        <v>4975858774</v>
      </c>
      <c r="M1603">
        <v>3974530015</v>
      </c>
      <c r="N1603">
        <v>3216099233</v>
      </c>
      <c r="O1603">
        <v>2914098379</v>
      </c>
      <c r="P1603">
        <v>142</v>
      </c>
      <c r="Q1603" t="s">
        <v>3511</v>
      </c>
    </row>
    <row r="1604" spans="1:17" x14ac:dyDescent="0.3">
      <c r="A1604" t="s">
        <v>47</v>
      </c>
      <c r="B1604" t="str">
        <f>"300055"</f>
        <v>300055</v>
      </c>
      <c r="C1604" t="s">
        <v>3512</v>
      </c>
      <c r="D1604" t="s">
        <v>520</v>
      </c>
      <c r="E1604">
        <v>7157033524</v>
      </c>
      <c r="F1604">
        <v>7446875497</v>
      </c>
      <c r="G1604">
        <v>7105885319</v>
      </c>
      <c r="H1604">
        <v>7582105288</v>
      </c>
      <c r="I1604">
        <v>7733888256</v>
      </c>
      <c r="J1604">
        <v>7286173203</v>
      </c>
      <c r="K1604">
        <v>5760823094</v>
      </c>
      <c r="L1604">
        <v>3704249415</v>
      </c>
      <c r="M1604">
        <v>2391596847</v>
      </c>
      <c r="N1604">
        <v>2195320566</v>
      </c>
      <c r="O1604">
        <v>2059687130</v>
      </c>
      <c r="P1604">
        <v>163</v>
      </c>
      <c r="Q1604" t="s">
        <v>3513</v>
      </c>
    </row>
    <row r="1605" spans="1:17" x14ac:dyDescent="0.3">
      <c r="A1605" t="s">
        <v>47</v>
      </c>
      <c r="B1605" t="str">
        <f>"300664"</f>
        <v>300664</v>
      </c>
      <c r="C1605" t="s">
        <v>3514</v>
      </c>
      <c r="D1605" t="s">
        <v>520</v>
      </c>
      <c r="E1605">
        <v>7146674494</v>
      </c>
      <c r="F1605">
        <v>6860790738</v>
      </c>
      <c r="G1605">
        <v>6101203485</v>
      </c>
      <c r="H1605">
        <v>5797123769</v>
      </c>
      <c r="I1605">
        <v>4680273117</v>
      </c>
      <c r="P1605">
        <v>118</v>
      </c>
      <c r="Q1605" t="s">
        <v>3515</v>
      </c>
    </row>
    <row r="1606" spans="1:17" x14ac:dyDescent="0.3">
      <c r="A1606" t="s">
        <v>17</v>
      </c>
      <c r="B1606" t="str">
        <f>"603081"</f>
        <v>603081</v>
      </c>
      <c r="C1606" t="s">
        <v>3516</v>
      </c>
      <c r="D1606" t="s">
        <v>1163</v>
      </c>
      <c r="E1606">
        <v>7138560205</v>
      </c>
      <c r="F1606">
        <v>5181698614</v>
      </c>
      <c r="G1606">
        <v>4289029014</v>
      </c>
      <c r="H1606">
        <v>3188971389</v>
      </c>
      <c r="I1606">
        <v>2577630839</v>
      </c>
      <c r="J1606">
        <v>1830729631</v>
      </c>
      <c r="P1606">
        <v>144</v>
      </c>
      <c r="Q1606" t="s">
        <v>3517</v>
      </c>
    </row>
    <row r="1607" spans="1:17" x14ac:dyDescent="0.3">
      <c r="A1607" t="s">
        <v>47</v>
      </c>
      <c r="B1607" t="str">
        <f>"000567"</f>
        <v>000567</v>
      </c>
      <c r="C1607" t="s">
        <v>3518</v>
      </c>
      <c r="D1607" t="s">
        <v>3519</v>
      </c>
      <c r="E1607">
        <v>7119058832</v>
      </c>
      <c r="F1607">
        <v>6030263784</v>
      </c>
      <c r="G1607">
        <v>6023285099</v>
      </c>
      <c r="H1607">
        <v>4977989569</v>
      </c>
      <c r="I1607">
        <v>7202136655</v>
      </c>
      <c r="J1607">
        <v>1256771334</v>
      </c>
      <c r="K1607">
        <v>228491041</v>
      </c>
      <c r="L1607">
        <v>319042959</v>
      </c>
      <c r="M1607">
        <v>276892063</v>
      </c>
      <c r="N1607">
        <v>215150847</v>
      </c>
      <c r="O1607">
        <v>230382865</v>
      </c>
      <c r="P1607">
        <v>117</v>
      </c>
      <c r="Q1607" t="s">
        <v>3520</v>
      </c>
    </row>
    <row r="1608" spans="1:17" x14ac:dyDescent="0.3">
      <c r="A1608" t="s">
        <v>17</v>
      </c>
      <c r="B1608" t="str">
        <f>"601965"</f>
        <v>601965</v>
      </c>
      <c r="C1608" t="s">
        <v>3521</v>
      </c>
      <c r="D1608" t="s">
        <v>3522</v>
      </c>
      <c r="E1608">
        <v>7118866404</v>
      </c>
      <c r="F1608">
        <v>6873512145</v>
      </c>
      <c r="G1608">
        <v>6059022443</v>
      </c>
      <c r="H1608">
        <v>5637787135</v>
      </c>
      <c r="I1608">
        <v>5317527556</v>
      </c>
      <c r="J1608">
        <v>4814297108</v>
      </c>
      <c r="K1608">
        <v>4368202549</v>
      </c>
      <c r="L1608">
        <v>4190105309</v>
      </c>
      <c r="M1608">
        <v>4098599892</v>
      </c>
      <c r="N1608">
        <v>3750764338</v>
      </c>
      <c r="P1608">
        <v>307</v>
      </c>
      <c r="Q1608" t="s">
        <v>3523</v>
      </c>
    </row>
    <row r="1609" spans="1:17" x14ac:dyDescent="0.3">
      <c r="A1609" t="s">
        <v>17</v>
      </c>
      <c r="B1609" t="str">
        <f>"603458"</f>
        <v>603458</v>
      </c>
      <c r="C1609" t="s">
        <v>3524</v>
      </c>
      <c r="D1609" t="s">
        <v>2178</v>
      </c>
      <c r="E1609">
        <v>7118216016</v>
      </c>
      <c r="F1609">
        <v>7048175876</v>
      </c>
      <c r="G1609">
        <v>5955923701</v>
      </c>
      <c r="H1609">
        <v>4245884520</v>
      </c>
      <c r="I1609">
        <v>3314155406</v>
      </c>
      <c r="J1609">
        <v>2562457700</v>
      </c>
      <c r="P1609">
        <v>474</v>
      </c>
      <c r="Q1609" t="s">
        <v>3525</v>
      </c>
    </row>
    <row r="1610" spans="1:17" x14ac:dyDescent="0.3">
      <c r="A1610" t="s">
        <v>47</v>
      </c>
      <c r="B1610" t="str">
        <f>"002478"</f>
        <v>002478</v>
      </c>
      <c r="C1610" t="s">
        <v>3526</v>
      </c>
      <c r="D1610" t="s">
        <v>555</v>
      </c>
      <c r="E1610">
        <v>7116843816</v>
      </c>
      <c r="F1610">
        <v>7203612437</v>
      </c>
      <c r="G1610">
        <v>6791292805</v>
      </c>
      <c r="H1610">
        <v>6510819131</v>
      </c>
      <c r="I1610">
        <v>5792253885</v>
      </c>
      <c r="J1610">
        <v>4147974140</v>
      </c>
      <c r="K1610">
        <v>3912143819</v>
      </c>
      <c r="L1610">
        <v>3923721756</v>
      </c>
      <c r="M1610">
        <v>3901902540</v>
      </c>
      <c r="N1610">
        <v>3580127264</v>
      </c>
      <c r="O1610">
        <v>3145886530</v>
      </c>
      <c r="P1610">
        <v>208</v>
      </c>
      <c r="Q1610" t="s">
        <v>3527</v>
      </c>
    </row>
    <row r="1611" spans="1:17" x14ac:dyDescent="0.3">
      <c r="A1611" t="s">
        <v>47</v>
      </c>
      <c r="B1611" t="str">
        <f>"002520"</f>
        <v>002520</v>
      </c>
      <c r="C1611" t="s">
        <v>3528</v>
      </c>
      <c r="D1611" t="s">
        <v>3186</v>
      </c>
      <c r="E1611">
        <v>7102420218</v>
      </c>
      <c r="F1611">
        <v>6293978331</v>
      </c>
      <c r="G1611">
        <v>5948388344</v>
      </c>
      <c r="H1611">
        <v>5646331000</v>
      </c>
      <c r="I1611">
        <v>2665995664</v>
      </c>
      <c r="J1611">
        <v>2488847529</v>
      </c>
      <c r="K1611">
        <v>2367579050</v>
      </c>
      <c r="L1611">
        <v>1288628759</v>
      </c>
      <c r="M1611">
        <v>979089203</v>
      </c>
      <c r="N1611">
        <v>948107405</v>
      </c>
      <c r="O1611">
        <v>961657669</v>
      </c>
      <c r="P1611">
        <v>99</v>
      </c>
      <c r="Q1611" t="s">
        <v>3529</v>
      </c>
    </row>
    <row r="1612" spans="1:17" x14ac:dyDescent="0.3">
      <c r="A1612" t="s">
        <v>47</v>
      </c>
      <c r="B1612" t="str">
        <f>"002668"</f>
        <v>002668</v>
      </c>
      <c r="C1612" t="s">
        <v>3530</v>
      </c>
      <c r="D1612" t="s">
        <v>323</v>
      </c>
      <c r="E1612">
        <v>7087792649</v>
      </c>
      <c r="F1612">
        <v>9250762581</v>
      </c>
      <c r="G1612">
        <v>9295910915</v>
      </c>
      <c r="H1612">
        <v>9373470067</v>
      </c>
      <c r="I1612">
        <v>10234828843</v>
      </c>
      <c r="J1612">
        <v>8562275991</v>
      </c>
      <c r="K1612">
        <v>4179081183</v>
      </c>
      <c r="L1612">
        <v>3364321733</v>
      </c>
      <c r="M1612">
        <v>2776420762</v>
      </c>
      <c r="N1612">
        <v>2588346377</v>
      </c>
      <c r="O1612">
        <v>1825616789</v>
      </c>
      <c r="P1612">
        <v>204</v>
      </c>
      <c r="Q1612" t="s">
        <v>3531</v>
      </c>
    </row>
    <row r="1613" spans="1:17" x14ac:dyDescent="0.3">
      <c r="A1613" t="s">
        <v>47</v>
      </c>
      <c r="B1613" t="str">
        <f>"002391"</f>
        <v>002391</v>
      </c>
      <c r="C1613" t="s">
        <v>3532</v>
      </c>
      <c r="D1613" t="s">
        <v>819</v>
      </c>
      <c r="E1613">
        <v>7077613725</v>
      </c>
      <c r="F1613">
        <v>5866374265</v>
      </c>
      <c r="G1613">
        <v>5323276074</v>
      </c>
      <c r="H1613">
        <v>5063289807</v>
      </c>
      <c r="I1613">
        <v>4078168914</v>
      </c>
      <c r="J1613">
        <v>3940713409</v>
      </c>
      <c r="K1613">
        <v>3635334135</v>
      </c>
      <c r="L1613">
        <v>3184141548</v>
      </c>
      <c r="M1613">
        <v>2405979770</v>
      </c>
      <c r="N1613">
        <v>2126377709</v>
      </c>
      <c r="O1613">
        <v>1900754030</v>
      </c>
      <c r="P1613">
        <v>192</v>
      </c>
      <c r="Q1613" t="s">
        <v>3533</v>
      </c>
    </row>
    <row r="1614" spans="1:17" x14ac:dyDescent="0.3">
      <c r="A1614" t="s">
        <v>47</v>
      </c>
      <c r="B1614" t="str">
        <f>"000850"</f>
        <v>000850</v>
      </c>
      <c r="C1614" t="s">
        <v>3534</v>
      </c>
      <c r="D1614" t="s">
        <v>1682</v>
      </c>
      <c r="E1614">
        <v>7074145454</v>
      </c>
      <c r="F1614">
        <v>7066611396</v>
      </c>
      <c r="G1614">
        <v>7437854705</v>
      </c>
      <c r="H1614">
        <v>7747947865</v>
      </c>
      <c r="I1614">
        <v>7579290233</v>
      </c>
      <c r="J1614">
        <v>7929354208</v>
      </c>
      <c r="K1614">
        <v>7994451223</v>
      </c>
      <c r="L1614">
        <v>6905358522</v>
      </c>
      <c r="M1614">
        <v>5948091839</v>
      </c>
      <c r="N1614">
        <v>5909331517</v>
      </c>
      <c r="O1614">
        <v>6482962757</v>
      </c>
      <c r="P1614">
        <v>121</v>
      </c>
      <c r="Q1614" t="s">
        <v>3535</v>
      </c>
    </row>
    <row r="1615" spans="1:17" x14ac:dyDescent="0.3">
      <c r="A1615" t="s">
        <v>47</v>
      </c>
      <c r="B1615" t="str">
        <f>"000650"</f>
        <v>000650</v>
      </c>
      <c r="C1615" t="s">
        <v>3536</v>
      </c>
      <c r="D1615" t="s">
        <v>695</v>
      </c>
      <c r="E1615">
        <v>7067966716</v>
      </c>
      <c r="F1615">
        <v>6578631707</v>
      </c>
      <c r="G1615">
        <v>5125804276</v>
      </c>
      <c r="H1615">
        <v>4862955490</v>
      </c>
      <c r="I1615">
        <v>4348202976</v>
      </c>
      <c r="J1615">
        <v>3828507191</v>
      </c>
      <c r="K1615">
        <v>3703370326</v>
      </c>
      <c r="L1615">
        <v>2661765954</v>
      </c>
      <c r="M1615">
        <v>2334365802</v>
      </c>
      <c r="N1615">
        <v>2168389823</v>
      </c>
      <c r="O1615">
        <v>1627076453</v>
      </c>
      <c r="P1615">
        <v>888</v>
      </c>
      <c r="Q1615" t="s">
        <v>3537</v>
      </c>
    </row>
    <row r="1616" spans="1:17" x14ac:dyDescent="0.3">
      <c r="A1616" t="s">
        <v>47</v>
      </c>
      <c r="B1616" t="str">
        <f>"200029"</f>
        <v>200029</v>
      </c>
      <c r="C1616" t="s">
        <v>3538</v>
      </c>
      <c r="E1616">
        <v>7065167168.1660004</v>
      </c>
      <c r="F1616">
        <v>6106834045.79</v>
      </c>
      <c r="G1616">
        <v>4917375140.8073997</v>
      </c>
      <c r="H1616">
        <v>5647476059.1225004</v>
      </c>
      <c r="I1616">
        <v>5217816201.9639997</v>
      </c>
      <c r="J1616">
        <v>4346570124.1065998</v>
      </c>
      <c r="K1616">
        <v>5132970185.7094002</v>
      </c>
      <c r="L1616">
        <v>5504712027.5</v>
      </c>
      <c r="M1616">
        <v>5495060496.6683998</v>
      </c>
      <c r="N1616">
        <v>5086818066.3660002</v>
      </c>
      <c r="O1616">
        <v>3953441294.3249998</v>
      </c>
      <c r="P1616">
        <v>18</v>
      </c>
      <c r="Q1616" t="s">
        <v>3539</v>
      </c>
    </row>
    <row r="1617" spans="1:17" x14ac:dyDescent="0.3">
      <c r="A1617" t="s">
        <v>47</v>
      </c>
      <c r="B1617" t="str">
        <f>"300168"</f>
        <v>300168</v>
      </c>
      <c r="C1617" t="s">
        <v>3540</v>
      </c>
      <c r="D1617" t="s">
        <v>700</v>
      </c>
      <c r="E1617">
        <v>7064274297</v>
      </c>
      <c r="F1617">
        <v>6756987137</v>
      </c>
      <c r="G1617">
        <v>8281250164</v>
      </c>
      <c r="H1617">
        <v>8956384848</v>
      </c>
      <c r="I1617">
        <v>8005965513</v>
      </c>
      <c r="J1617">
        <v>6288849920</v>
      </c>
      <c r="K1617">
        <v>5399225538</v>
      </c>
      <c r="L1617">
        <v>3987844632</v>
      </c>
      <c r="M1617">
        <v>2064015486</v>
      </c>
      <c r="N1617">
        <v>1502941023</v>
      </c>
      <c r="O1617">
        <v>1322816647</v>
      </c>
      <c r="P1617">
        <v>368</v>
      </c>
      <c r="Q1617" t="s">
        <v>3541</v>
      </c>
    </row>
    <row r="1618" spans="1:17" x14ac:dyDescent="0.3">
      <c r="A1618" t="s">
        <v>17</v>
      </c>
      <c r="B1618" t="str">
        <f>"601279"</f>
        <v>601279</v>
      </c>
      <c r="C1618" t="s">
        <v>3542</v>
      </c>
      <c r="D1618" t="s">
        <v>1815</v>
      </c>
      <c r="E1618">
        <v>7059723222</v>
      </c>
      <c r="F1618">
        <v>6989531859</v>
      </c>
      <c r="P1618">
        <v>43</v>
      </c>
      <c r="Q1618" t="s">
        <v>3543</v>
      </c>
    </row>
    <row r="1619" spans="1:17" x14ac:dyDescent="0.3">
      <c r="A1619" t="s">
        <v>17</v>
      </c>
      <c r="B1619" t="str">
        <f>"600217"</f>
        <v>600217</v>
      </c>
      <c r="C1619" t="s">
        <v>3544</v>
      </c>
      <c r="D1619" t="s">
        <v>1310</v>
      </c>
      <c r="E1619">
        <v>7050072213</v>
      </c>
      <c r="F1619">
        <v>6399677950</v>
      </c>
      <c r="G1619">
        <v>5813473250</v>
      </c>
      <c r="H1619">
        <v>4913727476</v>
      </c>
      <c r="I1619">
        <v>4610183059</v>
      </c>
      <c r="J1619">
        <v>3523093401</v>
      </c>
      <c r="K1619">
        <v>2604369978</v>
      </c>
      <c r="L1619">
        <v>1999012435</v>
      </c>
      <c r="M1619">
        <v>2166337972</v>
      </c>
      <c r="N1619">
        <v>2198578651</v>
      </c>
      <c r="O1619">
        <v>1854693653</v>
      </c>
      <c r="P1619">
        <v>439</v>
      </c>
      <c r="Q1619" t="s">
        <v>3545</v>
      </c>
    </row>
    <row r="1620" spans="1:17" x14ac:dyDescent="0.3">
      <c r="A1620" t="s">
        <v>47</v>
      </c>
      <c r="B1620" t="str">
        <f>"002664"</f>
        <v>002664</v>
      </c>
      <c r="C1620" t="s">
        <v>3546</v>
      </c>
      <c r="D1620" t="s">
        <v>836</v>
      </c>
      <c r="E1620">
        <v>7046373216</v>
      </c>
      <c r="F1620">
        <v>6202872813</v>
      </c>
      <c r="G1620">
        <v>4383493381</v>
      </c>
      <c r="H1620">
        <v>3516019340</v>
      </c>
      <c r="I1620">
        <v>3601152192</v>
      </c>
      <c r="J1620">
        <v>2643974220</v>
      </c>
      <c r="K1620">
        <v>2322921139</v>
      </c>
      <c r="L1620">
        <v>1797516520</v>
      </c>
      <c r="M1620">
        <v>1611306206</v>
      </c>
      <c r="N1620">
        <v>1580401827</v>
      </c>
      <c r="O1620">
        <v>1470505716</v>
      </c>
      <c r="P1620">
        <v>232</v>
      </c>
      <c r="Q1620" t="s">
        <v>3547</v>
      </c>
    </row>
    <row r="1621" spans="1:17" x14ac:dyDescent="0.3">
      <c r="A1621" t="s">
        <v>17</v>
      </c>
      <c r="B1621" t="str">
        <f>"688121"</f>
        <v>688121</v>
      </c>
      <c r="C1621" t="s">
        <v>3548</v>
      </c>
      <c r="D1621" t="s">
        <v>607</v>
      </c>
      <c r="E1621">
        <v>7040058353</v>
      </c>
      <c r="P1621">
        <v>24</v>
      </c>
      <c r="Q1621" t="s">
        <v>3549</v>
      </c>
    </row>
    <row r="1622" spans="1:17" x14ac:dyDescent="0.3">
      <c r="A1622" t="s">
        <v>17</v>
      </c>
      <c r="B1622" t="str">
        <f>"600668"</f>
        <v>600668</v>
      </c>
      <c r="C1622" t="s">
        <v>3550</v>
      </c>
      <c r="D1622" t="s">
        <v>810</v>
      </c>
      <c r="E1622">
        <v>7034827940</v>
      </c>
      <c r="F1622">
        <v>6110258433</v>
      </c>
      <c r="G1622">
        <v>5610775843</v>
      </c>
      <c r="H1622">
        <v>5112802474</v>
      </c>
      <c r="I1622">
        <v>4366775455</v>
      </c>
      <c r="J1622">
        <v>4037446169</v>
      </c>
      <c r="K1622">
        <v>3622656092</v>
      </c>
      <c r="L1622">
        <v>3470773783</v>
      </c>
      <c r="M1622">
        <v>3220444302</v>
      </c>
      <c r="N1622">
        <v>2851375544</v>
      </c>
      <c r="O1622">
        <v>2747967984</v>
      </c>
      <c r="P1622">
        <v>343</v>
      </c>
      <c r="Q1622" t="s">
        <v>3551</v>
      </c>
    </row>
    <row r="1623" spans="1:17" x14ac:dyDescent="0.3">
      <c r="A1623" t="s">
        <v>17</v>
      </c>
      <c r="B1623" t="str">
        <f>"600259"</f>
        <v>600259</v>
      </c>
      <c r="C1623" t="s">
        <v>3552</v>
      </c>
      <c r="D1623" t="s">
        <v>1148</v>
      </c>
      <c r="E1623">
        <v>7021132060</v>
      </c>
      <c r="F1623">
        <v>5283758589</v>
      </c>
      <c r="G1623">
        <v>4809106719</v>
      </c>
      <c r="H1623">
        <v>3616480957</v>
      </c>
      <c r="I1623">
        <v>4153067766</v>
      </c>
      <c r="J1623">
        <v>4949950107</v>
      </c>
      <c r="K1623">
        <v>3405873121</v>
      </c>
      <c r="L1623">
        <v>3965805880</v>
      </c>
      <c r="M1623">
        <v>2910350761</v>
      </c>
      <c r="N1623">
        <v>2610029705</v>
      </c>
      <c r="O1623">
        <v>2264478627</v>
      </c>
      <c r="P1623">
        <v>221</v>
      </c>
      <c r="Q1623" t="s">
        <v>3553</v>
      </c>
    </row>
    <row r="1624" spans="1:17" x14ac:dyDescent="0.3">
      <c r="A1624" t="s">
        <v>47</v>
      </c>
      <c r="B1624" t="str">
        <f>"002151"</f>
        <v>002151</v>
      </c>
      <c r="C1624" t="s">
        <v>3554</v>
      </c>
      <c r="D1624" t="s">
        <v>1385</v>
      </c>
      <c r="E1624">
        <v>7020992551</v>
      </c>
      <c r="F1624">
        <v>7003203713</v>
      </c>
      <c r="G1624">
        <v>5958543696</v>
      </c>
      <c r="H1624">
        <v>6138463617</v>
      </c>
      <c r="I1624">
        <v>6673581475</v>
      </c>
      <c r="J1624">
        <v>5589030662</v>
      </c>
      <c r="K1624">
        <v>3693980707</v>
      </c>
      <c r="L1624">
        <v>1796133994</v>
      </c>
      <c r="M1624">
        <v>1846506582</v>
      </c>
      <c r="N1624">
        <v>1432247636</v>
      </c>
      <c r="O1624">
        <v>1215563995</v>
      </c>
      <c r="P1624">
        <v>3423</v>
      </c>
      <c r="Q1624" t="s">
        <v>3555</v>
      </c>
    </row>
    <row r="1625" spans="1:17" x14ac:dyDescent="0.3">
      <c r="A1625" t="s">
        <v>17</v>
      </c>
      <c r="B1625" t="str">
        <f>"600716"</f>
        <v>600716</v>
      </c>
      <c r="C1625" t="s">
        <v>3556</v>
      </c>
      <c r="D1625" t="s">
        <v>76</v>
      </c>
      <c r="E1625">
        <v>6998316043</v>
      </c>
      <c r="F1625">
        <v>7890322023</v>
      </c>
      <c r="G1625">
        <v>8632430193</v>
      </c>
      <c r="H1625">
        <v>8869661008</v>
      </c>
      <c r="I1625">
        <v>7617971527</v>
      </c>
      <c r="J1625">
        <v>9527440588</v>
      </c>
      <c r="K1625">
        <v>10895057952</v>
      </c>
      <c r="L1625">
        <v>8233039152</v>
      </c>
      <c r="M1625">
        <v>7661906923</v>
      </c>
      <c r="N1625">
        <v>6796285678</v>
      </c>
      <c r="O1625">
        <v>6230553422</v>
      </c>
      <c r="P1625">
        <v>95</v>
      </c>
      <c r="Q1625" t="s">
        <v>3557</v>
      </c>
    </row>
    <row r="1626" spans="1:17" x14ac:dyDescent="0.3">
      <c r="A1626" t="s">
        <v>47</v>
      </c>
      <c r="B1626" t="str">
        <f>"000407"</f>
        <v>000407</v>
      </c>
      <c r="C1626" t="s">
        <v>3558</v>
      </c>
      <c r="D1626" t="s">
        <v>476</v>
      </c>
      <c r="E1626">
        <v>6993684330</v>
      </c>
      <c r="F1626">
        <v>6680152249</v>
      </c>
      <c r="G1626">
        <v>6671588759</v>
      </c>
      <c r="H1626">
        <v>6474196939</v>
      </c>
      <c r="I1626">
        <v>5874233086</v>
      </c>
      <c r="J1626">
        <v>4221500479</v>
      </c>
      <c r="K1626">
        <v>4385459601</v>
      </c>
      <c r="L1626">
        <v>4271987177</v>
      </c>
      <c r="M1626">
        <v>3756203369</v>
      </c>
      <c r="N1626">
        <v>3201540665</v>
      </c>
      <c r="O1626">
        <v>3591194397</v>
      </c>
      <c r="P1626">
        <v>113</v>
      </c>
      <c r="Q1626" t="s">
        <v>3559</v>
      </c>
    </row>
    <row r="1627" spans="1:17" x14ac:dyDescent="0.3">
      <c r="A1627" t="s">
        <v>17</v>
      </c>
      <c r="B1627" t="str">
        <f>"600136"</f>
        <v>600136</v>
      </c>
      <c r="C1627" t="s">
        <v>3560</v>
      </c>
      <c r="D1627" t="s">
        <v>3561</v>
      </c>
      <c r="E1627">
        <v>6959547850</v>
      </c>
      <c r="F1627">
        <v>8494463473</v>
      </c>
      <c r="G1627">
        <v>10567340749</v>
      </c>
      <c r="H1627">
        <v>10592716179</v>
      </c>
      <c r="I1627">
        <v>6023788507</v>
      </c>
      <c r="J1627">
        <v>3879107325</v>
      </c>
      <c r="K1627">
        <v>3084739729</v>
      </c>
      <c r="L1627">
        <v>1188973978</v>
      </c>
      <c r="M1627">
        <v>196917252</v>
      </c>
      <c r="N1627">
        <v>199346647</v>
      </c>
      <c r="O1627">
        <v>162080392</v>
      </c>
      <c r="P1627">
        <v>136</v>
      </c>
      <c r="Q1627" t="s">
        <v>3562</v>
      </c>
    </row>
    <row r="1628" spans="1:17" x14ac:dyDescent="0.3">
      <c r="A1628" t="s">
        <v>47</v>
      </c>
      <c r="B1628" t="str">
        <f>"200058"</f>
        <v>200058</v>
      </c>
      <c r="C1628" t="s">
        <v>3563</v>
      </c>
      <c r="E1628">
        <v>6958540305.7620001</v>
      </c>
      <c r="F1628">
        <v>7027585658.2705002</v>
      </c>
      <c r="G1628">
        <v>6760227759.0749998</v>
      </c>
      <c r="H1628">
        <v>7749691856.2755003</v>
      </c>
      <c r="I1628">
        <v>8477844750.7375002</v>
      </c>
      <c r="J1628">
        <v>8332340024.4267998</v>
      </c>
      <c r="K1628">
        <v>3136303455.6595998</v>
      </c>
      <c r="L1628">
        <v>3186142480</v>
      </c>
      <c r="M1628">
        <v>2567212221.8448</v>
      </c>
      <c r="N1628">
        <v>2197466344.1208</v>
      </c>
      <c r="O1628">
        <v>2082561611.9130001</v>
      </c>
      <c r="P1628">
        <v>7</v>
      </c>
      <c r="Q1628" t="s">
        <v>3564</v>
      </c>
    </row>
    <row r="1629" spans="1:17" x14ac:dyDescent="0.3">
      <c r="A1629" t="s">
        <v>17</v>
      </c>
      <c r="B1629" t="str">
        <f>"600360"</f>
        <v>600360</v>
      </c>
      <c r="C1629" t="s">
        <v>3565</v>
      </c>
      <c r="D1629" t="s">
        <v>2213</v>
      </c>
      <c r="E1629">
        <v>6954556265</v>
      </c>
      <c r="F1629">
        <v>6152156903</v>
      </c>
      <c r="G1629">
        <v>5752913472</v>
      </c>
      <c r="H1629">
        <v>4589954704</v>
      </c>
      <c r="I1629">
        <v>4258525334</v>
      </c>
      <c r="J1629">
        <v>3796211879</v>
      </c>
      <c r="K1629">
        <v>3599468654</v>
      </c>
      <c r="L1629">
        <v>3621015212</v>
      </c>
      <c r="M1629">
        <v>3592573090</v>
      </c>
      <c r="N1629">
        <v>3055785058</v>
      </c>
      <c r="O1629">
        <v>3208861996</v>
      </c>
      <c r="P1629">
        <v>318</v>
      </c>
      <c r="Q1629" t="s">
        <v>3566</v>
      </c>
    </row>
    <row r="1630" spans="1:17" x14ac:dyDescent="0.3">
      <c r="A1630" t="s">
        <v>47</v>
      </c>
      <c r="B1630" t="str">
        <f>"002441"</f>
        <v>002441</v>
      </c>
      <c r="C1630" t="s">
        <v>3567</v>
      </c>
      <c r="D1630" t="s">
        <v>562</v>
      </c>
      <c r="E1630">
        <v>6952944182</v>
      </c>
      <c r="F1630">
        <v>6462408948</v>
      </c>
      <c r="G1630">
        <v>5557227246</v>
      </c>
      <c r="H1630">
        <v>5455076536</v>
      </c>
      <c r="I1630">
        <v>5256281430</v>
      </c>
      <c r="J1630">
        <v>4800672560</v>
      </c>
      <c r="K1630">
        <v>4523438916</v>
      </c>
      <c r="L1630">
        <v>3760814830</v>
      </c>
      <c r="M1630">
        <v>3573119503</v>
      </c>
      <c r="N1630">
        <v>2991117181</v>
      </c>
      <c r="O1630">
        <v>2569063953</v>
      </c>
      <c r="P1630">
        <v>134</v>
      </c>
      <c r="Q1630" t="s">
        <v>3568</v>
      </c>
    </row>
    <row r="1631" spans="1:17" x14ac:dyDescent="0.3">
      <c r="A1631" t="s">
        <v>47</v>
      </c>
      <c r="B1631" t="str">
        <f>"002783"</f>
        <v>002783</v>
      </c>
      <c r="C1631" t="s">
        <v>3569</v>
      </c>
      <c r="D1631" t="s">
        <v>1995</v>
      </c>
      <c r="E1631">
        <v>6950443527</v>
      </c>
      <c r="F1631">
        <v>6736229335</v>
      </c>
      <c r="G1631">
        <v>4515197179</v>
      </c>
      <c r="H1631">
        <v>4006287143</v>
      </c>
      <c r="I1631">
        <v>2950351148</v>
      </c>
      <c r="J1631">
        <v>2156060654</v>
      </c>
      <c r="K1631">
        <v>1657244158</v>
      </c>
      <c r="L1631">
        <v>1210664900</v>
      </c>
      <c r="P1631">
        <v>112</v>
      </c>
      <c r="Q1631" t="s">
        <v>3570</v>
      </c>
    </row>
    <row r="1632" spans="1:17" x14ac:dyDescent="0.3">
      <c r="A1632" t="s">
        <v>17</v>
      </c>
      <c r="B1632" t="str">
        <f>"600933"</f>
        <v>600933</v>
      </c>
      <c r="C1632" t="s">
        <v>3571</v>
      </c>
      <c r="D1632" t="s">
        <v>274</v>
      </c>
      <c r="E1632">
        <v>6948673944</v>
      </c>
      <c r="F1632">
        <v>5968919744</v>
      </c>
      <c r="G1632">
        <v>5470218924</v>
      </c>
      <c r="H1632">
        <v>5001527078</v>
      </c>
      <c r="I1632">
        <v>4634613323</v>
      </c>
      <c r="P1632">
        <v>176</v>
      </c>
      <c r="Q1632" t="s">
        <v>3572</v>
      </c>
    </row>
    <row r="1633" spans="1:17" x14ac:dyDescent="0.3">
      <c r="A1633" t="s">
        <v>47</v>
      </c>
      <c r="B1633" t="str">
        <f>"200530"</f>
        <v>200530</v>
      </c>
      <c r="C1633" t="s">
        <v>3573</v>
      </c>
      <c r="E1633">
        <v>6936230448.3280001</v>
      </c>
      <c r="F1633">
        <v>6879926336.0115004</v>
      </c>
      <c r="G1633">
        <v>6057338660.7203999</v>
      </c>
      <c r="H1633">
        <v>6411957354.4535999</v>
      </c>
      <c r="I1633">
        <v>6791311560.9490004</v>
      </c>
      <c r="J1633">
        <v>5634567528.2130003</v>
      </c>
      <c r="K1633">
        <v>4924411323.8444996</v>
      </c>
      <c r="L1633">
        <v>3902531360</v>
      </c>
      <c r="M1633">
        <v>3728578970.934</v>
      </c>
      <c r="N1633">
        <v>3669793029.1536002</v>
      </c>
      <c r="O1633">
        <v>3653893389.105</v>
      </c>
      <c r="P1633">
        <v>25</v>
      </c>
      <c r="Q1633" t="s">
        <v>3574</v>
      </c>
    </row>
    <row r="1634" spans="1:17" x14ac:dyDescent="0.3">
      <c r="A1634" t="s">
        <v>47</v>
      </c>
      <c r="B1634" t="str">
        <f>"200045"</f>
        <v>200045</v>
      </c>
      <c r="C1634" t="s">
        <v>3575</v>
      </c>
      <c r="E1634">
        <v>6928166614.9540005</v>
      </c>
      <c r="F1634">
        <v>6035021454.3120003</v>
      </c>
      <c r="G1634">
        <v>4845098716.2560997</v>
      </c>
      <c r="H1634">
        <v>5266691196.4053001</v>
      </c>
      <c r="I1634">
        <v>5218199076.3024998</v>
      </c>
      <c r="J1634">
        <v>4668391016.4572001</v>
      </c>
      <c r="K1634">
        <v>3487994175.6381001</v>
      </c>
      <c r="L1634">
        <v>3608846685</v>
      </c>
      <c r="M1634">
        <v>3526290669.3140001</v>
      </c>
      <c r="N1634">
        <v>3658865160.3923998</v>
      </c>
      <c r="O1634">
        <v>2258643454.2270002</v>
      </c>
      <c r="P1634">
        <v>6</v>
      </c>
      <c r="Q1634" t="s">
        <v>3576</v>
      </c>
    </row>
    <row r="1635" spans="1:17" x14ac:dyDescent="0.3">
      <c r="A1635" t="s">
        <v>47</v>
      </c>
      <c r="B1635" t="str">
        <f>"300456"</f>
        <v>300456</v>
      </c>
      <c r="C1635" t="s">
        <v>3577</v>
      </c>
      <c r="D1635" t="s">
        <v>1560</v>
      </c>
      <c r="E1635">
        <v>6922122124</v>
      </c>
      <c r="F1635">
        <v>4921877872</v>
      </c>
      <c r="G1635">
        <v>4110243946</v>
      </c>
      <c r="H1635">
        <v>4469441037</v>
      </c>
      <c r="I1635">
        <v>3086917088</v>
      </c>
      <c r="J1635">
        <v>1877454304</v>
      </c>
      <c r="K1635">
        <v>648725312</v>
      </c>
      <c r="L1635">
        <v>375264800</v>
      </c>
      <c r="P1635">
        <v>376</v>
      </c>
      <c r="Q1635" t="s">
        <v>3578</v>
      </c>
    </row>
    <row r="1636" spans="1:17" x14ac:dyDescent="0.3">
      <c r="A1636" t="s">
        <v>47</v>
      </c>
      <c r="B1636" t="str">
        <f>"002392"</f>
        <v>002392</v>
      </c>
      <c r="C1636" t="s">
        <v>3579</v>
      </c>
      <c r="D1636" t="s">
        <v>3510</v>
      </c>
      <c r="E1636">
        <v>6918112786</v>
      </c>
      <c r="F1636">
        <v>6368030861</v>
      </c>
      <c r="G1636">
        <v>5453336652</v>
      </c>
      <c r="H1636">
        <v>5343940328</v>
      </c>
      <c r="I1636">
        <v>5289552377</v>
      </c>
      <c r="J1636">
        <v>5323309622</v>
      </c>
      <c r="K1636">
        <v>4749593049</v>
      </c>
      <c r="L1636">
        <v>4174517406</v>
      </c>
      <c r="M1636">
        <v>3759394665</v>
      </c>
      <c r="N1636">
        <v>2603819062</v>
      </c>
      <c r="O1636">
        <v>2451427036</v>
      </c>
      <c r="P1636">
        <v>142</v>
      </c>
      <c r="Q1636" t="s">
        <v>3580</v>
      </c>
    </row>
    <row r="1637" spans="1:17" x14ac:dyDescent="0.3">
      <c r="A1637" t="s">
        <v>47</v>
      </c>
      <c r="B1637" t="str">
        <f>"300082"</f>
        <v>300082</v>
      </c>
      <c r="C1637" t="s">
        <v>3581</v>
      </c>
      <c r="D1637" t="s">
        <v>2874</v>
      </c>
      <c r="E1637">
        <v>6890696930</v>
      </c>
      <c r="F1637">
        <v>5614920651</v>
      </c>
      <c r="G1637">
        <v>4801453406</v>
      </c>
      <c r="H1637">
        <v>5285447586</v>
      </c>
      <c r="I1637">
        <v>6148457946</v>
      </c>
      <c r="J1637">
        <v>5353735000</v>
      </c>
      <c r="K1637">
        <v>5168531940</v>
      </c>
      <c r="L1637">
        <v>5141415928</v>
      </c>
      <c r="M1637">
        <v>4130836090</v>
      </c>
      <c r="N1637">
        <v>3656657309</v>
      </c>
      <c r="O1637">
        <v>3483502136</v>
      </c>
      <c r="P1637">
        <v>176</v>
      </c>
      <c r="Q1637" t="s">
        <v>3582</v>
      </c>
    </row>
    <row r="1638" spans="1:17" x14ac:dyDescent="0.3">
      <c r="A1638" t="s">
        <v>47</v>
      </c>
      <c r="B1638" t="str">
        <f>"300091"</f>
        <v>300091</v>
      </c>
      <c r="C1638" t="s">
        <v>3583</v>
      </c>
      <c r="D1638" t="s">
        <v>1433</v>
      </c>
      <c r="E1638">
        <v>6872844658</v>
      </c>
      <c r="F1638">
        <v>6776368681</v>
      </c>
      <c r="G1638">
        <v>6249605235</v>
      </c>
      <c r="H1638">
        <v>5912767946</v>
      </c>
      <c r="I1638">
        <v>3771104732</v>
      </c>
      <c r="J1638">
        <v>2727858264</v>
      </c>
      <c r="K1638">
        <v>2310769568</v>
      </c>
      <c r="L1638">
        <v>1969761805</v>
      </c>
      <c r="M1638">
        <v>1624815667</v>
      </c>
      <c r="N1638">
        <v>1399885554</v>
      </c>
      <c r="O1638">
        <v>1346277823</v>
      </c>
      <c r="P1638">
        <v>101</v>
      </c>
      <c r="Q1638" t="s">
        <v>3584</v>
      </c>
    </row>
    <row r="1639" spans="1:17" x14ac:dyDescent="0.3">
      <c r="A1639" t="s">
        <v>47</v>
      </c>
      <c r="B1639" t="str">
        <f>"002579"</f>
        <v>002579</v>
      </c>
      <c r="C1639" t="s">
        <v>3585</v>
      </c>
      <c r="D1639" t="s">
        <v>1115</v>
      </c>
      <c r="E1639">
        <v>6866667858</v>
      </c>
      <c r="F1639">
        <v>5249926526</v>
      </c>
      <c r="G1639">
        <v>3199283802</v>
      </c>
      <c r="H1639">
        <v>2834297257</v>
      </c>
      <c r="I1639">
        <v>2051183969</v>
      </c>
      <c r="J1639">
        <v>1653496816</v>
      </c>
      <c r="K1639">
        <v>1340060102</v>
      </c>
      <c r="L1639">
        <v>1076295778</v>
      </c>
      <c r="M1639">
        <v>853118688</v>
      </c>
      <c r="N1639">
        <v>746012581</v>
      </c>
      <c r="O1639">
        <v>771791888</v>
      </c>
      <c r="P1639">
        <v>279</v>
      </c>
      <c r="Q1639" t="s">
        <v>3586</v>
      </c>
    </row>
    <row r="1640" spans="1:17" x14ac:dyDescent="0.3">
      <c r="A1640" t="s">
        <v>17</v>
      </c>
      <c r="B1640" t="str">
        <f>"688366"</f>
        <v>688366</v>
      </c>
      <c r="C1640" t="s">
        <v>3587</v>
      </c>
      <c r="D1640" t="s">
        <v>1650</v>
      </c>
      <c r="E1640">
        <v>6854436764</v>
      </c>
      <c r="F1640">
        <v>6402802145</v>
      </c>
      <c r="G1640">
        <v>6014270431</v>
      </c>
      <c r="H1640">
        <v>4379539800</v>
      </c>
      <c r="P1640">
        <v>265</v>
      </c>
      <c r="Q1640" t="s">
        <v>3588</v>
      </c>
    </row>
    <row r="1641" spans="1:17" x14ac:dyDescent="0.3">
      <c r="A1641" t="s">
        <v>17</v>
      </c>
      <c r="B1641" t="str">
        <f>"603053"</f>
        <v>603053</v>
      </c>
      <c r="C1641" t="s">
        <v>3589</v>
      </c>
      <c r="D1641" t="s">
        <v>476</v>
      </c>
      <c r="E1641">
        <v>6853128147</v>
      </c>
      <c r="F1641">
        <v>6724438221</v>
      </c>
      <c r="G1641">
        <v>6718216314</v>
      </c>
      <c r="P1641">
        <v>118</v>
      </c>
      <c r="Q1641" t="s">
        <v>3590</v>
      </c>
    </row>
    <row r="1642" spans="1:17" x14ac:dyDescent="0.3">
      <c r="A1642" t="s">
        <v>47</v>
      </c>
      <c r="B1642" t="str">
        <f>"300027"</f>
        <v>300027</v>
      </c>
      <c r="C1642" t="s">
        <v>3591</v>
      </c>
      <c r="D1642" t="s">
        <v>1673</v>
      </c>
      <c r="E1642">
        <v>6839880729</v>
      </c>
      <c r="F1642">
        <v>10630422644</v>
      </c>
      <c r="G1642">
        <v>10665688258</v>
      </c>
      <c r="H1642">
        <v>17666135881</v>
      </c>
      <c r="I1642">
        <v>20742969744</v>
      </c>
      <c r="J1642">
        <v>18820971236</v>
      </c>
      <c r="K1642">
        <v>19155479272</v>
      </c>
      <c r="L1642">
        <v>11026280369</v>
      </c>
      <c r="M1642">
        <v>7737416302</v>
      </c>
      <c r="N1642">
        <v>4912962969</v>
      </c>
      <c r="O1642">
        <v>2954300025</v>
      </c>
      <c r="P1642">
        <v>475</v>
      </c>
      <c r="Q1642" t="s">
        <v>3592</v>
      </c>
    </row>
    <row r="1643" spans="1:17" x14ac:dyDescent="0.3">
      <c r="A1643" t="s">
        <v>47</v>
      </c>
      <c r="B1643" t="str">
        <f>"002332"</f>
        <v>002332</v>
      </c>
      <c r="C1643" t="s">
        <v>3593</v>
      </c>
      <c r="D1643" t="s">
        <v>550</v>
      </c>
      <c r="E1643">
        <v>6835092522</v>
      </c>
      <c r="F1643">
        <v>6888947058</v>
      </c>
      <c r="G1643">
        <v>5958227827</v>
      </c>
      <c r="H1643">
        <v>5598109970</v>
      </c>
      <c r="I1643">
        <v>5264388753</v>
      </c>
      <c r="J1643">
        <v>3570947852</v>
      </c>
      <c r="K1643">
        <v>3378704308</v>
      </c>
      <c r="L1643">
        <v>2847280357</v>
      </c>
      <c r="M1643">
        <v>2731252720</v>
      </c>
      <c r="N1643">
        <v>2779965707</v>
      </c>
      <c r="O1643">
        <v>2100286297</v>
      </c>
      <c r="P1643">
        <v>385</v>
      </c>
      <c r="Q1643" t="s">
        <v>3594</v>
      </c>
    </row>
    <row r="1644" spans="1:17" x14ac:dyDescent="0.3">
      <c r="A1644" t="s">
        <v>17</v>
      </c>
      <c r="B1644" t="str">
        <f>"600526"</f>
        <v>600526</v>
      </c>
      <c r="C1644" t="s">
        <v>3595</v>
      </c>
      <c r="D1644" t="s">
        <v>1347</v>
      </c>
      <c r="E1644">
        <v>6810797588</v>
      </c>
      <c r="F1644">
        <v>6799219758</v>
      </c>
      <c r="G1644">
        <v>6929559049</v>
      </c>
      <c r="H1644">
        <v>7323068215</v>
      </c>
      <c r="I1644">
        <v>8319316726</v>
      </c>
      <c r="J1644">
        <v>8113749855</v>
      </c>
      <c r="K1644">
        <v>7473668185</v>
      </c>
      <c r="L1644">
        <v>5119304333</v>
      </c>
      <c r="M1644">
        <v>4152600112</v>
      </c>
      <c r="N1644">
        <v>3077041201</v>
      </c>
      <c r="O1644">
        <v>2402575110</v>
      </c>
      <c r="P1644">
        <v>114</v>
      </c>
      <c r="Q1644" t="s">
        <v>3596</v>
      </c>
    </row>
    <row r="1645" spans="1:17" x14ac:dyDescent="0.3">
      <c r="A1645" t="s">
        <v>47</v>
      </c>
      <c r="B1645" t="str">
        <f>"002865"</f>
        <v>002865</v>
      </c>
      <c r="C1645" t="s">
        <v>3597</v>
      </c>
      <c r="D1645" t="s">
        <v>416</v>
      </c>
      <c r="E1645">
        <v>6798933011</v>
      </c>
      <c r="F1645">
        <v>1990518926</v>
      </c>
      <c r="G1645">
        <v>1825369096</v>
      </c>
      <c r="H1645">
        <v>1885538872</v>
      </c>
      <c r="I1645">
        <v>1711083331</v>
      </c>
      <c r="J1645">
        <v>1520324183</v>
      </c>
      <c r="P1645">
        <v>111</v>
      </c>
      <c r="Q1645" t="s">
        <v>3598</v>
      </c>
    </row>
    <row r="1646" spans="1:17" x14ac:dyDescent="0.3">
      <c r="A1646" t="s">
        <v>17</v>
      </c>
      <c r="B1646" t="str">
        <f>"601208"</f>
        <v>601208</v>
      </c>
      <c r="C1646" t="s">
        <v>3599</v>
      </c>
      <c r="D1646" t="s">
        <v>2485</v>
      </c>
      <c r="E1646">
        <v>6797973140</v>
      </c>
      <c r="F1646">
        <v>4442444917</v>
      </c>
      <c r="G1646">
        <v>3397859771</v>
      </c>
      <c r="H1646">
        <v>3139393705</v>
      </c>
      <c r="I1646">
        <v>2996346515</v>
      </c>
      <c r="J1646">
        <v>2986354350</v>
      </c>
      <c r="K1646">
        <v>3255918920</v>
      </c>
      <c r="L1646">
        <v>3245778466</v>
      </c>
      <c r="M1646">
        <v>2525589495</v>
      </c>
      <c r="N1646">
        <v>2455718088</v>
      </c>
      <c r="O1646">
        <v>2482443987</v>
      </c>
      <c r="P1646">
        <v>3074</v>
      </c>
      <c r="Q1646" t="s">
        <v>3600</v>
      </c>
    </row>
    <row r="1647" spans="1:17" x14ac:dyDescent="0.3">
      <c r="A1647" t="s">
        <v>17</v>
      </c>
      <c r="B1647" t="str">
        <f>"600467"</f>
        <v>600467</v>
      </c>
      <c r="C1647" t="s">
        <v>3601</v>
      </c>
      <c r="D1647" t="s">
        <v>3602</v>
      </c>
      <c r="E1647">
        <v>6790307184</v>
      </c>
      <c r="F1647">
        <v>6539789729</v>
      </c>
      <c r="G1647">
        <v>6149781297</v>
      </c>
      <c r="H1647">
        <v>6104010154</v>
      </c>
      <c r="I1647">
        <v>5686255393</v>
      </c>
      <c r="J1647">
        <v>5208579426</v>
      </c>
      <c r="K1647">
        <v>5048071511</v>
      </c>
      <c r="L1647">
        <v>4790998816</v>
      </c>
      <c r="M1647">
        <v>4260323355</v>
      </c>
      <c r="N1647">
        <v>3983556945</v>
      </c>
      <c r="O1647">
        <v>3671129078</v>
      </c>
      <c r="P1647">
        <v>119</v>
      </c>
      <c r="Q1647" t="s">
        <v>3603</v>
      </c>
    </row>
    <row r="1648" spans="1:17" x14ac:dyDescent="0.3">
      <c r="A1648" t="s">
        <v>17</v>
      </c>
      <c r="B1648" t="str">
        <f>"600807"</f>
        <v>600807</v>
      </c>
      <c r="C1648" t="s">
        <v>3604</v>
      </c>
      <c r="D1648" t="s">
        <v>76</v>
      </c>
      <c r="E1648">
        <v>6789343959</v>
      </c>
      <c r="F1648">
        <v>4946501635</v>
      </c>
      <c r="G1648">
        <v>4124313832</v>
      </c>
      <c r="H1648">
        <v>6787449186</v>
      </c>
      <c r="I1648">
        <v>8939642184</v>
      </c>
      <c r="J1648">
        <v>10368134945</v>
      </c>
      <c r="K1648">
        <v>6245995543</v>
      </c>
      <c r="L1648">
        <v>3745652588</v>
      </c>
      <c r="M1648">
        <v>2944411892</v>
      </c>
      <c r="N1648">
        <v>2622379083</v>
      </c>
      <c r="O1648">
        <v>2102441521</v>
      </c>
      <c r="P1648">
        <v>111</v>
      </c>
      <c r="Q1648" t="s">
        <v>3605</v>
      </c>
    </row>
    <row r="1649" spans="1:17" x14ac:dyDescent="0.3">
      <c r="A1649" t="s">
        <v>17</v>
      </c>
      <c r="B1649" t="str">
        <f>"603378"</f>
        <v>603378</v>
      </c>
      <c r="C1649" t="s">
        <v>3606</v>
      </c>
      <c r="D1649" t="s">
        <v>2386</v>
      </c>
      <c r="E1649">
        <v>6785657799</v>
      </c>
      <c r="F1649">
        <v>5372981441</v>
      </c>
      <c r="G1649">
        <v>2917980389</v>
      </c>
      <c r="H1649">
        <v>2546972979</v>
      </c>
      <c r="I1649">
        <v>2016326899</v>
      </c>
      <c r="P1649">
        <v>203</v>
      </c>
      <c r="Q1649" t="s">
        <v>3607</v>
      </c>
    </row>
    <row r="1650" spans="1:17" x14ac:dyDescent="0.3">
      <c r="A1650" t="s">
        <v>47</v>
      </c>
      <c r="B1650" t="str">
        <f>"002219"</f>
        <v>002219</v>
      </c>
      <c r="C1650" t="s">
        <v>3608</v>
      </c>
      <c r="D1650" t="s">
        <v>1585</v>
      </c>
      <c r="E1650">
        <v>6776359687</v>
      </c>
      <c r="F1650">
        <v>4825242006</v>
      </c>
      <c r="G1650">
        <v>4848059212</v>
      </c>
      <c r="H1650">
        <v>8841307876</v>
      </c>
      <c r="I1650">
        <v>10103594640</v>
      </c>
      <c r="J1650">
        <v>6388176789</v>
      </c>
      <c r="K1650">
        <v>4803882838</v>
      </c>
      <c r="L1650">
        <v>3131854836</v>
      </c>
      <c r="M1650">
        <v>1345829597</v>
      </c>
      <c r="N1650">
        <v>1009283911</v>
      </c>
      <c r="O1650">
        <v>613317202</v>
      </c>
      <c r="P1650">
        <v>94</v>
      </c>
      <c r="Q1650" t="s">
        <v>3609</v>
      </c>
    </row>
    <row r="1651" spans="1:17" x14ac:dyDescent="0.3">
      <c r="A1651" t="s">
        <v>17</v>
      </c>
      <c r="B1651" t="str">
        <f>"600792"</f>
        <v>600792</v>
      </c>
      <c r="C1651" t="s">
        <v>3610</v>
      </c>
      <c r="D1651" t="s">
        <v>1279</v>
      </c>
      <c r="E1651">
        <v>6774329677</v>
      </c>
      <c r="F1651">
        <v>5457403601</v>
      </c>
      <c r="G1651">
        <v>5664207332</v>
      </c>
      <c r="H1651">
        <v>5437485298</v>
      </c>
      <c r="I1651">
        <v>5296430458</v>
      </c>
      <c r="J1651">
        <v>6010726965</v>
      </c>
      <c r="K1651">
        <v>5713765966</v>
      </c>
      <c r="L1651">
        <v>6254120539</v>
      </c>
      <c r="M1651">
        <v>6170242178</v>
      </c>
      <c r="N1651">
        <v>6061874181</v>
      </c>
      <c r="O1651">
        <v>6398385326</v>
      </c>
      <c r="P1651">
        <v>97</v>
      </c>
      <c r="Q1651" t="s">
        <v>3611</v>
      </c>
    </row>
    <row r="1652" spans="1:17" x14ac:dyDescent="0.3">
      <c r="A1652" t="s">
        <v>47</v>
      </c>
      <c r="B1652" t="str">
        <f>"002367"</f>
        <v>002367</v>
      </c>
      <c r="C1652" t="s">
        <v>3612</v>
      </c>
      <c r="D1652" t="s">
        <v>1092</v>
      </c>
      <c r="E1652">
        <v>6772628534</v>
      </c>
      <c r="F1652">
        <v>6028559975</v>
      </c>
      <c r="G1652">
        <v>5756897821</v>
      </c>
      <c r="H1652">
        <v>5424011157</v>
      </c>
      <c r="I1652">
        <v>5493783527</v>
      </c>
      <c r="J1652">
        <v>5434924508</v>
      </c>
      <c r="K1652">
        <v>4169475172</v>
      </c>
      <c r="L1652">
        <v>3595585436</v>
      </c>
      <c r="M1652">
        <v>2917809793</v>
      </c>
      <c r="N1652">
        <v>2454439917</v>
      </c>
      <c r="O1652">
        <v>2173136742</v>
      </c>
      <c r="P1652">
        <v>388</v>
      </c>
      <c r="Q1652" t="s">
        <v>3613</v>
      </c>
    </row>
    <row r="1653" spans="1:17" x14ac:dyDescent="0.3">
      <c r="A1653" t="s">
        <v>47</v>
      </c>
      <c r="B1653" t="str">
        <f>"002454"</f>
        <v>002454</v>
      </c>
      <c r="C1653" t="s">
        <v>3614</v>
      </c>
      <c r="D1653" t="s">
        <v>836</v>
      </c>
      <c r="E1653">
        <v>6763141493</v>
      </c>
      <c r="F1653">
        <v>6719083804</v>
      </c>
      <c r="G1653">
        <v>5830441592</v>
      </c>
      <c r="H1653">
        <v>5869672498</v>
      </c>
      <c r="I1653">
        <v>6120743151</v>
      </c>
      <c r="J1653">
        <v>4790249936</v>
      </c>
      <c r="K1653">
        <v>4408179204</v>
      </c>
      <c r="L1653">
        <v>3737133678</v>
      </c>
      <c r="M1653">
        <v>3446063537</v>
      </c>
      <c r="N1653">
        <v>2842263352</v>
      </c>
      <c r="O1653">
        <v>2682314623</v>
      </c>
      <c r="P1653">
        <v>191</v>
      </c>
      <c r="Q1653" t="s">
        <v>3615</v>
      </c>
    </row>
    <row r="1654" spans="1:17" x14ac:dyDescent="0.3">
      <c r="A1654" t="s">
        <v>47</v>
      </c>
      <c r="B1654" t="str">
        <f>"300459"</f>
        <v>300459</v>
      </c>
      <c r="C1654" t="s">
        <v>3616</v>
      </c>
      <c r="D1654" t="s">
        <v>1032</v>
      </c>
      <c r="E1654">
        <v>6757693054</v>
      </c>
      <c r="F1654">
        <v>6647183507</v>
      </c>
      <c r="G1654">
        <v>8248339756</v>
      </c>
      <c r="H1654">
        <v>14016850074</v>
      </c>
      <c r="I1654">
        <v>11213282749</v>
      </c>
      <c r="J1654">
        <v>5560199551</v>
      </c>
      <c r="K1654">
        <v>877307945</v>
      </c>
      <c r="L1654">
        <v>664203900</v>
      </c>
      <c r="P1654">
        <v>287</v>
      </c>
      <c r="Q1654" t="s">
        <v>3617</v>
      </c>
    </row>
    <row r="1655" spans="1:17" x14ac:dyDescent="0.3">
      <c r="A1655" t="s">
        <v>47</v>
      </c>
      <c r="B1655" t="str">
        <f>"301207"</f>
        <v>301207</v>
      </c>
      <c r="C1655" t="s">
        <v>3618</v>
      </c>
      <c r="E1655">
        <v>6746296461</v>
      </c>
      <c r="P1655">
        <v>19</v>
      </c>
      <c r="Q1655" t="s">
        <v>3619</v>
      </c>
    </row>
    <row r="1656" spans="1:17" x14ac:dyDescent="0.3">
      <c r="A1656" t="s">
        <v>47</v>
      </c>
      <c r="B1656" t="str">
        <f>"002772"</f>
        <v>002772</v>
      </c>
      <c r="C1656" t="s">
        <v>3620</v>
      </c>
      <c r="D1656" t="s">
        <v>3621</v>
      </c>
      <c r="E1656">
        <v>6743024882</v>
      </c>
      <c r="F1656">
        <v>5878168718</v>
      </c>
      <c r="G1656">
        <v>5366483509</v>
      </c>
      <c r="H1656">
        <v>4744443663</v>
      </c>
      <c r="I1656">
        <v>4176131959</v>
      </c>
      <c r="J1656">
        <v>3096134020</v>
      </c>
      <c r="K1656">
        <v>1796405840</v>
      </c>
      <c r="L1656">
        <v>1072384900</v>
      </c>
      <c r="M1656">
        <v>840245200</v>
      </c>
      <c r="P1656">
        <v>202</v>
      </c>
      <c r="Q1656" t="s">
        <v>3622</v>
      </c>
    </row>
    <row r="1657" spans="1:17" x14ac:dyDescent="0.3">
      <c r="A1657" t="s">
        <v>47</v>
      </c>
      <c r="B1657" t="str">
        <f>"000948"</f>
        <v>000948</v>
      </c>
      <c r="C1657" t="s">
        <v>3623</v>
      </c>
      <c r="D1657" t="s">
        <v>1859</v>
      </c>
      <c r="E1657">
        <v>6739656894</v>
      </c>
      <c r="F1657">
        <v>4346831117</v>
      </c>
      <c r="G1657">
        <v>4167075269</v>
      </c>
      <c r="H1657">
        <v>2890316161</v>
      </c>
      <c r="I1657">
        <v>2658135084</v>
      </c>
      <c r="J1657">
        <v>2405148973</v>
      </c>
      <c r="K1657">
        <v>2371451486</v>
      </c>
      <c r="L1657">
        <v>2290531551</v>
      </c>
      <c r="M1657">
        <v>2183324051</v>
      </c>
      <c r="N1657">
        <v>2092470854</v>
      </c>
      <c r="O1657">
        <v>2091930835</v>
      </c>
      <c r="P1657">
        <v>213</v>
      </c>
      <c r="Q1657" t="s">
        <v>3624</v>
      </c>
    </row>
    <row r="1658" spans="1:17" x14ac:dyDescent="0.3">
      <c r="A1658" t="s">
        <v>17</v>
      </c>
      <c r="B1658" t="str">
        <f>"600882"</f>
        <v>600882</v>
      </c>
      <c r="C1658" t="s">
        <v>3625</v>
      </c>
      <c r="D1658" t="s">
        <v>487</v>
      </c>
      <c r="E1658">
        <v>6735937956</v>
      </c>
      <c r="F1658">
        <v>3445245959</v>
      </c>
      <c r="G1658">
        <v>2954826093</v>
      </c>
      <c r="H1658">
        <v>2719130462</v>
      </c>
      <c r="I1658">
        <v>2691081228</v>
      </c>
      <c r="J1658">
        <v>2277448060</v>
      </c>
      <c r="K1658">
        <v>1737722233</v>
      </c>
      <c r="L1658">
        <v>1649492007</v>
      </c>
      <c r="M1658">
        <v>1888715838</v>
      </c>
      <c r="N1658">
        <v>1766769972</v>
      </c>
      <c r="O1658">
        <v>1299610748</v>
      </c>
      <c r="P1658">
        <v>515</v>
      </c>
      <c r="Q1658" t="s">
        <v>3626</v>
      </c>
    </row>
    <row r="1659" spans="1:17" x14ac:dyDescent="0.3">
      <c r="A1659" t="s">
        <v>17</v>
      </c>
      <c r="B1659" t="str">
        <f>"603583"</f>
        <v>603583</v>
      </c>
      <c r="C1659" t="s">
        <v>3627</v>
      </c>
      <c r="D1659" t="s">
        <v>1360</v>
      </c>
      <c r="E1659">
        <v>6728726056</v>
      </c>
      <c r="F1659">
        <v>4176467824</v>
      </c>
      <c r="G1659">
        <v>2252082247</v>
      </c>
      <c r="H1659">
        <v>1948277380</v>
      </c>
      <c r="P1659">
        <v>704</v>
      </c>
      <c r="Q1659" t="s">
        <v>3628</v>
      </c>
    </row>
    <row r="1660" spans="1:17" x14ac:dyDescent="0.3">
      <c r="A1660" t="s">
        <v>17</v>
      </c>
      <c r="B1660" t="str">
        <f>"600602"</f>
        <v>600602</v>
      </c>
      <c r="C1660" t="s">
        <v>3629</v>
      </c>
      <c r="D1660" t="s">
        <v>1859</v>
      </c>
      <c r="E1660">
        <v>6726845754</v>
      </c>
      <c r="F1660">
        <v>6215757296</v>
      </c>
      <c r="G1660">
        <v>5722353583</v>
      </c>
      <c r="H1660">
        <v>5451235567</v>
      </c>
      <c r="I1660">
        <v>5264688083</v>
      </c>
      <c r="J1660">
        <v>4937104308</v>
      </c>
      <c r="K1660">
        <v>4495566823</v>
      </c>
      <c r="L1660">
        <v>3165262427</v>
      </c>
      <c r="M1660">
        <v>2973268214</v>
      </c>
      <c r="N1660">
        <v>2773692850</v>
      </c>
      <c r="O1660">
        <v>2777549511</v>
      </c>
      <c r="P1660">
        <v>136</v>
      </c>
      <c r="Q1660" t="s">
        <v>3630</v>
      </c>
    </row>
    <row r="1661" spans="1:17" x14ac:dyDescent="0.3">
      <c r="A1661" t="s">
        <v>47</v>
      </c>
      <c r="B1661" t="str">
        <f>"300195"</f>
        <v>300195</v>
      </c>
      <c r="C1661" t="s">
        <v>3631</v>
      </c>
      <c r="D1661" t="s">
        <v>3237</v>
      </c>
      <c r="E1661">
        <v>6723804937</v>
      </c>
      <c r="F1661">
        <v>6209103337</v>
      </c>
      <c r="G1661">
        <v>6910361784</v>
      </c>
      <c r="H1661">
        <v>5870652158</v>
      </c>
      <c r="I1661">
        <v>5231042110</v>
      </c>
      <c r="J1661">
        <v>5333135739</v>
      </c>
      <c r="K1661">
        <v>3555757149</v>
      </c>
      <c r="L1661">
        <v>2887860703</v>
      </c>
      <c r="M1661">
        <v>1544811587</v>
      </c>
      <c r="N1661">
        <v>1503495924</v>
      </c>
      <c r="O1661">
        <v>1491803544</v>
      </c>
      <c r="P1661">
        <v>90</v>
      </c>
      <c r="Q1661" t="s">
        <v>3632</v>
      </c>
    </row>
    <row r="1662" spans="1:17" x14ac:dyDescent="0.3">
      <c r="A1662" t="s">
        <v>17</v>
      </c>
      <c r="B1662" t="str">
        <f>"600201"</f>
        <v>600201</v>
      </c>
      <c r="C1662" t="s">
        <v>3633</v>
      </c>
      <c r="D1662" t="s">
        <v>3286</v>
      </c>
      <c r="E1662">
        <v>6716016379</v>
      </c>
      <c r="F1662">
        <v>6476415521</v>
      </c>
      <c r="G1662">
        <v>5858779484</v>
      </c>
      <c r="H1662">
        <v>6212152542</v>
      </c>
      <c r="I1662">
        <v>6253502720</v>
      </c>
      <c r="J1662">
        <v>4670013610</v>
      </c>
      <c r="K1662">
        <v>2773205015</v>
      </c>
      <c r="L1662">
        <v>2215955595</v>
      </c>
      <c r="M1662">
        <v>1804810761</v>
      </c>
      <c r="N1662">
        <v>1831707220</v>
      </c>
      <c r="O1662">
        <v>1701317021</v>
      </c>
      <c r="P1662">
        <v>1764</v>
      </c>
      <c r="Q1662" t="s">
        <v>3634</v>
      </c>
    </row>
    <row r="1663" spans="1:17" x14ac:dyDescent="0.3">
      <c r="A1663" t="s">
        <v>17</v>
      </c>
      <c r="B1663" t="str">
        <f>"600829"</f>
        <v>600829</v>
      </c>
      <c r="C1663" t="s">
        <v>3635</v>
      </c>
      <c r="D1663" t="s">
        <v>362</v>
      </c>
      <c r="E1663">
        <v>6704745515</v>
      </c>
      <c r="F1663">
        <v>5914623196</v>
      </c>
      <c r="G1663">
        <v>5526990740</v>
      </c>
      <c r="H1663">
        <v>4553420623</v>
      </c>
      <c r="I1663">
        <v>4785280265</v>
      </c>
      <c r="J1663">
        <v>4626115867</v>
      </c>
      <c r="K1663">
        <v>4185105753</v>
      </c>
      <c r="L1663">
        <v>3861367323</v>
      </c>
      <c r="M1663">
        <v>3618663489</v>
      </c>
      <c r="N1663">
        <v>4000449066</v>
      </c>
      <c r="O1663">
        <v>3950369443</v>
      </c>
      <c r="P1663">
        <v>1902</v>
      </c>
      <c r="Q1663" t="s">
        <v>3636</v>
      </c>
    </row>
    <row r="1664" spans="1:17" x14ac:dyDescent="0.3">
      <c r="A1664" t="s">
        <v>47</v>
      </c>
      <c r="B1664" t="str">
        <f>"300850"</f>
        <v>300850</v>
      </c>
      <c r="C1664" t="s">
        <v>3637</v>
      </c>
      <c r="D1664" t="s">
        <v>2013</v>
      </c>
      <c r="E1664">
        <v>6684323596</v>
      </c>
      <c r="F1664">
        <v>3473286219</v>
      </c>
      <c r="G1664">
        <v>1293015519</v>
      </c>
      <c r="P1664">
        <v>264</v>
      </c>
      <c r="Q1664" t="s">
        <v>3638</v>
      </c>
    </row>
    <row r="1665" spans="1:17" x14ac:dyDescent="0.3">
      <c r="A1665" t="s">
        <v>17</v>
      </c>
      <c r="B1665" t="str">
        <f>"600363"</f>
        <v>600363</v>
      </c>
      <c r="C1665" t="s">
        <v>3639</v>
      </c>
      <c r="D1665" t="s">
        <v>862</v>
      </c>
      <c r="E1665">
        <v>6674451815</v>
      </c>
      <c r="F1665">
        <v>5958665068</v>
      </c>
      <c r="G1665">
        <v>5665229406</v>
      </c>
      <c r="H1665">
        <v>5318508365</v>
      </c>
      <c r="I1665">
        <v>4272964234</v>
      </c>
      <c r="J1665">
        <v>3879716802</v>
      </c>
      <c r="K1665">
        <v>3610902009</v>
      </c>
      <c r="L1665">
        <v>3354983877</v>
      </c>
      <c r="M1665">
        <v>2829488073</v>
      </c>
      <c r="N1665">
        <v>2301428775</v>
      </c>
      <c r="O1665">
        <v>2031596152</v>
      </c>
      <c r="P1665">
        <v>202</v>
      </c>
      <c r="Q1665" t="s">
        <v>3640</v>
      </c>
    </row>
    <row r="1666" spans="1:17" x14ac:dyDescent="0.3">
      <c r="A1666" t="s">
        <v>47</v>
      </c>
      <c r="B1666" t="str">
        <f>"002488"</f>
        <v>002488</v>
      </c>
      <c r="C1666" t="s">
        <v>3641</v>
      </c>
      <c r="D1666" t="s">
        <v>1102</v>
      </c>
      <c r="E1666">
        <v>6673309776</v>
      </c>
      <c r="F1666">
        <v>6397055446</v>
      </c>
      <c r="G1666">
        <v>6694990038</v>
      </c>
      <c r="H1666">
        <v>7286772430</v>
      </c>
      <c r="I1666">
        <v>7224086490</v>
      </c>
      <c r="J1666">
        <v>4239559145</v>
      </c>
      <c r="K1666">
        <v>3887869350</v>
      </c>
      <c r="L1666">
        <v>3520244414</v>
      </c>
      <c r="M1666">
        <v>2746228542</v>
      </c>
      <c r="N1666">
        <v>2091708786</v>
      </c>
      <c r="O1666">
        <v>1737849711</v>
      </c>
      <c r="P1666">
        <v>152</v>
      </c>
      <c r="Q1666" t="s">
        <v>3642</v>
      </c>
    </row>
    <row r="1667" spans="1:17" x14ac:dyDescent="0.3">
      <c r="A1667" t="s">
        <v>47</v>
      </c>
      <c r="B1667" t="str">
        <f>"002268"</f>
        <v>002268</v>
      </c>
      <c r="C1667" t="s">
        <v>3643</v>
      </c>
      <c r="D1667" t="s">
        <v>765</v>
      </c>
      <c r="E1667">
        <v>6671401321</v>
      </c>
      <c r="F1667">
        <v>6097266571</v>
      </c>
      <c r="G1667">
        <v>5552420591</v>
      </c>
      <c r="H1667">
        <v>5556348810</v>
      </c>
      <c r="I1667">
        <v>5445009746</v>
      </c>
      <c r="J1667">
        <v>4969816175</v>
      </c>
      <c r="K1667">
        <v>2449388598</v>
      </c>
      <c r="L1667">
        <v>1772525569</v>
      </c>
      <c r="M1667">
        <v>821656046</v>
      </c>
      <c r="N1667">
        <v>756468684</v>
      </c>
      <c r="O1667">
        <v>702192192</v>
      </c>
      <c r="P1667">
        <v>525</v>
      </c>
      <c r="Q1667" t="s">
        <v>3644</v>
      </c>
    </row>
    <row r="1668" spans="1:17" x14ac:dyDescent="0.3">
      <c r="A1668" t="s">
        <v>47</v>
      </c>
      <c r="B1668" t="str">
        <f>"000935"</f>
        <v>000935</v>
      </c>
      <c r="C1668" t="s">
        <v>3645</v>
      </c>
      <c r="D1668" t="s">
        <v>253</v>
      </c>
      <c r="E1668">
        <v>6663696241</v>
      </c>
      <c r="F1668">
        <v>5746859577</v>
      </c>
      <c r="G1668">
        <v>4940964181</v>
      </c>
      <c r="H1668">
        <v>4227233244</v>
      </c>
      <c r="I1668">
        <v>4071829126</v>
      </c>
      <c r="J1668">
        <v>5436017626</v>
      </c>
      <c r="K1668">
        <v>5518100029</v>
      </c>
      <c r="L1668">
        <v>4639817084</v>
      </c>
      <c r="M1668">
        <v>4704411260</v>
      </c>
      <c r="N1668">
        <v>4864579753</v>
      </c>
      <c r="O1668">
        <v>4846669555</v>
      </c>
      <c r="P1668">
        <v>230</v>
      </c>
      <c r="Q1668" t="s">
        <v>3646</v>
      </c>
    </row>
    <row r="1669" spans="1:17" x14ac:dyDescent="0.3">
      <c r="A1669" t="s">
        <v>17</v>
      </c>
      <c r="B1669" t="str">
        <f>"600283"</f>
        <v>600283</v>
      </c>
      <c r="C1669" t="s">
        <v>3647</v>
      </c>
      <c r="D1669" t="s">
        <v>520</v>
      </c>
      <c r="E1669">
        <v>6661256710</v>
      </c>
      <c r="F1669">
        <v>5937615606</v>
      </c>
      <c r="G1669">
        <v>5226767786</v>
      </c>
      <c r="H1669">
        <v>5165419728</v>
      </c>
      <c r="I1669">
        <v>4939660574</v>
      </c>
      <c r="J1669">
        <v>5367272254</v>
      </c>
      <c r="K1669">
        <v>5352296366</v>
      </c>
      <c r="L1669">
        <v>4958519644</v>
      </c>
      <c r="M1669">
        <v>3732238979</v>
      </c>
      <c r="N1669">
        <v>3316627628</v>
      </c>
      <c r="O1669">
        <v>2967219193</v>
      </c>
      <c r="P1669">
        <v>122</v>
      </c>
      <c r="Q1669" t="s">
        <v>3648</v>
      </c>
    </row>
    <row r="1670" spans="1:17" x14ac:dyDescent="0.3">
      <c r="A1670" t="s">
        <v>17</v>
      </c>
      <c r="B1670" t="str">
        <f>"688183"</f>
        <v>688183</v>
      </c>
      <c r="C1670" t="s">
        <v>3649</v>
      </c>
      <c r="D1670" t="s">
        <v>1115</v>
      </c>
      <c r="E1670">
        <v>6658261287</v>
      </c>
      <c r="F1670">
        <v>6697159889</v>
      </c>
      <c r="P1670">
        <v>41</v>
      </c>
      <c r="Q1670" t="s">
        <v>3650</v>
      </c>
    </row>
    <row r="1671" spans="1:17" x14ac:dyDescent="0.3">
      <c r="A1671" t="s">
        <v>17</v>
      </c>
      <c r="B1671" t="str">
        <f>"603301"</f>
        <v>603301</v>
      </c>
      <c r="C1671" t="s">
        <v>3651</v>
      </c>
      <c r="D1671" t="s">
        <v>1650</v>
      </c>
      <c r="E1671">
        <v>6658086217</v>
      </c>
      <c r="F1671">
        <v>6579297872</v>
      </c>
      <c r="G1671">
        <v>3041253446</v>
      </c>
      <c r="H1671">
        <v>1991977758</v>
      </c>
      <c r="I1671">
        <v>1367657597</v>
      </c>
      <c r="P1671">
        <v>1533</v>
      </c>
      <c r="Q1671" t="s">
        <v>3652</v>
      </c>
    </row>
    <row r="1672" spans="1:17" x14ac:dyDescent="0.3">
      <c r="A1672" t="s">
        <v>17</v>
      </c>
      <c r="B1672" t="str">
        <f>"601518"</f>
        <v>601518</v>
      </c>
      <c r="C1672" t="s">
        <v>3653</v>
      </c>
      <c r="D1672" t="s">
        <v>471</v>
      </c>
      <c r="E1672">
        <v>6657712239</v>
      </c>
      <c r="F1672">
        <v>6665796175</v>
      </c>
      <c r="G1672">
        <v>6414217856</v>
      </c>
      <c r="H1672">
        <v>6695081839</v>
      </c>
      <c r="I1672">
        <v>6371903917</v>
      </c>
      <c r="J1672">
        <v>7139238136</v>
      </c>
      <c r="K1672">
        <v>6476903989</v>
      </c>
      <c r="L1672">
        <v>5222347809</v>
      </c>
      <c r="M1672">
        <v>4317796786</v>
      </c>
      <c r="N1672">
        <v>3728309275</v>
      </c>
      <c r="O1672">
        <v>2724162105</v>
      </c>
      <c r="P1672">
        <v>111</v>
      </c>
      <c r="Q1672" t="s">
        <v>3654</v>
      </c>
    </row>
    <row r="1673" spans="1:17" x14ac:dyDescent="0.3">
      <c r="A1673" t="s">
        <v>17</v>
      </c>
      <c r="B1673" t="str">
        <f>"603278"</f>
        <v>603278</v>
      </c>
      <c r="C1673" t="s">
        <v>3655</v>
      </c>
      <c r="D1673" t="s">
        <v>401</v>
      </c>
      <c r="E1673">
        <v>6650454696</v>
      </c>
      <c r="F1673">
        <v>5642473695</v>
      </c>
      <c r="G1673">
        <v>4012504234</v>
      </c>
      <c r="H1673">
        <v>3314829207</v>
      </c>
      <c r="I1673">
        <v>2818153689</v>
      </c>
      <c r="P1673">
        <v>122</v>
      </c>
      <c r="Q1673" t="s">
        <v>3656</v>
      </c>
    </row>
    <row r="1674" spans="1:17" x14ac:dyDescent="0.3">
      <c r="A1674" t="s">
        <v>47</v>
      </c>
      <c r="B1674" t="str">
        <f>"300482"</f>
        <v>300482</v>
      </c>
      <c r="C1674" t="s">
        <v>3657</v>
      </c>
      <c r="D1674" t="s">
        <v>2322</v>
      </c>
      <c r="E1674">
        <v>6644864053</v>
      </c>
      <c r="F1674">
        <v>4459966143</v>
      </c>
      <c r="G1674">
        <v>3573467631</v>
      </c>
      <c r="H1674">
        <v>2787333152</v>
      </c>
      <c r="I1674">
        <v>1775663563</v>
      </c>
      <c r="J1674">
        <v>1218132092</v>
      </c>
      <c r="K1674">
        <v>813967386</v>
      </c>
      <c r="L1674">
        <v>419362558</v>
      </c>
      <c r="P1674">
        <v>17071</v>
      </c>
      <c r="Q1674" t="s">
        <v>3658</v>
      </c>
    </row>
    <row r="1675" spans="1:17" x14ac:dyDescent="0.3">
      <c r="A1675" t="s">
        <v>47</v>
      </c>
      <c r="B1675" t="str">
        <f>"002174"</f>
        <v>002174</v>
      </c>
      <c r="C1675" t="s">
        <v>3659</v>
      </c>
      <c r="D1675" t="s">
        <v>1032</v>
      </c>
      <c r="E1675">
        <v>6632921241</v>
      </c>
      <c r="F1675">
        <v>8242455002</v>
      </c>
      <c r="G1675">
        <v>9128512691</v>
      </c>
      <c r="H1675">
        <v>7977066842</v>
      </c>
      <c r="I1675">
        <v>6964773187</v>
      </c>
      <c r="J1675">
        <v>5433548214</v>
      </c>
      <c r="K1675">
        <v>2960976046</v>
      </c>
      <c r="L1675">
        <v>1590530404</v>
      </c>
      <c r="M1675">
        <v>524896774</v>
      </c>
      <c r="N1675">
        <v>739057354</v>
      </c>
      <c r="O1675">
        <v>506866154</v>
      </c>
      <c r="P1675">
        <v>736</v>
      </c>
      <c r="Q1675" t="s">
        <v>3660</v>
      </c>
    </row>
    <row r="1676" spans="1:17" x14ac:dyDescent="0.3">
      <c r="A1676" t="s">
        <v>47</v>
      </c>
      <c r="B1676" t="str">
        <f>"002413"</f>
        <v>002413</v>
      </c>
      <c r="C1676" t="s">
        <v>3661</v>
      </c>
      <c r="D1676" t="s">
        <v>1385</v>
      </c>
      <c r="E1676">
        <v>6627704325</v>
      </c>
      <c r="F1676">
        <v>6160082841</v>
      </c>
      <c r="G1676">
        <v>5084679749</v>
      </c>
      <c r="H1676">
        <v>4124384289</v>
      </c>
      <c r="I1676">
        <v>4171797482</v>
      </c>
      <c r="J1676">
        <v>3737569813</v>
      </c>
      <c r="K1676">
        <v>2377183749</v>
      </c>
      <c r="L1676">
        <v>1593630105</v>
      </c>
      <c r="M1676">
        <v>1738482540</v>
      </c>
      <c r="N1676">
        <v>1528228984</v>
      </c>
      <c r="O1676">
        <v>1566484916</v>
      </c>
      <c r="P1676">
        <v>218</v>
      </c>
      <c r="Q1676" t="s">
        <v>3662</v>
      </c>
    </row>
    <row r="1677" spans="1:17" x14ac:dyDescent="0.3">
      <c r="A1677" t="s">
        <v>47</v>
      </c>
      <c r="B1677" t="str">
        <f>"300821"</f>
        <v>300821</v>
      </c>
      <c r="C1677" t="s">
        <v>3663</v>
      </c>
      <c r="D1677" t="s">
        <v>1833</v>
      </c>
      <c r="E1677">
        <v>6621131976</v>
      </c>
      <c r="F1677">
        <v>4676664507</v>
      </c>
      <c r="G1677">
        <v>4550048966</v>
      </c>
      <c r="P1677">
        <v>159</v>
      </c>
      <c r="Q1677" t="s">
        <v>3664</v>
      </c>
    </row>
    <row r="1678" spans="1:17" x14ac:dyDescent="0.3">
      <c r="A1678" t="s">
        <v>47</v>
      </c>
      <c r="B1678" t="str">
        <f>"002016"</f>
        <v>002016</v>
      </c>
      <c r="C1678" t="s">
        <v>3665</v>
      </c>
      <c r="D1678" t="s">
        <v>76</v>
      </c>
      <c r="E1678">
        <v>6617766771</v>
      </c>
      <c r="F1678">
        <v>7486424461</v>
      </c>
      <c r="G1678">
        <v>8791136062</v>
      </c>
      <c r="H1678">
        <v>7596321099</v>
      </c>
      <c r="I1678">
        <v>6969190087</v>
      </c>
      <c r="J1678">
        <v>7674669128</v>
      </c>
      <c r="K1678">
        <v>5491460144</v>
      </c>
      <c r="L1678">
        <v>5134514727</v>
      </c>
      <c r="M1678">
        <v>3685813561</v>
      </c>
      <c r="N1678">
        <v>3300350151</v>
      </c>
      <c r="O1678">
        <v>2495363894</v>
      </c>
      <c r="P1678">
        <v>457</v>
      </c>
      <c r="Q1678" t="s">
        <v>3666</v>
      </c>
    </row>
    <row r="1679" spans="1:17" x14ac:dyDescent="0.3">
      <c r="A1679" t="s">
        <v>17</v>
      </c>
      <c r="B1679" t="str">
        <f>"688256"</f>
        <v>688256</v>
      </c>
      <c r="C1679" t="s">
        <v>3667</v>
      </c>
      <c r="D1679" t="s">
        <v>967</v>
      </c>
      <c r="E1679">
        <v>6613711313</v>
      </c>
      <c r="F1679">
        <v>7053612665</v>
      </c>
      <c r="G1679">
        <v>4493545556</v>
      </c>
      <c r="P1679">
        <v>192</v>
      </c>
      <c r="Q1679" t="s">
        <v>3668</v>
      </c>
    </row>
    <row r="1680" spans="1:17" x14ac:dyDescent="0.3">
      <c r="A1680" t="s">
        <v>47</v>
      </c>
      <c r="B1680" t="str">
        <f>"000099"</f>
        <v>000099</v>
      </c>
      <c r="C1680" t="s">
        <v>3669</v>
      </c>
      <c r="D1680" t="s">
        <v>243</v>
      </c>
      <c r="E1680">
        <v>6611189193</v>
      </c>
      <c r="F1680">
        <v>5408132251</v>
      </c>
      <c r="G1680">
        <v>5441742816</v>
      </c>
      <c r="H1680">
        <v>5728267101</v>
      </c>
      <c r="I1680">
        <v>5453911387</v>
      </c>
      <c r="J1680">
        <v>4807645132</v>
      </c>
      <c r="K1680">
        <v>4794373814</v>
      </c>
      <c r="L1680">
        <v>4456498776</v>
      </c>
      <c r="M1680">
        <v>3849821056</v>
      </c>
      <c r="N1680">
        <v>3462957024</v>
      </c>
      <c r="O1680">
        <v>2710718942</v>
      </c>
      <c r="P1680">
        <v>166</v>
      </c>
      <c r="Q1680" t="s">
        <v>3670</v>
      </c>
    </row>
    <row r="1681" spans="1:17" x14ac:dyDescent="0.3">
      <c r="A1681" t="s">
        <v>47</v>
      </c>
      <c r="B1681" t="str">
        <f>"002612"</f>
        <v>002612</v>
      </c>
      <c r="C1681" t="s">
        <v>3671</v>
      </c>
      <c r="D1681" t="s">
        <v>628</v>
      </c>
      <c r="E1681">
        <v>6601742627</v>
      </c>
      <c r="F1681">
        <v>5660202923</v>
      </c>
      <c r="G1681">
        <v>5250299022</v>
      </c>
      <c r="H1681">
        <v>7004974954</v>
      </c>
      <c r="I1681">
        <v>7618379483</v>
      </c>
      <c r="J1681">
        <v>5109135817</v>
      </c>
      <c r="K1681">
        <v>2821085762</v>
      </c>
      <c r="L1681">
        <v>2937119788</v>
      </c>
      <c r="M1681">
        <v>2571279261</v>
      </c>
      <c r="N1681">
        <v>2630216766</v>
      </c>
      <c r="O1681">
        <v>2451497630</v>
      </c>
      <c r="P1681">
        <v>370</v>
      </c>
      <c r="Q1681" t="s">
        <v>3672</v>
      </c>
    </row>
    <row r="1682" spans="1:17" x14ac:dyDescent="0.3">
      <c r="A1682" t="s">
        <v>47</v>
      </c>
      <c r="B1682" t="str">
        <f>"002851"</f>
        <v>002851</v>
      </c>
      <c r="C1682" t="s">
        <v>3673</v>
      </c>
      <c r="D1682" t="s">
        <v>2256</v>
      </c>
      <c r="E1682">
        <v>6600796066</v>
      </c>
      <c r="F1682">
        <v>5324890022</v>
      </c>
      <c r="G1682">
        <v>4620947335</v>
      </c>
      <c r="H1682">
        <v>3356633112</v>
      </c>
      <c r="I1682">
        <v>2416196091</v>
      </c>
      <c r="J1682">
        <v>1888730286</v>
      </c>
      <c r="P1682">
        <v>565</v>
      </c>
      <c r="Q1682" t="s">
        <v>3674</v>
      </c>
    </row>
    <row r="1683" spans="1:17" x14ac:dyDescent="0.3">
      <c r="A1683" t="s">
        <v>47</v>
      </c>
      <c r="B1683" t="str">
        <f>"301155"</f>
        <v>301155</v>
      </c>
      <c r="C1683" t="s">
        <v>3675</v>
      </c>
      <c r="D1683" t="s">
        <v>2013</v>
      </c>
      <c r="E1683">
        <v>6597448433</v>
      </c>
      <c r="P1683">
        <v>40</v>
      </c>
      <c r="Q1683" t="s">
        <v>3676</v>
      </c>
    </row>
    <row r="1684" spans="1:17" x14ac:dyDescent="0.3">
      <c r="A1684" t="s">
        <v>47</v>
      </c>
      <c r="B1684" t="str">
        <f>"002023"</f>
        <v>002023</v>
      </c>
      <c r="C1684" t="s">
        <v>3677</v>
      </c>
      <c r="D1684" t="s">
        <v>570</v>
      </c>
      <c r="E1684">
        <v>6594417014</v>
      </c>
      <c r="F1684">
        <v>7142196040</v>
      </c>
      <c r="G1684">
        <v>7186386649</v>
      </c>
      <c r="H1684">
        <v>6628869272</v>
      </c>
      <c r="I1684">
        <v>6436758427</v>
      </c>
      <c r="J1684">
        <v>5994696819</v>
      </c>
      <c r="K1684">
        <v>4558219408</v>
      </c>
      <c r="L1684">
        <v>2893747802</v>
      </c>
      <c r="M1684">
        <v>2375903365</v>
      </c>
      <c r="N1684">
        <v>2084115763</v>
      </c>
      <c r="O1684">
        <v>1376366913</v>
      </c>
      <c r="P1684">
        <v>580</v>
      </c>
      <c r="Q1684" t="s">
        <v>3678</v>
      </c>
    </row>
    <row r="1685" spans="1:17" x14ac:dyDescent="0.3">
      <c r="A1685" t="s">
        <v>47</v>
      </c>
      <c r="B1685" t="str">
        <f>"000936"</f>
        <v>000936</v>
      </c>
      <c r="C1685" t="s">
        <v>3679</v>
      </c>
      <c r="D1685" t="s">
        <v>970</v>
      </c>
      <c r="E1685">
        <v>6591779441</v>
      </c>
      <c r="F1685">
        <v>8576045309</v>
      </c>
      <c r="G1685">
        <v>13067863122</v>
      </c>
      <c r="H1685">
        <v>12246204103</v>
      </c>
      <c r="I1685">
        <v>11461673712</v>
      </c>
      <c r="J1685">
        <v>9915828225</v>
      </c>
      <c r="K1685">
        <v>4395568563</v>
      </c>
      <c r="L1685">
        <v>3664140615</v>
      </c>
      <c r="M1685">
        <v>2870748900</v>
      </c>
      <c r="N1685">
        <v>3076447162</v>
      </c>
      <c r="O1685">
        <v>3588015816</v>
      </c>
      <c r="P1685">
        <v>226</v>
      </c>
      <c r="Q1685" t="s">
        <v>3680</v>
      </c>
    </row>
    <row r="1686" spans="1:17" x14ac:dyDescent="0.3">
      <c r="A1686" t="s">
        <v>17</v>
      </c>
      <c r="B1686" t="str">
        <f>"603936"</f>
        <v>603936</v>
      </c>
      <c r="C1686" t="s">
        <v>3681</v>
      </c>
      <c r="D1686" t="s">
        <v>1115</v>
      </c>
      <c r="E1686">
        <v>6584915096</v>
      </c>
      <c r="F1686">
        <v>5808122202</v>
      </c>
      <c r="G1686">
        <v>4416194292</v>
      </c>
      <c r="H1686">
        <v>3813616710</v>
      </c>
      <c r="I1686">
        <v>2404299001</v>
      </c>
      <c r="J1686">
        <v>2000599232</v>
      </c>
      <c r="K1686">
        <v>1712083968</v>
      </c>
      <c r="L1686">
        <v>1378868331</v>
      </c>
      <c r="P1686">
        <v>222</v>
      </c>
      <c r="Q1686" t="s">
        <v>3682</v>
      </c>
    </row>
    <row r="1687" spans="1:17" x14ac:dyDescent="0.3">
      <c r="A1687" t="s">
        <v>47</v>
      </c>
      <c r="B1687" t="str">
        <f>"300558"</f>
        <v>300558</v>
      </c>
      <c r="C1687" t="s">
        <v>3683</v>
      </c>
      <c r="D1687" t="s">
        <v>550</v>
      </c>
      <c r="E1687">
        <v>6584330494</v>
      </c>
      <c r="F1687">
        <v>5348236146</v>
      </c>
      <c r="G1687">
        <v>4489646473</v>
      </c>
      <c r="H1687">
        <v>3734487296</v>
      </c>
      <c r="I1687">
        <v>2787233759</v>
      </c>
      <c r="J1687">
        <v>2217972086</v>
      </c>
      <c r="P1687">
        <v>756</v>
      </c>
      <c r="Q1687" t="s">
        <v>3684</v>
      </c>
    </row>
    <row r="1688" spans="1:17" x14ac:dyDescent="0.3">
      <c r="A1688" t="s">
        <v>47</v>
      </c>
      <c r="B1688" t="str">
        <f>"002636"</f>
        <v>002636</v>
      </c>
      <c r="C1688" t="s">
        <v>3685</v>
      </c>
      <c r="D1688" t="s">
        <v>1115</v>
      </c>
      <c r="E1688">
        <v>6578356319</v>
      </c>
      <c r="F1688">
        <v>5927179739</v>
      </c>
      <c r="G1688">
        <v>4691345728</v>
      </c>
      <c r="H1688">
        <v>4033402844</v>
      </c>
      <c r="I1688">
        <v>4434916010</v>
      </c>
      <c r="J1688">
        <v>3293343810</v>
      </c>
      <c r="K1688">
        <v>2678097911</v>
      </c>
      <c r="L1688">
        <v>2324578850</v>
      </c>
      <c r="M1688">
        <v>2282155592</v>
      </c>
      <c r="N1688">
        <v>2373831204</v>
      </c>
      <c r="O1688">
        <v>2162640940</v>
      </c>
      <c r="P1688">
        <v>306</v>
      </c>
      <c r="Q1688" t="s">
        <v>3686</v>
      </c>
    </row>
    <row r="1689" spans="1:17" x14ac:dyDescent="0.3">
      <c r="A1689" t="s">
        <v>17</v>
      </c>
      <c r="B1689" t="str">
        <f>"601956"</f>
        <v>601956</v>
      </c>
      <c r="C1689" t="s">
        <v>3687</v>
      </c>
      <c r="D1689" t="s">
        <v>1511</v>
      </c>
      <c r="E1689">
        <v>6577016642</v>
      </c>
      <c r="F1689">
        <v>6478552466</v>
      </c>
      <c r="P1689">
        <v>23</v>
      </c>
      <c r="Q1689" t="s">
        <v>3688</v>
      </c>
    </row>
    <row r="1690" spans="1:17" x14ac:dyDescent="0.3">
      <c r="A1690" t="s">
        <v>47</v>
      </c>
      <c r="B1690" t="str">
        <f>"002020"</f>
        <v>002020</v>
      </c>
      <c r="C1690" t="s">
        <v>3689</v>
      </c>
      <c r="D1690" t="s">
        <v>550</v>
      </c>
      <c r="E1690">
        <v>6573665520</v>
      </c>
      <c r="F1690">
        <v>5606221217</v>
      </c>
      <c r="G1690">
        <v>5841770265</v>
      </c>
      <c r="H1690">
        <v>5246389386</v>
      </c>
      <c r="I1690">
        <v>4973718351</v>
      </c>
      <c r="J1690">
        <v>3367758822</v>
      </c>
      <c r="K1690">
        <v>3084696259</v>
      </c>
      <c r="L1690">
        <v>2143937432</v>
      </c>
      <c r="M1690">
        <v>1383484537</v>
      </c>
      <c r="N1690">
        <v>1368260922</v>
      </c>
      <c r="O1690">
        <v>1198971011</v>
      </c>
      <c r="P1690">
        <v>619</v>
      </c>
      <c r="Q1690" t="s">
        <v>3690</v>
      </c>
    </row>
    <row r="1691" spans="1:17" x14ac:dyDescent="0.3">
      <c r="A1691" t="s">
        <v>47</v>
      </c>
      <c r="B1691" t="str">
        <f>"300324"</f>
        <v>300324</v>
      </c>
      <c r="C1691" t="s">
        <v>3691</v>
      </c>
      <c r="D1691" t="s">
        <v>765</v>
      </c>
      <c r="E1691">
        <v>6543876725</v>
      </c>
      <c r="F1691">
        <v>6521855456</v>
      </c>
      <c r="G1691">
        <v>7650512284</v>
      </c>
      <c r="H1691">
        <v>7739977784</v>
      </c>
      <c r="I1691">
        <v>7870827468</v>
      </c>
      <c r="J1691">
        <v>7016612693</v>
      </c>
      <c r="K1691">
        <v>2308285751</v>
      </c>
      <c r="L1691">
        <v>1047566172</v>
      </c>
      <c r="M1691">
        <v>642437989</v>
      </c>
      <c r="N1691">
        <v>621423457</v>
      </c>
      <c r="O1691">
        <v>270843429</v>
      </c>
      <c r="P1691">
        <v>235</v>
      </c>
      <c r="Q1691" t="s">
        <v>3692</v>
      </c>
    </row>
    <row r="1692" spans="1:17" x14ac:dyDescent="0.3">
      <c r="A1692" t="s">
        <v>47</v>
      </c>
      <c r="B1692" t="str">
        <f>"002197"</f>
        <v>002197</v>
      </c>
      <c r="C1692" t="s">
        <v>3693</v>
      </c>
      <c r="D1692" t="s">
        <v>765</v>
      </c>
      <c r="E1692">
        <v>6543686885</v>
      </c>
      <c r="F1692">
        <v>6543317847</v>
      </c>
      <c r="G1692">
        <v>6093400740</v>
      </c>
      <c r="H1692">
        <v>5721674153</v>
      </c>
      <c r="I1692">
        <v>5658324327</v>
      </c>
      <c r="J1692">
        <v>5038597209</v>
      </c>
      <c r="K1692">
        <v>3035088909</v>
      </c>
      <c r="L1692">
        <v>2127402227</v>
      </c>
      <c r="M1692">
        <v>1578500246</v>
      </c>
      <c r="N1692">
        <v>1097585462</v>
      </c>
      <c r="O1692">
        <v>954982280</v>
      </c>
      <c r="P1692">
        <v>230</v>
      </c>
      <c r="Q1692" t="s">
        <v>3694</v>
      </c>
    </row>
    <row r="1693" spans="1:17" x14ac:dyDescent="0.3">
      <c r="A1693" t="s">
        <v>17</v>
      </c>
      <c r="B1693" t="str">
        <f>"600446"</f>
        <v>600446</v>
      </c>
      <c r="C1693" t="s">
        <v>3695</v>
      </c>
      <c r="D1693" t="s">
        <v>700</v>
      </c>
      <c r="E1693">
        <v>6537533855</v>
      </c>
      <c r="F1693">
        <v>5972996137</v>
      </c>
      <c r="G1693">
        <v>4349387519</v>
      </c>
      <c r="H1693">
        <v>3735869571</v>
      </c>
      <c r="I1693">
        <v>4373195279</v>
      </c>
      <c r="J1693">
        <v>3007167901</v>
      </c>
      <c r="K1693">
        <v>3366323600</v>
      </c>
      <c r="L1693">
        <v>2125629306</v>
      </c>
      <c r="M1693">
        <v>2227348998</v>
      </c>
      <c r="N1693">
        <v>1540761609</v>
      </c>
      <c r="O1693">
        <v>1379140144</v>
      </c>
      <c r="P1693">
        <v>334</v>
      </c>
      <c r="Q1693" t="s">
        <v>3696</v>
      </c>
    </row>
    <row r="1694" spans="1:17" x14ac:dyDescent="0.3">
      <c r="A1694" t="s">
        <v>47</v>
      </c>
      <c r="B1694" t="str">
        <f>"301217"</f>
        <v>301217</v>
      </c>
      <c r="C1694" t="s">
        <v>3697</v>
      </c>
      <c r="E1694">
        <v>6537452277</v>
      </c>
      <c r="P1694">
        <v>16</v>
      </c>
      <c r="Q1694" t="s">
        <v>3698</v>
      </c>
    </row>
    <row r="1695" spans="1:17" x14ac:dyDescent="0.3">
      <c r="A1695" t="s">
        <v>17</v>
      </c>
      <c r="B1695" t="str">
        <f>"600452"</f>
        <v>600452</v>
      </c>
      <c r="C1695" t="s">
        <v>3699</v>
      </c>
      <c r="D1695" t="s">
        <v>652</v>
      </c>
      <c r="E1695">
        <v>6525697543</v>
      </c>
      <c r="F1695">
        <v>5738045802</v>
      </c>
      <c r="G1695">
        <v>4845569328</v>
      </c>
      <c r="H1695">
        <v>4795359577</v>
      </c>
      <c r="I1695">
        <v>4150334787</v>
      </c>
      <c r="J1695">
        <v>3798145020</v>
      </c>
      <c r="K1695">
        <v>1254550434</v>
      </c>
      <c r="L1695">
        <v>1016345479</v>
      </c>
      <c r="M1695">
        <v>745483553</v>
      </c>
      <c r="N1695">
        <v>769205552</v>
      </c>
      <c r="O1695">
        <v>862980345</v>
      </c>
      <c r="P1695">
        <v>4515</v>
      </c>
      <c r="Q1695" t="s">
        <v>3700</v>
      </c>
    </row>
    <row r="1696" spans="1:17" x14ac:dyDescent="0.3">
      <c r="A1696" t="s">
        <v>47</v>
      </c>
      <c r="B1696" t="str">
        <f>"300607"</f>
        <v>300607</v>
      </c>
      <c r="C1696" t="s">
        <v>3701</v>
      </c>
      <c r="D1696" t="s">
        <v>2592</v>
      </c>
      <c r="E1696">
        <v>6513985624</v>
      </c>
      <c r="F1696">
        <v>4518280554</v>
      </c>
      <c r="G1696">
        <v>3331697035</v>
      </c>
      <c r="H1696">
        <v>1728938432</v>
      </c>
      <c r="I1696">
        <v>1183085683</v>
      </c>
      <c r="J1696">
        <v>889139194</v>
      </c>
      <c r="P1696">
        <v>1388</v>
      </c>
      <c r="Q1696" t="s">
        <v>3702</v>
      </c>
    </row>
    <row r="1697" spans="1:17" x14ac:dyDescent="0.3">
      <c r="A1697" t="s">
        <v>47</v>
      </c>
      <c r="B1697" t="str">
        <f>"300263"</f>
        <v>300263</v>
      </c>
      <c r="C1697" t="s">
        <v>3703</v>
      </c>
      <c r="D1697" t="s">
        <v>1433</v>
      </c>
      <c r="E1697">
        <v>6507469124</v>
      </c>
      <c r="F1697">
        <v>5190699063</v>
      </c>
      <c r="G1697">
        <v>4847366225</v>
      </c>
      <c r="H1697">
        <v>4237913732</v>
      </c>
      <c r="I1697">
        <v>3644947249</v>
      </c>
      <c r="J1697">
        <v>3320108701</v>
      </c>
      <c r="K1697">
        <v>3471533980</v>
      </c>
      <c r="L1697">
        <v>2648731055</v>
      </c>
      <c r="M1697">
        <v>2098254759</v>
      </c>
      <c r="N1697">
        <v>1231966473</v>
      </c>
      <c r="O1697">
        <v>1016175766</v>
      </c>
      <c r="P1697">
        <v>232</v>
      </c>
      <c r="Q1697" t="s">
        <v>3704</v>
      </c>
    </row>
    <row r="1698" spans="1:17" x14ac:dyDescent="0.3">
      <c r="A1698" t="s">
        <v>17</v>
      </c>
      <c r="B1698" t="str">
        <f>"688082"</f>
        <v>688082</v>
      </c>
      <c r="C1698" t="s">
        <v>3705</v>
      </c>
      <c r="D1698" t="s">
        <v>1252</v>
      </c>
      <c r="E1698">
        <v>6499614563</v>
      </c>
      <c r="P1698">
        <v>35</v>
      </c>
      <c r="Q1698" t="s">
        <v>3706</v>
      </c>
    </row>
    <row r="1699" spans="1:17" x14ac:dyDescent="0.3">
      <c r="A1699" t="s">
        <v>47</v>
      </c>
      <c r="B1699" t="str">
        <f>"000793"</f>
        <v>000793</v>
      </c>
      <c r="C1699" t="s">
        <v>3707</v>
      </c>
      <c r="D1699" t="s">
        <v>1288</v>
      </c>
      <c r="E1699">
        <v>6497284541</v>
      </c>
      <c r="F1699">
        <v>8808677903</v>
      </c>
      <c r="G1699">
        <v>12776430056</v>
      </c>
      <c r="H1699">
        <v>13114332230</v>
      </c>
      <c r="I1699">
        <v>16063874410</v>
      </c>
      <c r="J1699">
        <v>13849231271</v>
      </c>
      <c r="K1699">
        <v>12698036228</v>
      </c>
      <c r="L1699">
        <v>11785407477</v>
      </c>
      <c r="M1699">
        <v>7316390158</v>
      </c>
      <c r="N1699">
        <v>5954388823</v>
      </c>
      <c r="O1699">
        <v>5447858048</v>
      </c>
      <c r="P1699">
        <v>141</v>
      </c>
      <c r="Q1699" t="s">
        <v>3708</v>
      </c>
    </row>
    <row r="1700" spans="1:17" x14ac:dyDescent="0.3">
      <c r="A1700" t="s">
        <v>17</v>
      </c>
      <c r="B1700" t="str">
        <f>"603927"</f>
        <v>603927</v>
      </c>
      <c r="C1700" t="s">
        <v>3709</v>
      </c>
      <c r="D1700" t="s">
        <v>1859</v>
      </c>
      <c r="E1700">
        <v>6496742366</v>
      </c>
      <c r="F1700">
        <v>5886533927</v>
      </c>
      <c r="G1700">
        <v>5387302994</v>
      </c>
      <c r="H1700">
        <v>3847197766</v>
      </c>
      <c r="I1700">
        <v>3585632796</v>
      </c>
      <c r="P1700">
        <v>821</v>
      </c>
      <c r="Q1700" t="s">
        <v>3710</v>
      </c>
    </row>
    <row r="1701" spans="1:17" x14ac:dyDescent="0.3">
      <c r="A1701" t="s">
        <v>47</v>
      </c>
      <c r="B1701" t="str">
        <f>"002398"</f>
        <v>002398</v>
      </c>
      <c r="C1701" t="s">
        <v>3711</v>
      </c>
      <c r="D1701" t="s">
        <v>1418</v>
      </c>
      <c r="E1701">
        <v>6494582045</v>
      </c>
      <c r="F1701">
        <v>5450078801</v>
      </c>
      <c r="G1701">
        <v>4173283158</v>
      </c>
      <c r="H1701">
        <v>3607375259</v>
      </c>
      <c r="I1701">
        <v>3160084274</v>
      </c>
      <c r="J1701">
        <v>2645157570</v>
      </c>
      <c r="K1701">
        <v>2388746901</v>
      </c>
      <c r="L1701">
        <v>2385019769</v>
      </c>
      <c r="M1701">
        <v>2262845715</v>
      </c>
      <c r="N1701">
        <v>1987819248</v>
      </c>
      <c r="O1701">
        <v>1529671443</v>
      </c>
      <c r="P1701">
        <v>217</v>
      </c>
      <c r="Q1701" t="s">
        <v>3712</v>
      </c>
    </row>
    <row r="1702" spans="1:17" x14ac:dyDescent="0.3">
      <c r="A1702" t="s">
        <v>47</v>
      </c>
      <c r="B1702" t="str">
        <f>"002035"</f>
        <v>002035</v>
      </c>
      <c r="C1702" t="s">
        <v>3713</v>
      </c>
      <c r="D1702" t="s">
        <v>2261</v>
      </c>
      <c r="E1702">
        <v>6482681066</v>
      </c>
      <c r="F1702">
        <v>5846803168</v>
      </c>
      <c r="G1702">
        <v>5289141950</v>
      </c>
      <c r="H1702">
        <v>5469341394</v>
      </c>
      <c r="I1702">
        <v>4238485801</v>
      </c>
      <c r="J1702">
        <v>3634223047</v>
      </c>
      <c r="K1702">
        <v>2756001653</v>
      </c>
      <c r="L1702">
        <v>2594624544</v>
      </c>
      <c r="M1702">
        <v>2332151926</v>
      </c>
      <c r="N1702">
        <v>1951745297</v>
      </c>
      <c r="O1702">
        <v>1169273055</v>
      </c>
      <c r="P1702">
        <v>1344</v>
      </c>
      <c r="Q1702" t="s">
        <v>3714</v>
      </c>
    </row>
    <row r="1703" spans="1:17" x14ac:dyDescent="0.3">
      <c r="A1703" t="s">
        <v>47</v>
      </c>
      <c r="B1703" t="str">
        <f>"300020"</f>
        <v>300020</v>
      </c>
      <c r="C1703" t="s">
        <v>3715</v>
      </c>
      <c r="D1703" t="s">
        <v>700</v>
      </c>
      <c r="E1703">
        <v>6480477731</v>
      </c>
      <c r="F1703">
        <v>6686089650</v>
      </c>
      <c r="G1703">
        <v>6474958636</v>
      </c>
      <c r="H1703">
        <v>6124286807</v>
      </c>
      <c r="I1703">
        <v>5962821095</v>
      </c>
      <c r="J1703">
        <v>5397595498</v>
      </c>
      <c r="K1703">
        <v>4606410903</v>
      </c>
      <c r="L1703">
        <v>4132192365</v>
      </c>
      <c r="M1703">
        <v>3312083226</v>
      </c>
      <c r="N1703">
        <v>2067138003</v>
      </c>
      <c r="O1703">
        <v>1556929056</v>
      </c>
      <c r="P1703">
        <v>237</v>
      </c>
      <c r="Q1703" t="s">
        <v>3716</v>
      </c>
    </row>
    <row r="1704" spans="1:17" x14ac:dyDescent="0.3">
      <c r="A1704" t="s">
        <v>47</v>
      </c>
      <c r="B1704" t="str">
        <f>"002106"</f>
        <v>002106</v>
      </c>
      <c r="C1704" t="s">
        <v>3717</v>
      </c>
      <c r="D1704" t="s">
        <v>181</v>
      </c>
      <c r="E1704">
        <v>6478304100</v>
      </c>
      <c r="F1704">
        <v>6367874828</v>
      </c>
      <c r="G1704">
        <v>5382248685</v>
      </c>
      <c r="H1704">
        <v>4805263302</v>
      </c>
      <c r="I1704">
        <v>4599210135</v>
      </c>
      <c r="J1704">
        <v>4568678967</v>
      </c>
      <c r="K1704">
        <v>4141145642</v>
      </c>
      <c r="L1704">
        <v>4979550770</v>
      </c>
      <c r="M1704">
        <v>4931293951</v>
      </c>
      <c r="N1704">
        <v>4566987310</v>
      </c>
      <c r="O1704">
        <v>2811427300</v>
      </c>
      <c r="P1704">
        <v>296</v>
      </c>
      <c r="Q1704" t="s">
        <v>3718</v>
      </c>
    </row>
    <row r="1705" spans="1:17" x14ac:dyDescent="0.3">
      <c r="A1705" t="s">
        <v>17</v>
      </c>
      <c r="B1705" t="str">
        <f>"688032"</f>
        <v>688032</v>
      </c>
      <c r="C1705" t="s">
        <v>3719</v>
      </c>
      <c r="D1705" t="s">
        <v>959</v>
      </c>
      <c r="E1705">
        <v>6473396032</v>
      </c>
      <c r="P1705">
        <v>31</v>
      </c>
      <c r="Q1705" t="s">
        <v>3720</v>
      </c>
    </row>
    <row r="1706" spans="1:17" x14ac:dyDescent="0.3">
      <c r="A1706" t="s">
        <v>47</v>
      </c>
      <c r="B1706" t="str">
        <f>"002870"</f>
        <v>002870</v>
      </c>
      <c r="C1706" t="s">
        <v>3721</v>
      </c>
      <c r="D1706" t="s">
        <v>3722</v>
      </c>
      <c r="E1706">
        <v>6467114059</v>
      </c>
      <c r="F1706">
        <v>6374314408</v>
      </c>
      <c r="G1706">
        <v>987470750</v>
      </c>
      <c r="H1706">
        <v>1042721894</v>
      </c>
      <c r="I1706">
        <v>1325439501</v>
      </c>
      <c r="J1706">
        <v>501546614</v>
      </c>
      <c r="P1706">
        <v>91</v>
      </c>
      <c r="Q1706" t="s">
        <v>3723</v>
      </c>
    </row>
    <row r="1707" spans="1:17" x14ac:dyDescent="0.3">
      <c r="A1707" t="s">
        <v>47</v>
      </c>
      <c r="B1707" t="str">
        <f>"300222"</f>
        <v>300222</v>
      </c>
      <c r="C1707" t="s">
        <v>3724</v>
      </c>
      <c r="D1707" t="s">
        <v>679</v>
      </c>
      <c r="E1707">
        <v>6465860168</v>
      </c>
      <c r="F1707">
        <v>5980850361</v>
      </c>
      <c r="G1707">
        <v>6489789493</v>
      </c>
      <c r="H1707">
        <v>8119095696</v>
      </c>
      <c r="I1707">
        <v>6143664855</v>
      </c>
      <c r="J1707">
        <v>4861129461</v>
      </c>
      <c r="K1707">
        <v>2112805471</v>
      </c>
      <c r="L1707">
        <v>1699316236</v>
      </c>
      <c r="M1707">
        <v>758611974</v>
      </c>
      <c r="N1707">
        <v>682941209</v>
      </c>
      <c r="O1707">
        <v>641607252</v>
      </c>
      <c r="P1707">
        <v>221</v>
      </c>
      <c r="Q1707" t="s">
        <v>3725</v>
      </c>
    </row>
    <row r="1708" spans="1:17" x14ac:dyDescent="0.3">
      <c r="A1708" t="s">
        <v>17</v>
      </c>
      <c r="B1708" t="str">
        <f>"600529"</f>
        <v>600529</v>
      </c>
      <c r="C1708" t="s">
        <v>3726</v>
      </c>
      <c r="D1708" t="s">
        <v>1650</v>
      </c>
      <c r="E1708">
        <v>6465433169</v>
      </c>
      <c r="F1708">
        <v>5642691265</v>
      </c>
      <c r="G1708">
        <v>5236462137</v>
      </c>
      <c r="H1708">
        <v>4804510638</v>
      </c>
      <c r="I1708">
        <v>4217100774</v>
      </c>
      <c r="J1708">
        <v>4002066355</v>
      </c>
      <c r="K1708">
        <v>3142388784</v>
      </c>
      <c r="L1708">
        <v>2895220084</v>
      </c>
      <c r="M1708">
        <v>2708502230</v>
      </c>
      <c r="N1708">
        <v>2620962526</v>
      </c>
      <c r="O1708">
        <v>2444415694</v>
      </c>
      <c r="P1708">
        <v>1046</v>
      </c>
      <c r="Q1708" t="s">
        <v>3727</v>
      </c>
    </row>
    <row r="1709" spans="1:17" x14ac:dyDescent="0.3">
      <c r="A1709" t="s">
        <v>17</v>
      </c>
      <c r="B1709" t="str">
        <f>"600478"</f>
        <v>600478</v>
      </c>
      <c r="C1709" t="s">
        <v>3728</v>
      </c>
      <c r="D1709" t="s">
        <v>215</v>
      </c>
      <c r="E1709">
        <v>6463631959</v>
      </c>
      <c r="F1709">
        <v>6362525264</v>
      </c>
      <c r="G1709">
        <v>6243004481</v>
      </c>
      <c r="H1709">
        <v>6401560565</v>
      </c>
      <c r="I1709">
        <v>6525429289</v>
      </c>
      <c r="J1709">
        <v>5299468596</v>
      </c>
      <c r="K1709">
        <v>4592404340</v>
      </c>
      <c r="L1709">
        <v>2617001677</v>
      </c>
      <c r="M1709">
        <v>2017378362</v>
      </c>
      <c r="N1709">
        <v>2358255524</v>
      </c>
      <c r="O1709">
        <v>2665798049</v>
      </c>
      <c r="P1709">
        <v>160</v>
      </c>
      <c r="Q1709" t="s">
        <v>3729</v>
      </c>
    </row>
    <row r="1710" spans="1:17" x14ac:dyDescent="0.3">
      <c r="A1710" t="s">
        <v>17</v>
      </c>
      <c r="B1710" t="str">
        <f>"603100"</f>
        <v>603100</v>
      </c>
      <c r="C1710" t="s">
        <v>3730</v>
      </c>
      <c r="D1710" t="s">
        <v>3722</v>
      </c>
      <c r="E1710">
        <v>6462532870</v>
      </c>
      <c r="F1710">
        <v>5569789456</v>
      </c>
      <c r="G1710">
        <v>4933694189</v>
      </c>
      <c r="H1710">
        <v>5117990936</v>
      </c>
      <c r="I1710">
        <v>4729435321</v>
      </c>
      <c r="J1710">
        <v>4474843497</v>
      </c>
      <c r="K1710">
        <v>4401066749</v>
      </c>
      <c r="L1710">
        <v>3978818436</v>
      </c>
      <c r="M1710">
        <v>3368009824</v>
      </c>
      <c r="P1710">
        <v>194</v>
      </c>
      <c r="Q1710" t="s">
        <v>3731</v>
      </c>
    </row>
    <row r="1711" spans="1:17" x14ac:dyDescent="0.3">
      <c r="A1711" t="s">
        <v>47</v>
      </c>
      <c r="B1711" t="str">
        <f>"002372"</f>
        <v>002372</v>
      </c>
      <c r="C1711" t="s">
        <v>3732</v>
      </c>
      <c r="D1711" t="s">
        <v>2927</v>
      </c>
      <c r="E1711">
        <v>6447749665</v>
      </c>
      <c r="F1711">
        <v>5657943689</v>
      </c>
      <c r="G1711">
        <v>4814265341</v>
      </c>
      <c r="H1711">
        <v>4668761631</v>
      </c>
      <c r="I1711">
        <v>4234605098</v>
      </c>
      <c r="J1711">
        <v>3746032889</v>
      </c>
      <c r="K1711">
        <v>2984229999</v>
      </c>
      <c r="L1711">
        <v>2713300497</v>
      </c>
      <c r="M1711">
        <v>2376786194</v>
      </c>
      <c r="N1711">
        <v>2119539734</v>
      </c>
      <c r="O1711">
        <v>2313158540</v>
      </c>
      <c r="P1711">
        <v>10689</v>
      </c>
      <c r="Q1711" t="s">
        <v>3733</v>
      </c>
    </row>
    <row r="1712" spans="1:17" x14ac:dyDescent="0.3">
      <c r="A1712" t="s">
        <v>47</v>
      </c>
      <c r="B1712" t="str">
        <f>"300021"</f>
        <v>300021</v>
      </c>
      <c r="C1712" t="s">
        <v>3734</v>
      </c>
      <c r="D1712" t="s">
        <v>2445</v>
      </c>
      <c r="E1712">
        <v>6443949468</v>
      </c>
      <c r="F1712">
        <v>5647911258</v>
      </c>
      <c r="G1712">
        <v>4054690479</v>
      </c>
      <c r="H1712">
        <v>3847744274</v>
      </c>
      <c r="I1712">
        <v>3300931414</v>
      </c>
      <c r="J1712">
        <v>2425465226</v>
      </c>
      <c r="K1712">
        <v>1641484500</v>
      </c>
      <c r="L1712">
        <v>1517074417</v>
      </c>
      <c r="M1712">
        <v>1312459717</v>
      </c>
      <c r="N1712">
        <v>1340248814</v>
      </c>
      <c r="O1712">
        <v>1121085972</v>
      </c>
      <c r="P1712">
        <v>174</v>
      </c>
      <c r="Q1712" t="s">
        <v>3735</v>
      </c>
    </row>
    <row r="1713" spans="1:17" x14ac:dyDescent="0.3">
      <c r="A1713" t="s">
        <v>47</v>
      </c>
      <c r="B1713" t="str">
        <f>"002424"</f>
        <v>002424</v>
      </c>
      <c r="C1713" t="s">
        <v>3736</v>
      </c>
      <c r="D1713" t="s">
        <v>695</v>
      </c>
      <c r="E1713">
        <v>6434594342</v>
      </c>
      <c r="F1713">
        <v>6590710962</v>
      </c>
      <c r="G1713">
        <v>7236380130</v>
      </c>
      <c r="H1713">
        <v>6647696669</v>
      </c>
      <c r="I1713">
        <v>4920590062</v>
      </c>
      <c r="J1713">
        <v>4346685348</v>
      </c>
      <c r="K1713">
        <v>3898728034</v>
      </c>
      <c r="L1713">
        <v>3553079143</v>
      </c>
      <c r="M1713">
        <v>3347170469</v>
      </c>
      <c r="N1713">
        <v>3236715296</v>
      </c>
      <c r="O1713">
        <v>3084523214</v>
      </c>
      <c r="P1713">
        <v>472</v>
      </c>
      <c r="Q1713" t="s">
        <v>3737</v>
      </c>
    </row>
    <row r="1714" spans="1:17" x14ac:dyDescent="0.3">
      <c r="A1714" t="s">
        <v>17</v>
      </c>
      <c r="B1714" t="str">
        <f>"601858"</f>
        <v>601858</v>
      </c>
      <c r="C1714" t="s">
        <v>3738</v>
      </c>
      <c r="D1714" t="s">
        <v>1288</v>
      </c>
      <c r="E1714">
        <v>6424864613</v>
      </c>
      <c r="F1714">
        <v>5973616040</v>
      </c>
      <c r="G1714">
        <v>5486162471</v>
      </c>
      <c r="H1714">
        <v>4904340815</v>
      </c>
      <c r="I1714">
        <v>4432044328</v>
      </c>
      <c r="J1714">
        <v>3840263697</v>
      </c>
      <c r="P1714">
        <v>178</v>
      </c>
      <c r="Q1714" t="s">
        <v>3739</v>
      </c>
    </row>
    <row r="1715" spans="1:17" x14ac:dyDescent="0.3">
      <c r="A1715" t="s">
        <v>17</v>
      </c>
      <c r="B1715" t="str">
        <f>"603596"</f>
        <v>603596</v>
      </c>
      <c r="C1715" t="s">
        <v>3740</v>
      </c>
      <c r="D1715" t="s">
        <v>274</v>
      </c>
      <c r="E1715">
        <v>6422398913</v>
      </c>
      <c r="F1715">
        <v>4757019830</v>
      </c>
      <c r="G1715">
        <v>4231616458</v>
      </c>
      <c r="H1715">
        <v>3662207584</v>
      </c>
      <c r="I1715">
        <v>2953948786</v>
      </c>
      <c r="P1715">
        <v>369</v>
      </c>
      <c r="Q1715" t="s">
        <v>3741</v>
      </c>
    </row>
    <row r="1716" spans="1:17" x14ac:dyDescent="0.3">
      <c r="A1716" t="s">
        <v>17</v>
      </c>
      <c r="B1716" t="str">
        <f>"600391"</f>
        <v>600391</v>
      </c>
      <c r="C1716" t="s">
        <v>3742</v>
      </c>
      <c r="D1716" t="s">
        <v>570</v>
      </c>
      <c r="E1716">
        <v>6415080901</v>
      </c>
      <c r="F1716">
        <v>6071020483</v>
      </c>
      <c r="G1716">
        <v>5307780494</v>
      </c>
      <c r="H1716">
        <v>5944246959</v>
      </c>
      <c r="I1716">
        <v>5681051955</v>
      </c>
      <c r="J1716">
        <v>5615613342</v>
      </c>
      <c r="K1716">
        <v>5111853327</v>
      </c>
      <c r="L1716">
        <v>4618180752</v>
      </c>
      <c r="M1716">
        <v>4293369703</v>
      </c>
      <c r="N1716">
        <v>3668237249</v>
      </c>
      <c r="O1716">
        <v>3295370103</v>
      </c>
      <c r="P1716">
        <v>233</v>
      </c>
      <c r="Q1716" t="s">
        <v>3743</v>
      </c>
    </row>
    <row r="1717" spans="1:17" x14ac:dyDescent="0.3">
      <c r="A1717" t="s">
        <v>47</v>
      </c>
      <c r="B1717" t="str">
        <f>"300755"</f>
        <v>300755</v>
      </c>
      <c r="C1717" t="s">
        <v>3744</v>
      </c>
      <c r="D1717" t="s">
        <v>1904</v>
      </c>
      <c r="E1717">
        <v>6414322851</v>
      </c>
      <c r="F1717">
        <v>4610650375</v>
      </c>
      <c r="G1717">
        <v>4058689223</v>
      </c>
      <c r="H1717">
        <v>3491501222</v>
      </c>
      <c r="P1717">
        <v>246</v>
      </c>
      <c r="Q1717" t="s">
        <v>3745</v>
      </c>
    </row>
    <row r="1718" spans="1:17" x14ac:dyDescent="0.3">
      <c r="A1718" t="s">
        <v>47</v>
      </c>
      <c r="B1718" t="str">
        <f>"002009"</f>
        <v>002009</v>
      </c>
      <c r="C1718" t="s">
        <v>3746</v>
      </c>
      <c r="D1718" t="s">
        <v>1973</v>
      </c>
      <c r="E1718">
        <v>6395605041</v>
      </c>
      <c r="F1718">
        <v>6021398338</v>
      </c>
      <c r="G1718">
        <v>5850867818</v>
      </c>
      <c r="H1718">
        <v>5827731479</v>
      </c>
      <c r="I1718">
        <v>5351331429</v>
      </c>
      <c r="J1718">
        <v>4704067425</v>
      </c>
      <c r="K1718">
        <v>4340808208</v>
      </c>
      <c r="L1718">
        <v>3970077043</v>
      </c>
      <c r="M1718">
        <v>3831835570</v>
      </c>
      <c r="N1718">
        <v>3141395370</v>
      </c>
      <c r="O1718">
        <v>3163116380</v>
      </c>
      <c r="P1718">
        <v>148</v>
      </c>
      <c r="Q1718" t="s">
        <v>3747</v>
      </c>
    </row>
    <row r="1719" spans="1:17" x14ac:dyDescent="0.3">
      <c r="A1719" t="s">
        <v>47</v>
      </c>
      <c r="B1719" t="str">
        <f>"300832"</f>
        <v>300832</v>
      </c>
      <c r="C1719" t="s">
        <v>3748</v>
      </c>
      <c r="D1719" t="s">
        <v>2322</v>
      </c>
      <c r="E1719">
        <v>6394592242</v>
      </c>
      <c r="F1719">
        <v>5502710368</v>
      </c>
      <c r="G1719">
        <v>3520112640</v>
      </c>
      <c r="P1719">
        <v>513</v>
      </c>
      <c r="Q1719" t="s">
        <v>3749</v>
      </c>
    </row>
    <row r="1720" spans="1:17" x14ac:dyDescent="0.3">
      <c r="A1720" t="s">
        <v>17</v>
      </c>
      <c r="B1720" t="str">
        <f>"600488"</f>
        <v>600488</v>
      </c>
      <c r="C1720" t="s">
        <v>3750</v>
      </c>
      <c r="D1720" t="s">
        <v>550</v>
      </c>
      <c r="E1720">
        <v>6390317098</v>
      </c>
      <c r="F1720">
        <v>6348303091</v>
      </c>
      <c r="G1720">
        <v>5348196173</v>
      </c>
      <c r="H1720">
        <v>4817740721</v>
      </c>
      <c r="I1720">
        <v>4445466416</v>
      </c>
      <c r="J1720">
        <v>3078285145</v>
      </c>
      <c r="K1720">
        <v>3033759965</v>
      </c>
      <c r="L1720">
        <v>2941410233</v>
      </c>
      <c r="M1720">
        <v>3072239631</v>
      </c>
      <c r="N1720">
        <v>3057891987</v>
      </c>
      <c r="O1720">
        <v>2373335066</v>
      </c>
      <c r="P1720">
        <v>98</v>
      </c>
      <c r="Q1720" t="s">
        <v>3751</v>
      </c>
    </row>
    <row r="1721" spans="1:17" x14ac:dyDescent="0.3">
      <c r="A1721" t="s">
        <v>17</v>
      </c>
      <c r="B1721" t="str">
        <f>"600796"</f>
        <v>600796</v>
      </c>
      <c r="C1721" t="s">
        <v>3752</v>
      </c>
      <c r="D1721" t="s">
        <v>819</v>
      </c>
      <c r="E1721">
        <v>6371611642</v>
      </c>
      <c r="F1721">
        <v>1131028549</v>
      </c>
      <c r="G1721">
        <v>859208564</v>
      </c>
      <c r="H1721">
        <v>896143237</v>
      </c>
      <c r="I1721">
        <v>1023353580</v>
      </c>
      <c r="J1721">
        <v>1003443996</v>
      </c>
      <c r="K1721">
        <v>1055422300</v>
      </c>
      <c r="L1721">
        <v>1113472807</v>
      </c>
      <c r="M1721">
        <v>1166121279</v>
      </c>
      <c r="N1721">
        <v>1385115356</v>
      </c>
      <c r="O1721">
        <v>1283311082</v>
      </c>
      <c r="P1721">
        <v>74</v>
      </c>
      <c r="Q1721" t="s">
        <v>3753</v>
      </c>
    </row>
    <row r="1722" spans="1:17" x14ac:dyDescent="0.3">
      <c r="A1722" t="s">
        <v>17</v>
      </c>
      <c r="B1722" t="str">
        <f>"603279"</f>
        <v>603279</v>
      </c>
      <c r="C1722" t="s">
        <v>3754</v>
      </c>
      <c r="D1722" t="s">
        <v>1347</v>
      </c>
      <c r="E1722">
        <v>6370487208</v>
      </c>
      <c r="F1722">
        <v>5580090910</v>
      </c>
      <c r="G1722">
        <v>4667546837</v>
      </c>
      <c r="H1722">
        <v>3665311300</v>
      </c>
      <c r="P1722">
        <v>231</v>
      </c>
      <c r="Q1722" t="s">
        <v>3755</v>
      </c>
    </row>
    <row r="1723" spans="1:17" x14ac:dyDescent="0.3">
      <c r="A1723" t="s">
        <v>17</v>
      </c>
      <c r="B1723" t="str">
        <f>"600114"</f>
        <v>600114</v>
      </c>
      <c r="C1723" t="s">
        <v>3756</v>
      </c>
      <c r="D1723" t="s">
        <v>401</v>
      </c>
      <c r="E1723">
        <v>6369120058</v>
      </c>
      <c r="F1723">
        <v>5940316973</v>
      </c>
      <c r="G1723">
        <v>5506685813</v>
      </c>
      <c r="H1723">
        <v>3426784875</v>
      </c>
      <c r="I1723">
        <v>3415370708</v>
      </c>
      <c r="J1723">
        <v>2937537293</v>
      </c>
      <c r="K1723">
        <v>2462191839</v>
      </c>
      <c r="L1723">
        <v>2130393386</v>
      </c>
      <c r="M1723">
        <v>1878800422</v>
      </c>
      <c r="N1723">
        <v>1640213735</v>
      </c>
      <c r="O1723">
        <v>1471523512</v>
      </c>
      <c r="P1723">
        <v>302</v>
      </c>
      <c r="Q1723" t="s">
        <v>3757</v>
      </c>
    </row>
    <row r="1724" spans="1:17" x14ac:dyDescent="0.3">
      <c r="A1724" t="s">
        <v>47</v>
      </c>
      <c r="B1724" t="str">
        <f>"002906"</f>
        <v>002906</v>
      </c>
      <c r="C1724" t="s">
        <v>3758</v>
      </c>
      <c r="D1724" t="s">
        <v>836</v>
      </c>
      <c r="E1724">
        <v>6369038075</v>
      </c>
      <c r="F1724">
        <v>5148896184</v>
      </c>
      <c r="G1724">
        <v>4511631998</v>
      </c>
      <c r="H1724">
        <v>4476059551</v>
      </c>
      <c r="I1724">
        <v>4594473561</v>
      </c>
      <c r="J1724">
        <v>4106761537</v>
      </c>
      <c r="P1724">
        <v>228</v>
      </c>
      <c r="Q1724" t="s">
        <v>3759</v>
      </c>
    </row>
    <row r="1725" spans="1:17" x14ac:dyDescent="0.3">
      <c r="A1725" t="s">
        <v>47</v>
      </c>
      <c r="B1725" t="str">
        <f>"002123"</f>
        <v>002123</v>
      </c>
      <c r="C1725" t="s">
        <v>3760</v>
      </c>
      <c r="D1725" t="s">
        <v>3761</v>
      </c>
      <c r="E1725">
        <v>6351395127</v>
      </c>
      <c r="F1725">
        <v>6126531160</v>
      </c>
      <c r="G1725">
        <v>6143707277</v>
      </c>
      <c r="H1725">
        <v>6565764341</v>
      </c>
      <c r="I1725">
        <v>6605184627</v>
      </c>
      <c r="J1725">
        <v>6867509430</v>
      </c>
      <c r="K1725">
        <v>7102866482</v>
      </c>
      <c r="L1725">
        <v>3485977642</v>
      </c>
      <c r="M1725">
        <v>4572803698</v>
      </c>
      <c r="N1725">
        <v>4229455234</v>
      </c>
      <c r="O1725">
        <v>3643744803</v>
      </c>
      <c r="P1725">
        <v>364</v>
      </c>
      <c r="Q1725" t="s">
        <v>3762</v>
      </c>
    </row>
    <row r="1726" spans="1:17" x14ac:dyDescent="0.3">
      <c r="A1726" t="s">
        <v>17</v>
      </c>
      <c r="B1726" t="str">
        <f>"600218"</f>
        <v>600218</v>
      </c>
      <c r="C1726" t="s">
        <v>3763</v>
      </c>
      <c r="D1726" t="s">
        <v>274</v>
      </c>
      <c r="E1726">
        <v>6345327143</v>
      </c>
      <c r="F1726">
        <v>4680315574</v>
      </c>
      <c r="G1726">
        <v>4336880633</v>
      </c>
      <c r="H1726">
        <v>4029847542</v>
      </c>
      <c r="I1726">
        <v>3854879581</v>
      </c>
      <c r="J1726">
        <v>3752680069</v>
      </c>
      <c r="K1726">
        <v>3334094557</v>
      </c>
      <c r="L1726">
        <v>3368169484</v>
      </c>
      <c r="M1726">
        <v>2717542413</v>
      </c>
      <c r="N1726">
        <v>2689626015</v>
      </c>
      <c r="O1726">
        <v>2432024913</v>
      </c>
      <c r="P1726">
        <v>166</v>
      </c>
      <c r="Q1726" t="s">
        <v>3764</v>
      </c>
    </row>
    <row r="1727" spans="1:17" x14ac:dyDescent="0.3">
      <c r="A1727" t="s">
        <v>17</v>
      </c>
      <c r="B1727" t="str">
        <f>"688331"</f>
        <v>688331</v>
      </c>
      <c r="C1727" t="s">
        <v>3765</v>
      </c>
      <c r="E1727">
        <v>6345143075</v>
      </c>
      <c r="P1727">
        <v>5</v>
      </c>
      <c r="Q1727" t="s">
        <v>3766</v>
      </c>
    </row>
    <row r="1728" spans="1:17" x14ac:dyDescent="0.3">
      <c r="A1728" t="s">
        <v>17</v>
      </c>
      <c r="B1728" t="str">
        <f>"605050"</f>
        <v>605050</v>
      </c>
      <c r="C1728" t="s">
        <v>3767</v>
      </c>
      <c r="D1728" t="s">
        <v>134</v>
      </c>
      <c r="E1728">
        <v>6333392950</v>
      </c>
      <c r="F1728">
        <v>5878755882</v>
      </c>
      <c r="P1728">
        <v>37</v>
      </c>
      <c r="Q1728" t="s">
        <v>3768</v>
      </c>
    </row>
    <row r="1729" spans="1:17" x14ac:dyDescent="0.3">
      <c r="A1729" t="s">
        <v>47</v>
      </c>
      <c r="B1729" t="str">
        <f>"301047"</f>
        <v>301047</v>
      </c>
      <c r="C1729" t="s">
        <v>3769</v>
      </c>
      <c r="D1729" t="s">
        <v>777</v>
      </c>
      <c r="E1729">
        <v>6329565494</v>
      </c>
      <c r="F1729">
        <v>1761839297</v>
      </c>
      <c r="G1729">
        <v>265129185</v>
      </c>
      <c r="P1729">
        <v>71</v>
      </c>
      <c r="Q1729" t="s">
        <v>3770</v>
      </c>
    </row>
    <row r="1730" spans="1:17" x14ac:dyDescent="0.3">
      <c r="A1730" t="s">
        <v>47</v>
      </c>
      <c r="B1730" t="str">
        <f>"300012"</f>
        <v>300012</v>
      </c>
      <c r="C1730" t="s">
        <v>3771</v>
      </c>
      <c r="D1730" t="s">
        <v>3772</v>
      </c>
      <c r="E1730">
        <v>6326661969</v>
      </c>
      <c r="F1730">
        <v>5592920699</v>
      </c>
      <c r="G1730">
        <v>4224626215</v>
      </c>
      <c r="H1730">
        <v>3846132158</v>
      </c>
      <c r="I1730">
        <v>3600044215</v>
      </c>
      <c r="J1730">
        <v>3073486525</v>
      </c>
      <c r="K1730">
        <v>1845369139</v>
      </c>
      <c r="L1730">
        <v>1523278453</v>
      </c>
      <c r="M1730">
        <v>1162036053</v>
      </c>
      <c r="N1730">
        <v>970475533</v>
      </c>
      <c r="O1730">
        <v>850058938</v>
      </c>
      <c r="P1730">
        <v>1300</v>
      </c>
      <c r="Q1730" t="s">
        <v>3773</v>
      </c>
    </row>
    <row r="1731" spans="1:17" x14ac:dyDescent="0.3">
      <c r="A1731" t="s">
        <v>47</v>
      </c>
      <c r="B1731" t="str">
        <f>"002611"</f>
        <v>002611</v>
      </c>
      <c r="C1731" t="s">
        <v>3774</v>
      </c>
      <c r="D1731" t="s">
        <v>3237</v>
      </c>
      <c r="E1731">
        <v>6318576429</v>
      </c>
      <c r="F1731">
        <v>6428626467</v>
      </c>
      <c r="G1731">
        <v>6367537032</v>
      </c>
      <c r="H1731">
        <v>10976733226</v>
      </c>
      <c r="I1731">
        <v>12659430579</v>
      </c>
      <c r="J1731">
        <v>3587392780</v>
      </c>
      <c r="K1731">
        <v>2840710799</v>
      </c>
      <c r="L1731">
        <v>1932094180</v>
      </c>
      <c r="M1731">
        <v>1784125139</v>
      </c>
      <c r="N1731">
        <v>887883215</v>
      </c>
      <c r="O1731">
        <v>822115635</v>
      </c>
      <c r="P1731">
        <v>208</v>
      </c>
      <c r="Q1731" t="s">
        <v>3775</v>
      </c>
    </row>
    <row r="1732" spans="1:17" x14ac:dyDescent="0.3">
      <c r="A1732" t="s">
        <v>17</v>
      </c>
      <c r="B1732" t="str">
        <f>"688608"</f>
        <v>688608</v>
      </c>
      <c r="C1732" t="s">
        <v>3776</v>
      </c>
      <c r="D1732" t="s">
        <v>967</v>
      </c>
      <c r="E1732">
        <v>6312813508</v>
      </c>
      <c r="F1732">
        <v>5836445361</v>
      </c>
      <c r="G1732">
        <v>640650100</v>
      </c>
      <c r="P1732">
        <v>123</v>
      </c>
      <c r="Q1732" t="s">
        <v>3777</v>
      </c>
    </row>
    <row r="1733" spans="1:17" x14ac:dyDescent="0.3">
      <c r="A1733" t="s">
        <v>17</v>
      </c>
      <c r="B1733" t="str">
        <f>"603367"</f>
        <v>603367</v>
      </c>
      <c r="C1733" t="s">
        <v>3778</v>
      </c>
      <c r="D1733" t="s">
        <v>550</v>
      </c>
      <c r="E1733">
        <v>6311113642</v>
      </c>
      <c r="F1733">
        <v>6069619822</v>
      </c>
      <c r="G1733">
        <v>5882628769</v>
      </c>
      <c r="H1733">
        <v>5334363849</v>
      </c>
      <c r="I1733">
        <v>4911848257</v>
      </c>
      <c r="P1733">
        <v>245</v>
      </c>
      <c r="Q1733" t="s">
        <v>3779</v>
      </c>
    </row>
    <row r="1734" spans="1:17" x14ac:dyDescent="0.3">
      <c r="A1734" t="s">
        <v>17</v>
      </c>
      <c r="B1734" t="str">
        <f>"603650"</f>
        <v>603650</v>
      </c>
      <c r="C1734" t="s">
        <v>3780</v>
      </c>
      <c r="D1734" t="s">
        <v>3781</v>
      </c>
      <c r="E1734">
        <v>6306466146</v>
      </c>
      <c r="F1734">
        <v>5904540765</v>
      </c>
      <c r="G1734">
        <v>4120412260</v>
      </c>
      <c r="H1734">
        <v>3092577311</v>
      </c>
      <c r="I1734">
        <v>1961524100</v>
      </c>
      <c r="P1734">
        <v>258</v>
      </c>
      <c r="Q1734" t="s">
        <v>3782</v>
      </c>
    </row>
    <row r="1735" spans="1:17" x14ac:dyDescent="0.3">
      <c r="A1735" t="s">
        <v>47</v>
      </c>
      <c r="B1735" t="str">
        <f>"002216"</f>
        <v>002216</v>
      </c>
      <c r="C1735" t="s">
        <v>3783</v>
      </c>
      <c r="D1735" t="s">
        <v>2224</v>
      </c>
      <c r="E1735">
        <v>6302396104</v>
      </c>
      <c r="F1735">
        <v>5829356251</v>
      </c>
      <c r="G1735">
        <v>5585083738</v>
      </c>
      <c r="H1735">
        <v>4239178424</v>
      </c>
      <c r="I1735">
        <v>3967617686</v>
      </c>
      <c r="J1735">
        <v>3650391587</v>
      </c>
      <c r="K1735">
        <v>3549028168</v>
      </c>
      <c r="L1735">
        <v>3397015006</v>
      </c>
      <c r="M1735">
        <v>3249657706</v>
      </c>
      <c r="N1735">
        <v>2845152735</v>
      </c>
      <c r="O1735">
        <v>2432685934</v>
      </c>
      <c r="P1735">
        <v>1276</v>
      </c>
      <c r="Q1735" t="s">
        <v>3784</v>
      </c>
    </row>
    <row r="1736" spans="1:17" x14ac:dyDescent="0.3">
      <c r="A1736" t="s">
        <v>47</v>
      </c>
      <c r="B1736" t="str">
        <f>"300236"</f>
        <v>300236</v>
      </c>
      <c r="C1736" t="s">
        <v>3785</v>
      </c>
      <c r="D1736" t="s">
        <v>3050</v>
      </c>
      <c r="E1736">
        <v>6299099237</v>
      </c>
      <c r="F1736">
        <v>5096585808</v>
      </c>
      <c r="G1736">
        <v>1853275719</v>
      </c>
      <c r="H1736">
        <v>1500429918</v>
      </c>
      <c r="I1736">
        <v>1502333630</v>
      </c>
      <c r="J1736">
        <v>1464015468</v>
      </c>
      <c r="K1736">
        <v>1476932739</v>
      </c>
      <c r="L1736">
        <v>997307202</v>
      </c>
      <c r="M1736">
        <v>915542359</v>
      </c>
      <c r="N1736">
        <v>434266512</v>
      </c>
      <c r="O1736">
        <v>408505843</v>
      </c>
      <c r="P1736">
        <v>414</v>
      </c>
      <c r="Q1736" t="s">
        <v>3786</v>
      </c>
    </row>
    <row r="1737" spans="1:17" x14ac:dyDescent="0.3">
      <c r="A1737" t="s">
        <v>47</v>
      </c>
      <c r="B1737" t="str">
        <f>"002341"</f>
        <v>002341</v>
      </c>
      <c r="C1737" t="s">
        <v>3787</v>
      </c>
      <c r="D1737" t="s">
        <v>2485</v>
      </c>
      <c r="E1737">
        <v>6293076851</v>
      </c>
      <c r="F1737">
        <v>7672058028</v>
      </c>
      <c r="G1737">
        <v>9434958624</v>
      </c>
      <c r="H1737">
        <v>9759797841</v>
      </c>
      <c r="I1737">
        <v>6595247567</v>
      </c>
      <c r="J1737">
        <v>6134255293</v>
      </c>
      <c r="K1737">
        <v>3967746950</v>
      </c>
      <c r="L1737">
        <v>3499935079</v>
      </c>
      <c r="M1737">
        <v>3021128583</v>
      </c>
      <c r="N1737">
        <v>2645801377</v>
      </c>
      <c r="O1737">
        <v>1513142830</v>
      </c>
      <c r="P1737">
        <v>276</v>
      </c>
      <c r="Q1737" t="s">
        <v>3788</v>
      </c>
    </row>
    <row r="1738" spans="1:17" x14ac:dyDescent="0.3">
      <c r="A1738" t="s">
        <v>17</v>
      </c>
      <c r="B1738" t="str">
        <f>"603866"</f>
        <v>603866</v>
      </c>
      <c r="C1738" t="s">
        <v>3789</v>
      </c>
      <c r="D1738" t="s">
        <v>3790</v>
      </c>
      <c r="E1738">
        <v>6284781882</v>
      </c>
      <c r="F1738">
        <v>5864678412</v>
      </c>
      <c r="G1738">
        <v>5425948486</v>
      </c>
      <c r="H1738">
        <v>4022703341</v>
      </c>
      <c r="I1738">
        <v>3645463683</v>
      </c>
      <c r="J1738">
        <v>2439148905</v>
      </c>
      <c r="K1738">
        <v>2182340199</v>
      </c>
      <c r="L1738">
        <v>1264378500</v>
      </c>
      <c r="M1738">
        <v>1028355400</v>
      </c>
      <c r="P1738">
        <v>7676</v>
      </c>
      <c r="Q1738" t="s">
        <v>3791</v>
      </c>
    </row>
    <row r="1739" spans="1:17" x14ac:dyDescent="0.3">
      <c r="A1739" t="s">
        <v>17</v>
      </c>
      <c r="B1739" t="str">
        <f>"603379"</f>
        <v>603379</v>
      </c>
      <c r="C1739" t="s">
        <v>3792</v>
      </c>
      <c r="D1739" t="s">
        <v>1796</v>
      </c>
      <c r="E1739">
        <v>6281701028</v>
      </c>
      <c r="F1739">
        <v>5477886602</v>
      </c>
      <c r="G1739">
        <v>5490705807</v>
      </c>
      <c r="H1739">
        <v>5432339745</v>
      </c>
      <c r="P1739">
        <v>140</v>
      </c>
      <c r="Q1739" t="s">
        <v>3793</v>
      </c>
    </row>
    <row r="1740" spans="1:17" x14ac:dyDescent="0.3">
      <c r="A1740" t="s">
        <v>47</v>
      </c>
      <c r="B1740" t="str">
        <f>"002527"</f>
        <v>002527</v>
      </c>
      <c r="C1740" t="s">
        <v>3794</v>
      </c>
      <c r="D1740" t="s">
        <v>2592</v>
      </c>
      <c r="E1740">
        <v>6268862147</v>
      </c>
      <c r="F1740">
        <v>6020788689</v>
      </c>
      <c r="G1740">
        <v>6128346681</v>
      </c>
      <c r="H1740">
        <v>6226561975</v>
      </c>
      <c r="I1740">
        <v>6779026217</v>
      </c>
      <c r="J1740">
        <v>4570158100</v>
      </c>
      <c r="K1740">
        <v>3878810325</v>
      </c>
      <c r="L1740">
        <v>2393678205</v>
      </c>
      <c r="M1740">
        <v>1686985865</v>
      </c>
      <c r="N1740">
        <v>1592392551</v>
      </c>
      <c r="O1740">
        <v>1393151169</v>
      </c>
      <c r="P1740">
        <v>161</v>
      </c>
      <c r="Q1740" t="s">
        <v>3795</v>
      </c>
    </row>
    <row r="1741" spans="1:17" x14ac:dyDescent="0.3">
      <c r="A1741" t="s">
        <v>17</v>
      </c>
      <c r="B1741" t="str">
        <f>"600225"</f>
        <v>600225</v>
      </c>
      <c r="C1741" t="s">
        <v>3796</v>
      </c>
      <c r="D1741" t="s">
        <v>76</v>
      </c>
      <c r="E1741">
        <v>6263313192</v>
      </c>
      <c r="F1741">
        <v>10405668851</v>
      </c>
      <c r="G1741">
        <v>11987878124</v>
      </c>
      <c r="H1741">
        <v>14275209303</v>
      </c>
      <c r="I1741">
        <v>14716772492</v>
      </c>
      <c r="J1741">
        <v>15217068284</v>
      </c>
      <c r="K1741">
        <v>14590506347</v>
      </c>
      <c r="L1741">
        <v>15017562422</v>
      </c>
      <c r="M1741">
        <v>11902377428</v>
      </c>
      <c r="N1741">
        <v>11347118600</v>
      </c>
      <c r="O1741">
        <v>10565643968</v>
      </c>
      <c r="P1741">
        <v>110</v>
      </c>
      <c r="Q1741" t="s">
        <v>3797</v>
      </c>
    </row>
    <row r="1742" spans="1:17" x14ac:dyDescent="0.3">
      <c r="A1742" t="s">
        <v>47</v>
      </c>
      <c r="B1742" t="str">
        <f>"002376"</f>
        <v>002376</v>
      </c>
      <c r="C1742" t="s">
        <v>3798</v>
      </c>
      <c r="D1742" t="s">
        <v>765</v>
      </c>
      <c r="E1742">
        <v>6255544159</v>
      </c>
      <c r="F1742">
        <v>5906889433</v>
      </c>
      <c r="G1742">
        <v>5695496724</v>
      </c>
      <c r="H1742">
        <v>4645395099</v>
      </c>
      <c r="I1742">
        <v>4602426407</v>
      </c>
      <c r="J1742">
        <v>3915204591</v>
      </c>
      <c r="K1742">
        <v>3153842377</v>
      </c>
      <c r="L1742">
        <v>2720330777</v>
      </c>
      <c r="M1742">
        <v>2326279447</v>
      </c>
      <c r="N1742">
        <v>1685054951</v>
      </c>
      <c r="O1742">
        <v>1531269404</v>
      </c>
      <c r="P1742">
        <v>298</v>
      </c>
      <c r="Q1742" t="s">
        <v>3799</v>
      </c>
    </row>
    <row r="1743" spans="1:17" x14ac:dyDescent="0.3">
      <c r="A1743" t="s">
        <v>17</v>
      </c>
      <c r="B1743" t="str">
        <f>"605138"</f>
        <v>605138</v>
      </c>
      <c r="C1743" t="s">
        <v>3800</v>
      </c>
      <c r="D1743" t="s">
        <v>628</v>
      </c>
      <c r="E1743">
        <v>6243132453</v>
      </c>
      <c r="P1743">
        <v>27</v>
      </c>
      <c r="Q1743" t="s">
        <v>3801</v>
      </c>
    </row>
    <row r="1744" spans="1:17" x14ac:dyDescent="0.3">
      <c r="A1744" t="s">
        <v>17</v>
      </c>
      <c r="B1744" t="str">
        <f>"600389"</f>
        <v>600389</v>
      </c>
      <c r="C1744" t="s">
        <v>3802</v>
      </c>
      <c r="D1744" t="s">
        <v>819</v>
      </c>
      <c r="E1744">
        <v>6238741385</v>
      </c>
      <c r="F1744">
        <v>4516954573</v>
      </c>
      <c r="G1744">
        <v>4416939260</v>
      </c>
      <c r="H1744">
        <v>3440831258</v>
      </c>
      <c r="I1744">
        <v>2917907703</v>
      </c>
      <c r="J1744">
        <v>3264211601</v>
      </c>
      <c r="K1744">
        <v>4128326183</v>
      </c>
      <c r="L1744">
        <v>3119410535</v>
      </c>
      <c r="M1744">
        <v>3195962470</v>
      </c>
      <c r="N1744">
        <v>3111299082</v>
      </c>
      <c r="O1744">
        <v>3501006777</v>
      </c>
      <c r="P1744">
        <v>426</v>
      </c>
      <c r="Q1744" t="s">
        <v>3803</v>
      </c>
    </row>
    <row r="1745" spans="1:17" x14ac:dyDescent="0.3">
      <c r="A1745" t="s">
        <v>47</v>
      </c>
      <c r="B1745" t="str">
        <f>"300134"</f>
        <v>300134</v>
      </c>
      <c r="C1745" t="s">
        <v>3804</v>
      </c>
      <c r="D1745" t="s">
        <v>367</v>
      </c>
      <c r="E1745">
        <v>6231909589</v>
      </c>
      <c r="F1745">
        <v>6332221182</v>
      </c>
      <c r="G1745">
        <v>6216228723</v>
      </c>
      <c r="H1745">
        <v>6743721903</v>
      </c>
      <c r="I1745">
        <v>7232515291</v>
      </c>
      <c r="J1745">
        <v>7719496208</v>
      </c>
      <c r="K1745">
        <v>4455972282</v>
      </c>
      <c r="L1745">
        <v>3559367533</v>
      </c>
      <c r="M1745">
        <v>3314622537</v>
      </c>
      <c r="N1745">
        <v>3088471700</v>
      </c>
      <c r="O1745">
        <v>2704942810</v>
      </c>
      <c r="P1745">
        <v>342</v>
      </c>
      <c r="Q1745" t="s">
        <v>3805</v>
      </c>
    </row>
    <row r="1746" spans="1:17" x14ac:dyDescent="0.3">
      <c r="A1746" t="s">
        <v>47</v>
      </c>
      <c r="B1746" t="str">
        <f>"002293"</f>
        <v>002293</v>
      </c>
      <c r="C1746" t="s">
        <v>3806</v>
      </c>
      <c r="D1746" t="s">
        <v>3807</v>
      </c>
      <c r="E1746">
        <v>6231369338</v>
      </c>
      <c r="F1746">
        <v>6129526988</v>
      </c>
      <c r="G1746">
        <v>5460427214</v>
      </c>
      <c r="H1746">
        <v>5140121343</v>
      </c>
      <c r="I1746">
        <v>5045656719</v>
      </c>
      <c r="J1746">
        <v>4575824487</v>
      </c>
      <c r="K1746">
        <v>3585925939</v>
      </c>
      <c r="L1746">
        <v>3180540183</v>
      </c>
      <c r="M1746">
        <v>2727678314</v>
      </c>
      <c r="N1746">
        <v>2409526966</v>
      </c>
      <c r="O1746">
        <v>2270994717</v>
      </c>
      <c r="P1746">
        <v>4959</v>
      </c>
      <c r="Q1746" t="s">
        <v>3808</v>
      </c>
    </row>
    <row r="1747" spans="1:17" x14ac:dyDescent="0.3">
      <c r="A1747" t="s">
        <v>47</v>
      </c>
      <c r="B1747" t="str">
        <f>"000505"</f>
        <v>000505</v>
      </c>
      <c r="C1747" t="s">
        <v>3809</v>
      </c>
      <c r="D1747" t="s">
        <v>320</v>
      </c>
      <c r="E1747">
        <v>6224379657</v>
      </c>
      <c r="F1747">
        <v>5684487935</v>
      </c>
      <c r="G1747">
        <v>5243335859</v>
      </c>
      <c r="H1747">
        <v>4957598566</v>
      </c>
      <c r="I1747">
        <v>5768367292</v>
      </c>
      <c r="J1747">
        <v>1090959174</v>
      </c>
      <c r="K1747">
        <v>1759632822</v>
      </c>
      <c r="L1747">
        <v>1538255897</v>
      </c>
      <c r="M1747">
        <v>1423482955</v>
      </c>
      <c r="N1747">
        <v>1408174456</v>
      </c>
      <c r="O1747">
        <v>1341737876</v>
      </c>
      <c r="P1747">
        <v>193</v>
      </c>
      <c r="Q1747" t="s">
        <v>3810</v>
      </c>
    </row>
    <row r="1748" spans="1:17" x14ac:dyDescent="0.3">
      <c r="A1748" t="s">
        <v>47</v>
      </c>
      <c r="B1748" t="str">
        <f>"002284"</f>
        <v>002284</v>
      </c>
      <c r="C1748" t="s">
        <v>3811</v>
      </c>
      <c r="D1748" t="s">
        <v>274</v>
      </c>
      <c r="E1748">
        <v>6222019142</v>
      </c>
      <c r="F1748">
        <v>5686660036</v>
      </c>
      <c r="G1748">
        <v>5736486578</v>
      </c>
      <c r="H1748">
        <v>5810094020</v>
      </c>
      <c r="I1748">
        <v>6281152290</v>
      </c>
      <c r="J1748">
        <v>5221031731</v>
      </c>
      <c r="K1748">
        <v>4500061968</v>
      </c>
      <c r="L1748">
        <v>4286950654</v>
      </c>
      <c r="M1748">
        <v>2780342900</v>
      </c>
      <c r="N1748">
        <v>2425972136</v>
      </c>
      <c r="O1748">
        <v>2019746241</v>
      </c>
      <c r="P1748">
        <v>197</v>
      </c>
      <c r="Q1748" t="s">
        <v>3812</v>
      </c>
    </row>
    <row r="1749" spans="1:17" x14ac:dyDescent="0.3">
      <c r="A1749" t="s">
        <v>17</v>
      </c>
      <c r="B1749" t="str">
        <f>"603348"</f>
        <v>603348</v>
      </c>
      <c r="C1749" t="s">
        <v>3813</v>
      </c>
      <c r="D1749" t="s">
        <v>1815</v>
      </c>
      <c r="E1749">
        <v>6221197164</v>
      </c>
      <c r="F1749">
        <v>5623759447</v>
      </c>
      <c r="G1749">
        <v>4014724019</v>
      </c>
      <c r="H1749">
        <v>2940872595</v>
      </c>
      <c r="I1749">
        <v>2416594504</v>
      </c>
      <c r="P1749">
        <v>193</v>
      </c>
      <c r="Q1749" t="s">
        <v>3814</v>
      </c>
    </row>
    <row r="1750" spans="1:17" x14ac:dyDescent="0.3">
      <c r="A1750" t="s">
        <v>17</v>
      </c>
      <c r="B1750" t="str">
        <f>"688499"</f>
        <v>688499</v>
      </c>
      <c r="C1750" t="s">
        <v>3815</v>
      </c>
      <c r="D1750" t="s">
        <v>1490</v>
      </c>
      <c r="E1750">
        <v>6220041064</v>
      </c>
      <c r="F1750">
        <v>3781793013</v>
      </c>
      <c r="G1750">
        <v>2107467833</v>
      </c>
      <c r="P1750">
        <v>65</v>
      </c>
      <c r="Q1750" t="s">
        <v>3816</v>
      </c>
    </row>
    <row r="1751" spans="1:17" x14ac:dyDescent="0.3">
      <c r="A1751" t="s">
        <v>47</v>
      </c>
      <c r="B1751" t="str">
        <f>"002863"</f>
        <v>002863</v>
      </c>
      <c r="C1751" t="s">
        <v>3817</v>
      </c>
      <c r="D1751" t="s">
        <v>1102</v>
      </c>
      <c r="E1751">
        <v>6219635067</v>
      </c>
      <c r="F1751">
        <v>5646453868</v>
      </c>
      <c r="G1751">
        <v>4811575811</v>
      </c>
      <c r="H1751">
        <v>4609178909</v>
      </c>
      <c r="I1751">
        <v>3907758174</v>
      </c>
      <c r="J1751">
        <v>3148192562</v>
      </c>
      <c r="P1751">
        <v>104</v>
      </c>
      <c r="Q1751" t="s">
        <v>3818</v>
      </c>
    </row>
    <row r="1752" spans="1:17" x14ac:dyDescent="0.3">
      <c r="A1752" t="s">
        <v>17</v>
      </c>
      <c r="B1752" t="str">
        <f>"603013"</f>
        <v>603013</v>
      </c>
      <c r="C1752" t="s">
        <v>3819</v>
      </c>
      <c r="D1752" t="s">
        <v>274</v>
      </c>
      <c r="E1752">
        <v>6218615107</v>
      </c>
      <c r="F1752">
        <v>6440928417</v>
      </c>
      <c r="G1752">
        <v>6196614293</v>
      </c>
      <c r="H1752">
        <v>6031280018</v>
      </c>
      <c r="P1752">
        <v>236</v>
      </c>
      <c r="Q1752" t="s">
        <v>3820</v>
      </c>
    </row>
    <row r="1753" spans="1:17" x14ac:dyDescent="0.3">
      <c r="A1753" t="s">
        <v>17</v>
      </c>
      <c r="B1753" t="str">
        <f>"600961"</f>
        <v>600961</v>
      </c>
      <c r="C1753" t="s">
        <v>3821</v>
      </c>
      <c r="D1753" t="s">
        <v>1299</v>
      </c>
      <c r="E1753">
        <v>6216948586</v>
      </c>
      <c r="F1753">
        <v>5788724310</v>
      </c>
      <c r="G1753">
        <v>7264778131</v>
      </c>
      <c r="H1753">
        <v>6562835368</v>
      </c>
      <c r="I1753">
        <v>6625426865</v>
      </c>
      <c r="J1753">
        <v>6346845623</v>
      </c>
      <c r="K1753">
        <v>5778536313</v>
      </c>
      <c r="L1753">
        <v>6426495906</v>
      </c>
      <c r="M1753">
        <v>6156334143</v>
      </c>
      <c r="N1753">
        <v>6542296192</v>
      </c>
      <c r="O1753">
        <v>7029662058</v>
      </c>
      <c r="P1753">
        <v>127</v>
      </c>
      <c r="Q1753" t="s">
        <v>3822</v>
      </c>
    </row>
    <row r="1754" spans="1:17" x14ac:dyDescent="0.3">
      <c r="A1754" t="s">
        <v>47</v>
      </c>
      <c r="B1754" t="str">
        <f>"002540"</f>
        <v>002540</v>
      </c>
      <c r="C1754" t="s">
        <v>3823</v>
      </c>
      <c r="D1754" t="s">
        <v>346</v>
      </c>
      <c r="E1754">
        <v>6216324297</v>
      </c>
      <c r="F1754">
        <v>5478661912</v>
      </c>
      <c r="G1754">
        <v>5218949362</v>
      </c>
      <c r="H1754">
        <v>5581820396</v>
      </c>
      <c r="I1754">
        <v>5124828188</v>
      </c>
      <c r="J1754">
        <v>3333706624</v>
      </c>
      <c r="K1754">
        <v>3134509792</v>
      </c>
      <c r="L1754">
        <v>2818649119</v>
      </c>
      <c r="M1754">
        <v>2614346798</v>
      </c>
      <c r="N1754">
        <v>2331281189</v>
      </c>
      <c r="O1754">
        <v>2243366191</v>
      </c>
      <c r="P1754">
        <v>161</v>
      </c>
      <c r="Q1754" t="s">
        <v>3824</v>
      </c>
    </row>
    <row r="1755" spans="1:17" x14ac:dyDescent="0.3">
      <c r="A1755" t="s">
        <v>47</v>
      </c>
      <c r="B1755" t="str">
        <f>"002503"</f>
        <v>002503</v>
      </c>
      <c r="C1755" t="s">
        <v>3825</v>
      </c>
      <c r="D1755" t="s">
        <v>628</v>
      </c>
      <c r="E1755">
        <v>6213824710</v>
      </c>
      <c r="F1755">
        <v>10507308889</v>
      </c>
      <c r="G1755">
        <v>12555502124</v>
      </c>
      <c r="H1755">
        <v>10213290065</v>
      </c>
      <c r="I1755">
        <v>11068588219</v>
      </c>
      <c r="J1755">
        <v>7833859420</v>
      </c>
      <c r="K1755">
        <v>3986990297</v>
      </c>
      <c r="L1755">
        <v>2989051520</v>
      </c>
      <c r="M1755">
        <v>2561677990</v>
      </c>
      <c r="N1755">
        <v>2403080217</v>
      </c>
      <c r="O1755">
        <v>2034061582</v>
      </c>
      <c r="P1755">
        <v>244</v>
      </c>
      <c r="Q1755" t="s">
        <v>3826</v>
      </c>
    </row>
    <row r="1756" spans="1:17" x14ac:dyDescent="0.3">
      <c r="A1756" t="s">
        <v>47</v>
      </c>
      <c r="B1756" t="str">
        <f>"300297"</f>
        <v>300297</v>
      </c>
      <c r="C1756" t="s">
        <v>3827</v>
      </c>
      <c r="D1756" t="s">
        <v>700</v>
      </c>
      <c r="E1756">
        <v>6209837554</v>
      </c>
      <c r="F1756">
        <v>7383638892</v>
      </c>
      <c r="G1756">
        <v>8480772198</v>
      </c>
      <c r="H1756">
        <v>9661837446</v>
      </c>
      <c r="I1756">
        <v>8070718849</v>
      </c>
      <c r="J1756">
        <v>6711078997</v>
      </c>
      <c r="K1756">
        <v>2617517931</v>
      </c>
      <c r="L1756">
        <v>1343156727</v>
      </c>
      <c r="M1756">
        <v>1105606889</v>
      </c>
      <c r="N1756">
        <v>961604791</v>
      </c>
      <c r="O1756">
        <v>813458719</v>
      </c>
      <c r="P1756">
        <v>342</v>
      </c>
      <c r="Q1756" t="s">
        <v>3828</v>
      </c>
    </row>
    <row r="1757" spans="1:17" x14ac:dyDescent="0.3">
      <c r="A1757" t="s">
        <v>17</v>
      </c>
      <c r="B1757" t="str">
        <f>"601702"</f>
        <v>601702</v>
      </c>
      <c r="C1757" t="s">
        <v>3829</v>
      </c>
      <c r="D1757" t="s">
        <v>346</v>
      </c>
      <c r="E1757">
        <v>6207487691</v>
      </c>
      <c r="F1757">
        <v>5439080626</v>
      </c>
      <c r="P1757">
        <v>116</v>
      </c>
      <c r="Q1757" t="s">
        <v>3830</v>
      </c>
    </row>
    <row r="1758" spans="1:17" x14ac:dyDescent="0.3">
      <c r="A1758" t="s">
        <v>47</v>
      </c>
      <c r="B1758" t="str">
        <f>"002491"</f>
        <v>002491</v>
      </c>
      <c r="C1758" t="s">
        <v>3831</v>
      </c>
      <c r="D1758" t="s">
        <v>828</v>
      </c>
      <c r="E1758">
        <v>6201850834</v>
      </c>
      <c r="F1758">
        <v>7939322979</v>
      </c>
      <c r="G1758">
        <v>8285425423</v>
      </c>
      <c r="H1758">
        <v>10188448141</v>
      </c>
      <c r="I1758">
        <v>9681348923</v>
      </c>
      <c r="J1758">
        <v>8654772744</v>
      </c>
      <c r="K1758">
        <v>6892236110</v>
      </c>
      <c r="L1758">
        <v>5048980862</v>
      </c>
      <c r="M1758">
        <v>4506086579</v>
      </c>
      <c r="N1758">
        <v>3496986318</v>
      </c>
      <c r="O1758">
        <v>2704934819</v>
      </c>
      <c r="P1758">
        <v>214</v>
      </c>
      <c r="Q1758" t="s">
        <v>3832</v>
      </c>
    </row>
    <row r="1759" spans="1:17" x14ac:dyDescent="0.3">
      <c r="A1759" t="s">
        <v>47</v>
      </c>
      <c r="B1759" t="str">
        <f>"002528"</f>
        <v>002528</v>
      </c>
      <c r="C1759" t="s">
        <v>3833</v>
      </c>
      <c r="D1759" t="s">
        <v>523</v>
      </c>
      <c r="E1759">
        <v>6174260465</v>
      </c>
      <c r="F1759">
        <v>7786661735</v>
      </c>
      <c r="G1759">
        <v>6255462679</v>
      </c>
      <c r="H1759">
        <v>5657245918</v>
      </c>
      <c r="I1759">
        <v>4425647939</v>
      </c>
      <c r="J1759">
        <v>4022554934</v>
      </c>
      <c r="K1759">
        <v>2745169350</v>
      </c>
      <c r="L1759">
        <v>2511279174</v>
      </c>
      <c r="M1759">
        <v>2360353602</v>
      </c>
      <c r="N1759">
        <v>2357567699</v>
      </c>
      <c r="O1759">
        <v>2274663379</v>
      </c>
      <c r="P1759">
        <v>169</v>
      </c>
      <c r="Q1759" t="s">
        <v>3834</v>
      </c>
    </row>
    <row r="1760" spans="1:17" x14ac:dyDescent="0.3">
      <c r="A1760" t="s">
        <v>47</v>
      </c>
      <c r="B1760" t="str">
        <f>"300138"</f>
        <v>300138</v>
      </c>
      <c r="C1760" t="s">
        <v>3835</v>
      </c>
      <c r="D1760" t="s">
        <v>1708</v>
      </c>
      <c r="E1760">
        <v>6173266717</v>
      </c>
      <c r="F1760">
        <v>4693095839</v>
      </c>
      <c r="G1760">
        <v>4427036203</v>
      </c>
      <c r="H1760">
        <v>3364664903</v>
      </c>
      <c r="I1760">
        <v>2899666579</v>
      </c>
      <c r="J1760">
        <v>2420109641</v>
      </c>
      <c r="K1760">
        <v>1975252438</v>
      </c>
      <c r="L1760">
        <v>1501935630</v>
      </c>
      <c r="M1760">
        <v>1629128814</v>
      </c>
      <c r="N1760">
        <v>1536776216</v>
      </c>
      <c r="O1760">
        <v>1191563912</v>
      </c>
      <c r="P1760">
        <v>264</v>
      </c>
      <c r="Q1760" t="s">
        <v>3836</v>
      </c>
    </row>
    <row r="1761" spans="1:17" x14ac:dyDescent="0.3">
      <c r="A1761" t="s">
        <v>47</v>
      </c>
      <c r="B1761" t="str">
        <f>"300567"</f>
        <v>300567</v>
      </c>
      <c r="C1761" t="s">
        <v>3837</v>
      </c>
      <c r="D1761" t="s">
        <v>3722</v>
      </c>
      <c r="E1761">
        <v>6163698351</v>
      </c>
      <c r="F1761">
        <v>4891273123</v>
      </c>
      <c r="G1761">
        <v>4099169831</v>
      </c>
      <c r="H1761">
        <v>2412795979</v>
      </c>
      <c r="I1761">
        <v>1319572656</v>
      </c>
      <c r="J1761">
        <v>886877715</v>
      </c>
      <c r="P1761">
        <v>1242</v>
      </c>
      <c r="Q1761" t="s">
        <v>3838</v>
      </c>
    </row>
    <row r="1762" spans="1:17" x14ac:dyDescent="0.3">
      <c r="A1762" t="s">
        <v>17</v>
      </c>
      <c r="B1762" t="str">
        <f>"688162"</f>
        <v>688162</v>
      </c>
      <c r="C1762" t="s">
        <v>3839</v>
      </c>
      <c r="D1762" t="s">
        <v>274</v>
      </c>
      <c r="E1762">
        <v>6159343878</v>
      </c>
      <c r="P1762">
        <v>31</v>
      </c>
      <c r="Q1762" t="s">
        <v>3840</v>
      </c>
    </row>
    <row r="1763" spans="1:17" x14ac:dyDescent="0.3">
      <c r="A1763" t="s">
        <v>17</v>
      </c>
      <c r="B1763" t="str">
        <f>"603385"</f>
        <v>603385</v>
      </c>
      <c r="C1763" t="s">
        <v>3841</v>
      </c>
      <c r="D1763" t="s">
        <v>3842</v>
      </c>
      <c r="E1763">
        <v>6156877695</v>
      </c>
      <c r="F1763">
        <v>6163004911</v>
      </c>
      <c r="G1763">
        <v>4972033949</v>
      </c>
      <c r="H1763">
        <v>4571101584</v>
      </c>
      <c r="I1763">
        <v>4092256761</v>
      </c>
      <c r="J1763">
        <v>4193204332</v>
      </c>
      <c r="P1763">
        <v>192</v>
      </c>
      <c r="Q1763" t="s">
        <v>3843</v>
      </c>
    </row>
    <row r="1764" spans="1:17" x14ac:dyDescent="0.3">
      <c r="A1764" t="s">
        <v>47</v>
      </c>
      <c r="B1764" t="str">
        <f>"301087"</f>
        <v>301087</v>
      </c>
      <c r="C1764" t="s">
        <v>3844</v>
      </c>
      <c r="D1764" t="s">
        <v>2322</v>
      </c>
      <c r="E1764">
        <v>6152439180</v>
      </c>
      <c r="P1764">
        <v>33</v>
      </c>
      <c r="Q1764" t="s">
        <v>3845</v>
      </c>
    </row>
    <row r="1765" spans="1:17" x14ac:dyDescent="0.3">
      <c r="A1765" t="s">
        <v>47</v>
      </c>
      <c r="B1765" t="str">
        <f>"300047"</f>
        <v>300047</v>
      </c>
      <c r="C1765" t="s">
        <v>3846</v>
      </c>
      <c r="D1765" t="s">
        <v>1859</v>
      </c>
      <c r="E1765">
        <v>6150698492</v>
      </c>
      <c r="F1765">
        <v>5749386840</v>
      </c>
      <c r="G1765">
        <v>5536902944</v>
      </c>
      <c r="H1765">
        <v>4476413072</v>
      </c>
      <c r="I1765">
        <v>3936230974</v>
      </c>
      <c r="J1765">
        <v>3140243269</v>
      </c>
      <c r="K1765">
        <v>2421811398</v>
      </c>
      <c r="L1765">
        <v>1832498260</v>
      </c>
      <c r="M1765">
        <v>1608233127</v>
      </c>
      <c r="N1765">
        <v>1264521242</v>
      </c>
      <c r="O1765">
        <v>1104614679</v>
      </c>
      <c r="P1765">
        <v>338</v>
      </c>
      <c r="Q1765" t="s">
        <v>3847</v>
      </c>
    </row>
    <row r="1766" spans="1:17" x14ac:dyDescent="0.3">
      <c r="A1766" t="s">
        <v>47</v>
      </c>
      <c r="B1766" t="str">
        <f>"300623"</f>
        <v>300623</v>
      </c>
      <c r="C1766" t="s">
        <v>3848</v>
      </c>
      <c r="D1766" t="s">
        <v>2213</v>
      </c>
      <c r="E1766">
        <v>6150371234</v>
      </c>
      <c r="F1766">
        <v>3069293041</v>
      </c>
      <c r="G1766">
        <v>2471917355</v>
      </c>
      <c r="H1766">
        <v>1574815027</v>
      </c>
      <c r="I1766">
        <v>1387937662</v>
      </c>
      <c r="J1766">
        <v>1289785633</v>
      </c>
      <c r="P1766">
        <v>664</v>
      </c>
      <c r="Q1766" t="s">
        <v>3849</v>
      </c>
    </row>
    <row r="1767" spans="1:17" x14ac:dyDescent="0.3">
      <c r="A1767" t="s">
        <v>47</v>
      </c>
      <c r="B1767" t="str">
        <f>"300398"</f>
        <v>300398</v>
      </c>
      <c r="C1767" t="s">
        <v>3850</v>
      </c>
      <c r="D1767" t="s">
        <v>3050</v>
      </c>
      <c r="E1767">
        <v>6147746539</v>
      </c>
      <c r="F1767">
        <v>5430794580</v>
      </c>
      <c r="G1767">
        <v>4908010221</v>
      </c>
      <c r="H1767">
        <v>3632941850</v>
      </c>
      <c r="I1767">
        <v>3022284766</v>
      </c>
      <c r="J1767">
        <v>1231906811</v>
      </c>
      <c r="K1767">
        <v>1093476840</v>
      </c>
      <c r="L1767">
        <v>848220902</v>
      </c>
      <c r="P1767">
        <v>244</v>
      </c>
      <c r="Q1767" t="s">
        <v>3851</v>
      </c>
    </row>
    <row r="1768" spans="1:17" x14ac:dyDescent="0.3">
      <c r="A1768" t="s">
        <v>17</v>
      </c>
      <c r="B1768" t="str">
        <f>"688232"</f>
        <v>688232</v>
      </c>
      <c r="C1768" t="s">
        <v>3852</v>
      </c>
      <c r="D1768" t="s">
        <v>1859</v>
      </c>
      <c r="E1768">
        <v>6140807716</v>
      </c>
      <c r="G1768">
        <v>1449088598</v>
      </c>
      <c r="P1768">
        <v>26</v>
      </c>
      <c r="Q1768" t="s">
        <v>3853</v>
      </c>
    </row>
    <row r="1769" spans="1:17" x14ac:dyDescent="0.3">
      <c r="A1769" t="s">
        <v>17</v>
      </c>
      <c r="B1769" t="str">
        <f>"603012"</f>
        <v>603012</v>
      </c>
      <c r="C1769" t="s">
        <v>3854</v>
      </c>
      <c r="D1769" t="s">
        <v>607</v>
      </c>
      <c r="E1769">
        <v>6130670636</v>
      </c>
      <c r="F1769">
        <v>5679391949</v>
      </c>
      <c r="G1769">
        <v>5316725472</v>
      </c>
      <c r="H1769">
        <v>4509466522</v>
      </c>
      <c r="I1769">
        <v>3949518581</v>
      </c>
      <c r="J1769">
        <v>3606317614</v>
      </c>
      <c r="K1769">
        <v>3212331163</v>
      </c>
      <c r="L1769">
        <v>3038147530</v>
      </c>
      <c r="P1769">
        <v>135</v>
      </c>
      <c r="Q1769" t="s">
        <v>3855</v>
      </c>
    </row>
    <row r="1770" spans="1:17" x14ac:dyDescent="0.3">
      <c r="A1770" t="s">
        <v>17</v>
      </c>
      <c r="B1770" t="str">
        <f>"600779"</f>
        <v>600779</v>
      </c>
      <c r="C1770" t="s">
        <v>3856</v>
      </c>
      <c r="D1770" t="s">
        <v>286</v>
      </c>
      <c r="E1770">
        <v>6123552650</v>
      </c>
      <c r="F1770">
        <v>4968479514</v>
      </c>
      <c r="G1770">
        <v>3919005889</v>
      </c>
      <c r="H1770">
        <v>3436506910</v>
      </c>
      <c r="I1770">
        <v>2991083822</v>
      </c>
      <c r="J1770">
        <v>2344783422</v>
      </c>
      <c r="K1770">
        <v>1867288059</v>
      </c>
      <c r="L1770">
        <v>1729234492</v>
      </c>
      <c r="M1770">
        <v>1980098769</v>
      </c>
      <c r="N1770">
        <v>3205757151</v>
      </c>
      <c r="O1770">
        <v>2459347647</v>
      </c>
      <c r="P1770">
        <v>2794</v>
      </c>
      <c r="Q1770" t="s">
        <v>3857</v>
      </c>
    </row>
    <row r="1771" spans="1:17" x14ac:dyDescent="0.3">
      <c r="A1771" t="s">
        <v>17</v>
      </c>
      <c r="B1771" t="str">
        <f>"603366"</f>
        <v>603366</v>
      </c>
      <c r="C1771" t="s">
        <v>3858</v>
      </c>
      <c r="D1771" t="s">
        <v>3262</v>
      </c>
      <c r="E1771">
        <v>6122349261</v>
      </c>
      <c r="F1771">
        <v>6024257143</v>
      </c>
      <c r="G1771">
        <v>6070887624</v>
      </c>
      <c r="H1771">
        <v>5743633635</v>
      </c>
      <c r="I1771">
        <v>5985584733</v>
      </c>
      <c r="J1771">
        <v>5031563657</v>
      </c>
      <c r="K1771">
        <v>4854522740</v>
      </c>
      <c r="L1771">
        <v>4413727229</v>
      </c>
      <c r="M1771">
        <v>4331782289</v>
      </c>
      <c r="N1771">
        <v>4446621020</v>
      </c>
      <c r="P1771">
        <v>121</v>
      </c>
      <c r="Q1771" t="s">
        <v>3859</v>
      </c>
    </row>
    <row r="1772" spans="1:17" x14ac:dyDescent="0.3">
      <c r="A1772" t="s">
        <v>47</v>
      </c>
      <c r="B1772" t="str">
        <f>"300702"</f>
        <v>300702</v>
      </c>
      <c r="C1772" t="s">
        <v>3860</v>
      </c>
      <c r="D1772" t="s">
        <v>1112</v>
      </c>
      <c r="E1772">
        <v>6120892543</v>
      </c>
      <c r="F1772">
        <v>4956694024</v>
      </c>
      <c r="G1772">
        <v>3010298059</v>
      </c>
      <c r="H1772">
        <v>2578114219</v>
      </c>
      <c r="I1772">
        <v>2234157895</v>
      </c>
      <c r="P1772">
        <v>411</v>
      </c>
      <c r="Q1772" t="s">
        <v>3861</v>
      </c>
    </row>
    <row r="1773" spans="1:17" x14ac:dyDescent="0.3">
      <c r="A1773" t="s">
        <v>47</v>
      </c>
      <c r="B1773" t="str">
        <f>"300715"</f>
        <v>300715</v>
      </c>
      <c r="C1773" t="s">
        <v>3862</v>
      </c>
      <c r="D1773" t="s">
        <v>920</v>
      </c>
      <c r="E1773">
        <v>6110541019</v>
      </c>
      <c r="F1773">
        <v>3991276801</v>
      </c>
      <c r="G1773">
        <v>2060854540</v>
      </c>
      <c r="H1773">
        <v>1094259323</v>
      </c>
      <c r="I1773">
        <v>556475831</v>
      </c>
      <c r="P1773">
        <v>413</v>
      </c>
      <c r="Q1773" t="s">
        <v>3863</v>
      </c>
    </row>
    <row r="1774" spans="1:17" x14ac:dyDescent="0.3">
      <c r="A1774" t="s">
        <v>17</v>
      </c>
      <c r="B1774" t="str">
        <f>"600059"</f>
        <v>600059</v>
      </c>
      <c r="C1774" t="s">
        <v>3864</v>
      </c>
      <c r="D1774" t="s">
        <v>2319</v>
      </c>
      <c r="E1774">
        <v>6108020629</v>
      </c>
      <c r="F1774">
        <v>4991472273</v>
      </c>
      <c r="G1774">
        <v>4811671603</v>
      </c>
      <c r="H1774">
        <v>4649417645</v>
      </c>
      <c r="I1774">
        <v>4510023744</v>
      </c>
      <c r="J1774">
        <v>4434931754</v>
      </c>
      <c r="K1774">
        <v>4325724178</v>
      </c>
      <c r="L1774">
        <v>4205432766</v>
      </c>
      <c r="M1774">
        <v>3479670770</v>
      </c>
      <c r="N1774">
        <v>3255373706</v>
      </c>
      <c r="O1774">
        <v>2966480525</v>
      </c>
      <c r="P1774">
        <v>323</v>
      </c>
      <c r="Q1774" t="s">
        <v>3865</v>
      </c>
    </row>
    <row r="1775" spans="1:17" x14ac:dyDescent="0.3">
      <c r="A1775" t="s">
        <v>17</v>
      </c>
      <c r="B1775" t="str">
        <f>"600775"</f>
        <v>600775</v>
      </c>
      <c r="C1775" t="s">
        <v>3866</v>
      </c>
      <c r="D1775" t="s">
        <v>962</v>
      </c>
      <c r="E1775">
        <v>6105239480</v>
      </c>
      <c r="F1775">
        <v>6075711857</v>
      </c>
      <c r="G1775">
        <v>5984733789</v>
      </c>
      <c r="H1775">
        <v>6334298608</v>
      </c>
      <c r="I1775">
        <v>5862729882</v>
      </c>
      <c r="J1775">
        <v>5395206072</v>
      </c>
      <c r="K1775">
        <v>5041088621</v>
      </c>
      <c r="L1775">
        <v>4852401936</v>
      </c>
      <c r="M1775">
        <v>4196849164</v>
      </c>
      <c r="N1775">
        <v>3143041735</v>
      </c>
      <c r="O1775">
        <v>2814181595</v>
      </c>
      <c r="P1775">
        <v>179</v>
      </c>
      <c r="Q1775" t="s">
        <v>3867</v>
      </c>
    </row>
    <row r="1776" spans="1:17" x14ac:dyDescent="0.3">
      <c r="A1776" t="s">
        <v>17</v>
      </c>
      <c r="B1776" t="str">
        <f>"600750"</f>
        <v>600750</v>
      </c>
      <c r="C1776" t="s">
        <v>3868</v>
      </c>
      <c r="D1776" t="s">
        <v>695</v>
      </c>
      <c r="E1776">
        <v>6093177254</v>
      </c>
      <c r="F1776">
        <v>5058290611</v>
      </c>
      <c r="G1776">
        <v>4691593478</v>
      </c>
      <c r="H1776">
        <v>4376403910</v>
      </c>
      <c r="I1776">
        <v>3444638571</v>
      </c>
      <c r="J1776">
        <v>3008408671</v>
      </c>
      <c r="K1776">
        <v>2906650912</v>
      </c>
      <c r="L1776">
        <v>3349323093</v>
      </c>
      <c r="M1776">
        <v>3085793872</v>
      </c>
      <c r="N1776">
        <v>3355612454</v>
      </c>
      <c r="O1776">
        <v>2857817893</v>
      </c>
      <c r="P1776">
        <v>817</v>
      </c>
      <c r="Q1776" t="s">
        <v>3869</v>
      </c>
    </row>
    <row r="1777" spans="1:17" x14ac:dyDescent="0.3">
      <c r="A1777" t="s">
        <v>17</v>
      </c>
      <c r="B1777" t="str">
        <f>"605266"</f>
        <v>605266</v>
      </c>
      <c r="C1777" t="s">
        <v>3870</v>
      </c>
      <c r="D1777" t="s">
        <v>1852</v>
      </c>
      <c r="E1777">
        <v>6091389670</v>
      </c>
      <c r="F1777">
        <v>4384571830</v>
      </c>
      <c r="P1777">
        <v>105</v>
      </c>
      <c r="Q1777" t="s">
        <v>3871</v>
      </c>
    </row>
    <row r="1778" spans="1:17" x14ac:dyDescent="0.3">
      <c r="A1778" t="s">
        <v>17</v>
      </c>
      <c r="B1778" t="str">
        <f>"600051"</f>
        <v>600051</v>
      </c>
      <c r="C1778" t="s">
        <v>3872</v>
      </c>
      <c r="D1778" t="s">
        <v>810</v>
      </c>
      <c r="E1778">
        <v>6073233269</v>
      </c>
      <c r="F1778">
        <v>6904981176</v>
      </c>
      <c r="G1778">
        <v>7712825848</v>
      </c>
      <c r="H1778">
        <v>6637329340</v>
      </c>
      <c r="I1778">
        <v>6852804316</v>
      </c>
      <c r="J1778">
        <v>8496441844</v>
      </c>
      <c r="K1778">
        <v>8222807281</v>
      </c>
      <c r="L1778">
        <v>7818191568</v>
      </c>
      <c r="M1778">
        <v>7703934002</v>
      </c>
      <c r="N1778">
        <v>6156431724</v>
      </c>
      <c r="O1778">
        <v>5330681627</v>
      </c>
      <c r="P1778">
        <v>305</v>
      </c>
      <c r="Q1778" t="s">
        <v>3873</v>
      </c>
    </row>
    <row r="1779" spans="1:17" x14ac:dyDescent="0.3">
      <c r="A1779" t="s">
        <v>17</v>
      </c>
      <c r="B1779" t="str">
        <f>"603619"</f>
        <v>603619</v>
      </c>
      <c r="C1779" t="s">
        <v>3874</v>
      </c>
      <c r="D1779" t="s">
        <v>655</v>
      </c>
      <c r="E1779">
        <v>6069010441</v>
      </c>
      <c r="F1779">
        <v>5066889161</v>
      </c>
      <c r="G1779">
        <v>5329265784</v>
      </c>
      <c r="H1779">
        <v>4679416429</v>
      </c>
      <c r="I1779">
        <v>3856258621</v>
      </c>
      <c r="J1779">
        <v>2748366100</v>
      </c>
      <c r="P1779">
        <v>74</v>
      </c>
      <c r="Q1779" t="s">
        <v>3875</v>
      </c>
    </row>
    <row r="1780" spans="1:17" x14ac:dyDescent="0.3">
      <c r="A1780" t="s">
        <v>47</v>
      </c>
      <c r="B1780" t="str">
        <f>"300735"</f>
        <v>300735</v>
      </c>
      <c r="C1780" t="s">
        <v>3876</v>
      </c>
      <c r="D1780" t="s">
        <v>283</v>
      </c>
      <c r="E1780">
        <v>6067379573</v>
      </c>
      <c r="F1780">
        <v>5148702199</v>
      </c>
      <c r="G1780">
        <v>2569277444</v>
      </c>
      <c r="H1780">
        <v>2290552469</v>
      </c>
      <c r="I1780">
        <v>1876522349</v>
      </c>
      <c r="P1780">
        <v>453</v>
      </c>
      <c r="Q1780" t="s">
        <v>3877</v>
      </c>
    </row>
    <row r="1781" spans="1:17" x14ac:dyDescent="0.3">
      <c r="A1781" t="s">
        <v>47</v>
      </c>
      <c r="B1781" t="str">
        <f>"000799"</f>
        <v>000799</v>
      </c>
      <c r="C1781" t="s">
        <v>3878</v>
      </c>
      <c r="D1781" t="s">
        <v>286</v>
      </c>
      <c r="E1781">
        <v>6062279267</v>
      </c>
      <c r="F1781">
        <v>4543874496</v>
      </c>
      <c r="G1781">
        <v>3169686957</v>
      </c>
      <c r="H1781">
        <v>2851674731</v>
      </c>
      <c r="I1781">
        <v>2564719391</v>
      </c>
      <c r="J1781">
        <v>2342931236</v>
      </c>
      <c r="K1781">
        <v>2287206829</v>
      </c>
      <c r="L1781">
        <v>2138351364</v>
      </c>
      <c r="M1781">
        <v>2087052249</v>
      </c>
      <c r="N1781">
        <v>2360557268</v>
      </c>
      <c r="O1781">
        <v>2292795006</v>
      </c>
      <c r="P1781">
        <v>1661</v>
      </c>
      <c r="Q1781" t="s">
        <v>3879</v>
      </c>
    </row>
    <row r="1782" spans="1:17" x14ac:dyDescent="0.3">
      <c r="A1782" t="s">
        <v>17</v>
      </c>
      <c r="B1782" t="str">
        <f>"688006"</f>
        <v>688006</v>
      </c>
      <c r="C1782" t="s">
        <v>3880</v>
      </c>
      <c r="D1782" t="s">
        <v>1490</v>
      </c>
      <c r="E1782">
        <v>6054224617</v>
      </c>
      <c r="F1782">
        <v>4173690785</v>
      </c>
      <c r="G1782">
        <v>3821820636</v>
      </c>
      <c r="H1782">
        <v>2427588600</v>
      </c>
      <c r="P1782">
        <v>255</v>
      </c>
      <c r="Q1782" t="s">
        <v>3881</v>
      </c>
    </row>
    <row r="1783" spans="1:17" x14ac:dyDescent="0.3">
      <c r="A1783" t="s">
        <v>47</v>
      </c>
      <c r="B1783" t="str">
        <f>"002154"</f>
        <v>002154</v>
      </c>
      <c r="C1783" t="s">
        <v>3882</v>
      </c>
      <c r="D1783" t="s">
        <v>628</v>
      </c>
      <c r="E1783">
        <v>6048783832</v>
      </c>
      <c r="F1783">
        <v>4934553969</v>
      </c>
      <c r="G1783">
        <v>4521770488</v>
      </c>
      <c r="H1783">
        <v>4174650335</v>
      </c>
      <c r="I1783">
        <v>4147094668</v>
      </c>
      <c r="J1783">
        <v>3982324705</v>
      </c>
      <c r="K1783">
        <v>4334627375</v>
      </c>
      <c r="L1783">
        <v>4224273633</v>
      </c>
      <c r="M1783">
        <v>4447906911</v>
      </c>
      <c r="N1783">
        <v>4528655040</v>
      </c>
      <c r="O1783">
        <v>4004544319</v>
      </c>
      <c r="P1783">
        <v>204</v>
      </c>
      <c r="Q1783" t="s">
        <v>3883</v>
      </c>
    </row>
    <row r="1784" spans="1:17" x14ac:dyDescent="0.3">
      <c r="A1784" t="s">
        <v>47</v>
      </c>
      <c r="B1784" t="str">
        <f>"002262"</f>
        <v>002262</v>
      </c>
      <c r="C1784" t="s">
        <v>3884</v>
      </c>
      <c r="D1784" t="s">
        <v>550</v>
      </c>
      <c r="E1784">
        <v>6046412940</v>
      </c>
      <c r="F1784">
        <v>5014948630</v>
      </c>
      <c r="G1784">
        <v>4414686952</v>
      </c>
      <c r="H1784">
        <v>4263301887</v>
      </c>
      <c r="I1784">
        <v>3449146740</v>
      </c>
      <c r="J1784">
        <v>3187533385</v>
      </c>
      <c r="K1784">
        <v>2683964189</v>
      </c>
      <c r="L1784">
        <v>2084831274</v>
      </c>
      <c r="M1784">
        <v>1654607607</v>
      </c>
      <c r="N1784">
        <v>1488558867</v>
      </c>
      <c r="O1784">
        <v>1157613693</v>
      </c>
      <c r="P1784">
        <v>51365</v>
      </c>
      <c r="Q1784" t="s">
        <v>3885</v>
      </c>
    </row>
    <row r="1785" spans="1:17" x14ac:dyDescent="0.3">
      <c r="A1785" t="s">
        <v>17</v>
      </c>
      <c r="B1785" t="str">
        <f>"600435"</f>
        <v>600435</v>
      </c>
      <c r="C1785" t="s">
        <v>3886</v>
      </c>
      <c r="D1785" t="s">
        <v>1344</v>
      </c>
      <c r="E1785">
        <v>6039791437</v>
      </c>
      <c r="F1785">
        <v>5590290040</v>
      </c>
      <c r="G1785">
        <v>4764597658</v>
      </c>
      <c r="H1785">
        <v>4817616988</v>
      </c>
      <c r="I1785">
        <v>4610147982</v>
      </c>
      <c r="J1785">
        <v>4660991758</v>
      </c>
      <c r="K1785">
        <v>4259175084</v>
      </c>
      <c r="L1785">
        <v>3876162293</v>
      </c>
      <c r="M1785">
        <v>3522097660</v>
      </c>
      <c r="N1785">
        <v>3555850783</v>
      </c>
      <c r="O1785">
        <v>3424380476</v>
      </c>
      <c r="P1785">
        <v>230</v>
      </c>
      <c r="Q1785" t="s">
        <v>3887</v>
      </c>
    </row>
    <row r="1786" spans="1:17" x14ac:dyDescent="0.3">
      <c r="A1786" t="s">
        <v>47</v>
      </c>
      <c r="B1786" t="str">
        <f>"002487"</f>
        <v>002487</v>
      </c>
      <c r="C1786" t="s">
        <v>3888</v>
      </c>
      <c r="D1786" t="s">
        <v>2013</v>
      </c>
      <c r="E1786">
        <v>6036634583</v>
      </c>
      <c r="F1786">
        <v>5206644172</v>
      </c>
      <c r="G1786">
        <v>3905554821</v>
      </c>
      <c r="H1786">
        <v>2954477449</v>
      </c>
      <c r="I1786">
        <v>2755001228</v>
      </c>
      <c r="J1786">
        <v>2640776677</v>
      </c>
      <c r="K1786">
        <v>2426179348</v>
      </c>
      <c r="L1786">
        <v>2107783027</v>
      </c>
      <c r="M1786">
        <v>1908827691</v>
      </c>
      <c r="N1786">
        <v>1638739050</v>
      </c>
      <c r="O1786">
        <v>1540118475</v>
      </c>
      <c r="P1786">
        <v>248</v>
      </c>
      <c r="Q1786" t="s">
        <v>3889</v>
      </c>
    </row>
    <row r="1787" spans="1:17" x14ac:dyDescent="0.3">
      <c r="A1787" t="s">
        <v>17</v>
      </c>
      <c r="B1787" t="str">
        <f>"688211"</f>
        <v>688211</v>
      </c>
      <c r="C1787" t="s">
        <v>3890</v>
      </c>
      <c r="D1787" t="s">
        <v>1973</v>
      </c>
      <c r="E1787">
        <v>6033493796</v>
      </c>
      <c r="P1787">
        <v>27</v>
      </c>
      <c r="Q1787" t="s">
        <v>3891</v>
      </c>
    </row>
    <row r="1788" spans="1:17" x14ac:dyDescent="0.3">
      <c r="A1788" t="s">
        <v>47</v>
      </c>
      <c r="B1788" t="str">
        <f>"002165"</f>
        <v>002165</v>
      </c>
      <c r="C1788" t="s">
        <v>3892</v>
      </c>
      <c r="D1788" t="s">
        <v>334</v>
      </c>
      <c r="E1788">
        <v>6027694256</v>
      </c>
      <c r="F1788">
        <v>4692624120</v>
      </c>
      <c r="G1788">
        <v>4023492276</v>
      </c>
      <c r="H1788">
        <v>3721101550</v>
      </c>
      <c r="I1788">
        <v>3154425750</v>
      </c>
      <c r="J1788">
        <v>2537798873</v>
      </c>
      <c r="K1788">
        <v>1837441664</v>
      </c>
      <c r="L1788">
        <v>1762432395</v>
      </c>
      <c r="M1788">
        <v>1930692592</v>
      </c>
      <c r="N1788">
        <v>1794928723</v>
      </c>
      <c r="O1788">
        <v>1631819640</v>
      </c>
      <c r="P1788">
        <v>100</v>
      </c>
      <c r="Q1788" t="s">
        <v>3893</v>
      </c>
    </row>
    <row r="1789" spans="1:17" x14ac:dyDescent="0.3">
      <c r="A1789" t="s">
        <v>17</v>
      </c>
      <c r="B1789" t="str">
        <f>"688388"</f>
        <v>688388</v>
      </c>
      <c r="C1789" t="s">
        <v>3894</v>
      </c>
      <c r="D1789" t="s">
        <v>301</v>
      </c>
      <c r="E1789">
        <v>6027302711</v>
      </c>
      <c r="F1789">
        <v>4544537265</v>
      </c>
      <c r="G1789">
        <v>2663730715</v>
      </c>
      <c r="H1789">
        <v>1072726153</v>
      </c>
      <c r="J1789">
        <v>615174225</v>
      </c>
      <c r="P1789">
        <v>286</v>
      </c>
      <c r="Q1789" t="s">
        <v>3895</v>
      </c>
    </row>
    <row r="1790" spans="1:17" x14ac:dyDescent="0.3">
      <c r="A1790" t="s">
        <v>47</v>
      </c>
      <c r="B1790" t="str">
        <f>"002449"</f>
        <v>002449</v>
      </c>
      <c r="C1790" t="s">
        <v>3896</v>
      </c>
      <c r="D1790" t="s">
        <v>862</v>
      </c>
      <c r="E1790">
        <v>6025326602</v>
      </c>
      <c r="F1790">
        <v>5798004655</v>
      </c>
      <c r="G1790">
        <v>6346108513</v>
      </c>
      <c r="H1790">
        <v>6020602131</v>
      </c>
      <c r="I1790">
        <v>6057885784</v>
      </c>
      <c r="J1790">
        <v>5776549671</v>
      </c>
      <c r="K1790">
        <v>4414075537</v>
      </c>
      <c r="L1790">
        <v>3760692703</v>
      </c>
      <c r="M1790">
        <v>3433457187</v>
      </c>
      <c r="N1790">
        <v>3270341488</v>
      </c>
      <c r="O1790">
        <v>2652969141</v>
      </c>
      <c r="P1790">
        <v>392</v>
      </c>
      <c r="Q1790" t="s">
        <v>3897</v>
      </c>
    </row>
    <row r="1791" spans="1:17" x14ac:dyDescent="0.3">
      <c r="A1791" t="s">
        <v>17</v>
      </c>
      <c r="B1791" t="str">
        <f>"600628"</f>
        <v>600628</v>
      </c>
      <c r="C1791" t="s">
        <v>3898</v>
      </c>
      <c r="D1791" t="s">
        <v>1073</v>
      </c>
      <c r="E1791">
        <v>6011971394</v>
      </c>
      <c r="F1791">
        <v>6109602010</v>
      </c>
      <c r="G1791">
        <v>6352654936</v>
      </c>
      <c r="H1791">
        <v>6128293273</v>
      </c>
      <c r="I1791">
        <v>5916291663</v>
      </c>
      <c r="J1791">
        <v>5663983452</v>
      </c>
      <c r="K1791">
        <v>4760703347</v>
      </c>
      <c r="L1791">
        <v>5452637767</v>
      </c>
      <c r="M1791">
        <v>5229670885</v>
      </c>
      <c r="N1791">
        <v>5180774944</v>
      </c>
      <c r="O1791">
        <v>5506638572</v>
      </c>
      <c r="P1791">
        <v>112</v>
      </c>
      <c r="Q1791" t="s">
        <v>3899</v>
      </c>
    </row>
    <row r="1792" spans="1:17" x14ac:dyDescent="0.3">
      <c r="A1792" t="s">
        <v>17</v>
      </c>
      <c r="B1792" t="str">
        <f>"603920"</f>
        <v>603920</v>
      </c>
      <c r="C1792" t="s">
        <v>3900</v>
      </c>
      <c r="D1792" t="s">
        <v>1115</v>
      </c>
      <c r="E1792">
        <v>6010492904</v>
      </c>
      <c r="F1792">
        <v>5024794113</v>
      </c>
      <c r="G1792">
        <v>3495429423</v>
      </c>
      <c r="H1792">
        <v>3251544039</v>
      </c>
      <c r="I1792">
        <v>3137487197</v>
      </c>
      <c r="J1792">
        <v>1513850211</v>
      </c>
      <c r="P1792">
        <v>267</v>
      </c>
      <c r="Q1792" t="s">
        <v>3901</v>
      </c>
    </row>
    <row r="1793" spans="1:17" x14ac:dyDescent="0.3">
      <c r="A1793" t="s">
        <v>17</v>
      </c>
      <c r="B1793" t="str">
        <f>"600797"</f>
        <v>600797</v>
      </c>
      <c r="C1793" t="s">
        <v>3902</v>
      </c>
      <c r="D1793" t="s">
        <v>700</v>
      </c>
      <c r="E1793">
        <v>6003211378</v>
      </c>
      <c r="F1793">
        <v>6108597841</v>
      </c>
      <c r="G1793">
        <v>6044068227</v>
      </c>
      <c r="H1793">
        <v>6537461921</v>
      </c>
      <c r="I1793">
        <v>6458172196</v>
      </c>
      <c r="J1793">
        <v>3700358747</v>
      </c>
      <c r="K1793">
        <v>3955213024</v>
      </c>
      <c r="L1793">
        <v>4584748838</v>
      </c>
      <c r="M1793">
        <v>4880152865</v>
      </c>
      <c r="N1793">
        <v>4588525934</v>
      </c>
      <c r="O1793">
        <v>4745541464</v>
      </c>
      <c r="P1793">
        <v>221</v>
      </c>
      <c r="Q1793" t="s">
        <v>3903</v>
      </c>
    </row>
    <row r="1794" spans="1:17" x14ac:dyDescent="0.3">
      <c r="A1794" t="s">
        <v>17</v>
      </c>
      <c r="B1794" t="str">
        <f>"600470"</f>
        <v>600470</v>
      </c>
      <c r="C1794" t="s">
        <v>3904</v>
      </c>
      <c r="D1794" t="s">
        <v>760</v>
      </c>
      <c r="E1794">
        <v>6002897959</v>
      </c>
      <c r="F1794">
        <v>4841184855</v>
      </c>
      <c r="G1794">
        <v>5045136440</v>
      </c>
      <c r="H1794">
        <v>5979576300</v>
      </c>
      <c r="I1794">
        <v>5813958226</v>
      </c>
      <c r="J1794">
        <v>5799274573</v>
      </c>
      <c r="K1794">
        <v>6369000337</v>
      </c>
      <c r="L1794">
        <v>6808832699</v>
      </c>
      <c r="M1794">
        <v>6336806503</v>
      </c>
      <c r="N1794">
        <v>6706952319</v>
      </c>
      <c r="O1794">
        <v>5165204708</v>
      </c>
      <c r="P1794">
        <v>91</v>
      </c>
      <c r="Q1794" t="s">
        <v>3905</v>
      </c>
    </row>
    <row r="1795" spans="1:17" x14ac:dyDescent="0.3">
      <c r="A1795" t="s">
        <v>17</v>
      </c>
      <c r="B1795" t="str">
        <f>"603626"</f>
        <v>603626</v>
      </c>
      <c r="C1795" t="s">
        <v>3906</v>
      </c>
      <c r="D1795" t="s">
        <v>283</v>
      </c>
      <c r="E1795">
        <v>6002460183</v>
      </c>
      <c r="F1795">
        <v>6255340594</v>
      </c>
      <c r="G1795">
        <v>4650340960</v>
      </c>
      <c r="H1795">
        <v>4337078124</v>
      </c>
      <c r="I1795">
        <v>3401730769</v>
      </c>
      <c r="J1795">
        <v>2303049963</v>
      </c>
      <c r="P1795">
        <v>173</v>
      </c>
      <c r="Q1795" t="s">
        <v>3907</v>
      </c>
    </row>
    <row r="1796" spans="1:17" x14ac:dyDescent="0.3">
      <c r="A1796" t="s">
        <v>47</v>
      </c>
      <c r="B1796" t="str">
        <f>"002733"</f>
        <v>002733</v>
      </c>
      <c r="C1796" t="s">
        <v>3908</v>
      </c>
      <c r="D1796" t="s">
        <v>1357</v>
      </c>
      <c r="E1796">
        <v>6002421567</v>
      </c>
      <c r="F1796">
        <v>5295850619</v>
      </c>
      <c r="G1796">
        <v>4313650534</v>
      </c>
      <c r="H1796">
        <v>4185820638</v>
      </c>
      <c r="I1796">
        <v>3851358384</v>
      </c>
      <c r="J1796">
        <v>3274337442</v>
      </c>
      <c r="K1796">
        <v>2235527373</v>
      </c>
      <c r="L1796">
        <v>1720848554</v>
      </c>
      <c r="P1796">
        <v>236</v>
      </c>
      <c r="Q1796" t="s">
        <v>3909</v>
      </c>
    </row>
    <row r="1797" spans="1:17" x14ac:dyDescent="0.3">
      <c r="A1797" t="s">
        <v>47</v>
      </c>
      <c r="B1797" t="str">
        <f>"002358"</f>
        <v>002358</v>
      </c>
      <c r="C1797" t="s">
        <v>3910</v>
      </c>
      <c r="D1797" t="s">
        <v>459</v>
      </c>
      <c r="E1797">
        <v>6001420387</v>
      </c>
      <c r="F1797">
        <v>6975688790</v>
      </c>
      <c r="G1797">
        <v>8070846377</v>
      </c>
      <c r="H1797">
        <v>9203802833</v>
      </c>
      <c r="I1797">
        <v>8694868273</v>
      </c>
      <c r="J1797">
        <v>7348844789</v>
      </c>
      <c r="K1797">
        <v>4870769564</v>
      </c>
      <c r="L1797">
        <v>3989074159</v>
      </c>
      <c r="M1797">
        <v>2957608638</v>
      </c>
      <c r="N1797">
        <v>1831955057</v>
      </c>
      <c r="O1797">
        <v>1591607751</v>
      </c>
      <c r="P1797">
        <v>142</v>
      </c>
      <c r="Q1797" t="s">
        <v>3911</v>
      </c>
    </row>
    <row r="1798" spans="1:17" x14ac:dyDescent="0.3">
      <c r="A1798" t="s">
        <v>17</v>
      </c>
      <c r="B1798" t="str">
        <f>"603031"</f>
        <v>603031</v>
      </c>
      <c r="C1798" t="s">
        <v>3912</v>
      </c>
      <c r="D1798" t="s">
        <v>692</v>
      </c>
      <c r="E1798">
        <v>5985237431</v>
      </c>
      <c r="F1798">
        <v>1712475169</v>
      </c>
      <c r="G1798">
        <v>1760054396</v>
      </c>
      <c r="H1798">
        <v>1774975984</v>
      </c>
      <c r="I1798">
        <v>1470795104</v>
      </c>
      <c r="J1798">
        <v>1430296044</v>
      </c>
      <c r="P1798">
        <v>70</v>
      </c>
      <c r="Q1798" t="s">
        <v>3913</v>
      </c>
    </row>
    <row r="1799" spans="1:17" x14ac:dyDescent="0.3">
      <c r="A1799" t="s">
        <v>17</v>
      </c>
      <c r="B1799" t="str">
        <f>"600557"</f>
        <v>600557</v>
      </c>
      <c r="C1799" t="s">
        <v>3914</v>
      </c>
      <c r="D1799" t="s">
        <v>695</v>
      </c>
      <c r="E1799">
        <v>5984972937</v>
      </c>
      <c r="F1799">
        <v>5966485088</v>
      </c>
      <c r="G1799">
        <v>6109839128</v>
      </c>
      <c r="H1799">
        <v>5513315334</v>
      </c>
      <c r="I1799">
        <v>5242281519</v>
      </c>
      <c r="J1799">
        <v>4909002489</v>
      </c>
      <c r="K1799">
        <v>4355957768</v>
      </c>
      <c r="L1799">
        <v>4137737481</v>
      </c>
      <c r="M1799">
        <v>3542218514</v>
      </c>
      <c r="N1799">
        <v>3066788413</v>
      </c>
      <c r="O1799">
        <v>2770966846</v>
      </c>
      <c r="P1799">
        <v>427</v>
      </c>
      <c r="Q1799" t="s">
        <v>3915</v>
      </c>
    </row>
    <row r="1800" spans="1:17" x14ac:dyDescent="0.3">
      <c r="A1800" t="s">
        <v>47</v>
      </c>
      <c r="B1800" t="str">
        <f>"200570"</f>
        <v>200570</v>
      </c>
      <c r="C1800" t="s">
        <v>3916</v>
      </c>
      <c r="E1800">
        <v>5970484734.0740004</v>
      </c>
      <c r="F1800">
        <v>4896685848.1575003</v>
      </c>
      <c r="G1800">
        <v>3797605582.2834001</v>
      </c>
      <c r="H1800">
        <v>4264072949.0528998</v>
      </c>
      <c r="I1800">
        <v>4631700858.3175001</v>
      </c>
      <c r="J1800">
        <v>4427151393.9289999</v>
      </c>
      <c r="K1800">
        <v>3840957943.2591</v>
      </c>
      <c r="L1800">
        <v>4158140828.75</v>
      </c>
      <c r="M1800">
        <v>3860922480.3824</v>
      </c>
      <c r="N1800">
        <v>3985758537.8322001</v>
      </c>
      <c r="O1800">
        <v>3720119059.5029998</v>
      </c>
      <c r="P1800">
        <v>10</v>
      </c>
      <c r="Q1800" t="s">
        <v>3917</v>
      </c>
    </row>
    <row r="1801" spans="1:17" x14ac:dyDescent="0.3">
      <c r="A1801" t="s">
        <v>47</v>
      </c>
      <c r="B1801" t="str">
        <f>"000893"</f>
        <v>000893</v>
      </c>
      <c r="C1801" t="s">
        <v>3918</v>
      </c>
      <c r="D1801" t="s">
        <v>1274</v>
      </c>
      <c r="E1801">
        <v>5965655272</v>
      </c>
      <c r="F1801">
        <v>4425242078</v>
      </c>
      <c r="G1801">
        <v>4193753165</v>
      </c>
      <c r="H1801">
        <v>4227444880</v>
      </c>
      <c r="I1801">
        <v>4225415404</v>
      </c>
      <c r="J1801">
        <v>5255886050</v>
      </c>
      <c r="K1801">
        <v>5489186660</v>
      </c>
      <c r="L1801">
        <v>8100650639</v>
      </c>
      <c r="M1801">
        <v>6496606799</v>
      </c>
      <c r="N1801">
        <v>7530283024</v>
      </c>
      <c r="O1801">
        <v>4560786467</v>
      </c>
      <c r="P1801">
        <v>159</v>
      </c>
      <c r="Q1801" t="s">
        <v>3919</v>
      </c>
    </row>
    <row r="1802" spans="1:17" x14ac:dyDescent="0.3">
      <c r="A1802" t="s">
        <v>17</v>
      </c>
      <c r="B1802" t="str">
        <f>"603033"</f>
        <v>603033</v>
      </c>
      <c r="C1802" t="s">
        <v>3920</v>
      </c>
      <c r="D1802" t="s">
        <v>3921</v>
      </c>
      <c r="E1802">
        <v>5964404207</v>
      </c>
      <c r="F1802">
        <v>5486523654</v>
      </c>
      <c r="G1802">
        <v>4605892828</v>
      </c>
      <c r="H1802">
        <v>3561663517</v>
      </c>
      <c r="I1802">
        <v>1500621786</v>
      </c>
      <c r="J1802">
        <v>1338861554</v>
      </c>
      <c r="P1802">
        <v>99</v>
      </c>
      <c r="Q1802" t="s">
        <v>3922</v>
      </c>
    </row>
    <row r="1803" spans="1:17" x14ac:dyDescent="0.3">
      <c r="A1803" t="s">
        <v>47</v>
      </c>
      <c r="B1803" t="str">
        <f>"002480"</f>
        <v>002480</v>
      </c>
      <c r="C1803" t="s">
        <v>3923</v>
      </c>
      <c r="D1803" t="s">
        <v>401</v>
      </c>
      <c r="E1803">
        <v>5964142928</v>
      </c>
      <c r="F1803">
        <v>6938153227</v>
      </c>
      <c r="G1803">
        <v>8011492902</v>
      </c>
      <c r="H1803">
        <v>7015837505</v>
      </c>
      <c r="I1803">
        <v>5816970097</v>
      </c>
      <c r="J1803">
        <v>4843319253</v>
      </c>
      <c r="K1803">
        <v>5115772995</v>
      </c>
      <c r="L1803">
        <v>4947948350</v>
      </c>
      <c r="M1803">
        <v>3792075957</v>
      </c>
      <c r="N1803">
        <v>3573244366</v>
      </c>
      <c r="O1803">
        <v>3381176327</v>
      </c>
      <c r="P1803">
        <v>107</v>
      </c>
      <c r="Q1803" t="s">
        <v>3924</v>
      </c>
    </row>
    <row r="1804" spans="1:17" x14ac:dyDescent="0.3">
      <c r="A1804" t="s">
        <v>17</v>
      </c>
      <c r="B1804" t="str">
        <f>"603518"</f>
        <v>603518</v>
      </c>
      <c r="C1804" t="s">
        <v>3925</v>
      </c>
      <c r="D1804" t="s">
        <v>628</v>
      </c>
      <c r="E1804">
        <v>5960272672</v>
      </c>
      <c r="F1804">
        <v>5413406536</v>
      </c>
      <c r="G1804">
        <v>6847616752</v>
      </c>
      <c r="H1804">
        <v>6774356549</v>
      </c>
      <c r="I1804">
        <v>6564759930</v>
      </c>
      <c r="J1804">
        <v>6262439336</v>
      </c>
      <c r="K1804">
        <v>1537272493</v>
      </c>
      <c r="L1804">
        <v>1416983817</v>
      </c>
      <c r="P1804">
        <v>204</v>
      </c>
      <c r="Q1804" t="s">
        <v>3926</v>
      </c>
    </row>
    <row r="1805" spans="1:17" x14ac:dyDescent="0.3">
      <c r="A1805" t="s">
        <v>47</v>
      </c>
      <c r="B1805" t="str">
        <f>"300064"</f>
        <v>300064</v>
      </c>
      <c r="C1805" t="s">
        <v>3927</v>
      </c>
      <c r="D1805" t="s">
        <v>2646</v>
      </c>
      <c r="E1805">
        <v>5951689525</v>
      </c>
      <c r="F1805">
        <v>6353463263</v>
      </c>
      <c r="G1805">
        <v>7284819025</v>
      </c>
      <c r="H1805">
        <v>9167753695</v>
      </c>
      <c r="I1805">
        <v>9215404150</v>
      </c>
      <c r="J1805">
        <v>8875434550</v>
      </c>
      <c r="K1805">
        <v>3628423752</v>
      </c>
      <c r="L1805">
        <v>3051300684</v>
      </c>
      <c r="M1805">
        <v>2618562111</v>
      </c>
      <c r="N1805">
        <v>2220507708</v>
      </c>
      <c r="O1805">
        <v>1674187399</v>
      </c>
      <c r="P1805">
        <v>77</v>
      </c>
      <c r="Q1805" t="s">
        <v>3928</v>
      </c>
    </row>
    <row r="1806" spans="1:17" x14ac:dyDescent="0.3">
      <c r="A1806" t="s">
        <v>47</v>
      </c>
      <c r="B1806" t="str">
        <f>"002176"</f>
        <v>002176</v>
      </c>
      <c r="C1806" t="s">
        <v>3929</v>
      </c>
      <c r="D1806" t="s">
        <v>1594</v>
      </c>
      <c r="E1806">
        <v>5950481064</v>
      </c>
      <c r="F1806">
        <v>4950572364</v>
      </c>
      <c r="G1806">
        <v>5590197853</v>
      </c>
      <c r="H1806">
        <v>9374503509</v>
      </c>
      <c r="I1806">
        <v>10230257312</v>
      </c>
      <c r="J1806">
        <v>7521875993</v>
      </c>
      <c r="K1806">
        <v>9457982224</v>
      </c>
      <c r="L1806">
        <v>2296339133</v>
      </c>
      <c r="M1806">
        <v>1633112060</v>
      </c>
      <c r="N1806">
        <v>1378206530</v>
      </c>
      <c r="O1806">
        <v>1263847248</v>
      </c>
      <c r="P1806">
        <v>317</v>
      </c>
      <c r="Q1806" t="s">
        <v>3930</v>
      </c>
    </row>
    <row r="1807" spans="1:17" x14ac:dyDescent="0.3">
      <c r="A1807" t="s">
        <v>47</v>
      </c>
      <c r="B1807" t="str">
        <f>"300679"</f>
        <v>300679</v>
      </c>
      <c r="C1807" t="s">
        <v>3931</v>
      </c>
      <c r="D1807" t="s">
        <v>283</v>
      </c>
      <c r="E1807">
        <v>5950094801</v>
      </c>
      <c r="F1807">
        <v>4926050138</v>
      </c>
      <c r="G1807">
        <v>4077805496</v>
      </c>
      <c r="H1807">
        <v>3886164774</v>
      </c>
      <c r="I1807">
        <v>3434211506</v>
      </c>
      <c r="P1807">
        <v>334</v>
      </c>
      <c r="Q1807" t="s">
        <v>3932</v>
      </c>
    </row>
    <row r="1808" spans="1:17" x14ac:dyDescent="0.3">
      <c r="A1808" t="s">
        <v>47</v>
      </c>
      <c r="B1808" t="str">
        <f>"300007"</f>
        <v>300007</v>
      </c>
      <c r="C1808" t="s">
        <v>3933</v>
      </c>
      <c r="D1808" t="s">
        <v>3722</v>
      </c>
      <c r="E1808">
        <v>5939087571</v>
      </c>
      <c r="F1808">
        <v>5316256530</v>
      </c>
      <c r="G1808">
        <v>5138401710</v>
      </c>
      <c r="H1808">
        <v>5352637218</v>
      </c>
      <c r="I1808">
        <v>4616759893</v>
      </c>
      <c r="J1808">
        <v>3647008941</v>
      </c>
      <c r="K1808">
        <v>3245628182</v>
      </c>
      <c r="L1808">
        <v>2550521981</v>
      </c>
      <c r="M1808">
        <v>904702357</v>
      </c>
      <c r="N1808">
        <v>775288648</v>
      </c>
      <c r="O1808">
        <v>681379427</v>
      </c>
      <c r="P1808">
        <v>314</v>
      </c>
      <c r="Q1808" t="s">
        <v>3934</v>
      </c>
    </row>
    <row r="1809" spans="1:17" x14ac:dyDescent="0.3">
      <c r="A1809" t="s">
        <v>17</v>
      </c>
      <c r="B1809" t="str">
        <f>"603477"</f>
        <v>603477</v>
      </c>
      <c r="C1809" t="s">
        <v>3935</v>
      </c>
      <c r="D1809" t="s">
        <v>3936</v>
      </c>
      <c r="E1809">
        <v>5936744619</v>
      </c>
      <c r="F1809">
        <v>4898578761</v>
      </c>
      <c r="G1809">
        <v>1424248897</v>
      </c>
      <c r="H1809">
        <v>1376377110</v>
      </c>
      <c r="I1809">
        <v>1273103646</v>
      </c>
      <c r="P1809">
        <v>134</v>
      </c>
      <c r="Q1809" t="s">
        <v>3937</v>
      </c>
    </row>
    <row r="1810" spans="1:17" x14ac:dyDescent="0.3">
      <c r="A1810" t="s">
        <v>47</v>
      </c>
      <c r="B1810" t="str">
        <f>"002547"</f>
        <v>002547</v>
      </c>
      <c r="C1810" t="s">
        <v>3938</v>
      </c>
      <c r="D1810" t="s">
        <v>283</v>
      </c>
      <c r="E1810">
        <v>5936496143</v>
      </c>
      <c r="F1810">
        <v>6365549047</v>
      </c>
      <c r="G1810">
        <v>9778883271</v>
      </c>
      <c r="H1810">
        <v>8769969449</v>
      </c>
      <c r="I1810">
        <v>8228144211</v>
      </c>
      <c r="J1810">
        <v>6729131487</v>
      </c>
      <c r="K1810">
        <v>3463951998</v>
      </c>
      <c r="L1810">
        <v>3140506317</v>
      </c>
      <c r="M1810">
        <v>2031573976</v>
      </c>
      <c r="N1810">
        <v>1614333049</v>
      </c>
      <c r="O1810">
        <v>1370020470</v>
      </c>
      <c r="P1810">
        <v>306</v>
      </c>
      <c r="Q1810" t="s">
        <v>3939</v>
      </c>
    </row>
    <row r="1811" spans="1:17" x14ac:dyDescent="0.3">
      <c r="A1811" t="s">
        <v>47</v>
      </c>
      <c r="B1811" t="str">
        <f>"002054"</f>
        <v>002054</v>
      </c>
      <c r="C1811" t="s">
        <v>3940</v>
      </c>
      <c r="D1811" t="s">
        <v>703</v>
      </c>
      <c r="E1811">
        <v>5933801211</v>
      </c>
      <c r="F1811">
        <v>5070376860</v>
      </c>
      <c r="G1811">
        <v>3118277884</v>
      </c>
      <c r="H1811">
        <v>2895943763</v>
      </c>
      <c r="I1811">
        <v>2976397712</v>
      </c>
      <c r="J1811">
        <v>3003179042</v>
      </c>
      <c r="K1811">
        <v>2959713402</v>
      </c>
      <c r="L1811">
        <v>2657777491</v>
      </c>
      <c r="M1811">
        <v>2229000189</v>
      </c>
      <c r="N1811">
        <v>2119499056</v>
      </c>
      <c r="O1811">
        <v>2009391898</v>
      </c>
      <c r="P1811">
        <v>110</v>
      </c>
      <c r="Q1811" t="s">
        <v>3941</v>
      </c>
    </row>
    <row r="1812" spans="1:17" x14ac:dyDescent="0.3">
      <c r="A1812" t="s">
        <v>47</v>
      </c>
      <c r="B1812" t="str">
        <f>"300224"</f>
        <v>300224</v>
      </c>
      <c r="C1812" t="s">
        <v>3942</v>
      </c>
      <c r="D1812" t="s">
        <v>2108</v>
      </c>
      <c r="E1812">
        <v>5928124044</v>
      </c>
      <c r="F1812">
        <v>4558700496</v>
      </c>
      <c r="G1812">
        <v>3686174373</v>
      </c>
      <c r="H1812">
        <v>3691426144</v>
      </c>
      <c r="I1812">
        <v>3908003376</v>
      </c>
      <c r="J1812">
        <v>3932417825</v>
      </c>
      <c r="K1812">
        <v>2991117740</v>
      </c>
      <c r="L1812">
        <v>2098178915</v>
      </c>
      <c r="M1812">
        <v>1922250497</v>
      </c>
      <c r="N1812">
        <v>1715698162</v>
      </c>
      <c r="O1812">
        <v>1941515701</v>
      </c>
      <c r="P1812">
        <v>198</v>
      </c>
      <c r="Q1812" t="s">
        <v>3943</v>
      </c>
    </row>
    <row r="1813" spans="1:17" x14ac:dyDescent="0.3">
      <c r="A1813" t="s">
        <v>47</v>
      </c>
      <c r="B1813" t="str">
        <f>"002978"</f>
        <v>002978</v>
      </c>
      <c r="C1813" t="s">
        <v>3944</v>
      </c>
      <c r="D1813" t="s">
        <v>1002</v>
      </c>
      <c r="E1813">
        <v>5924855522</v>
      </c>
      <c r="F1813">
        <v>5101363726</v>
      </c>
      <c r="G1813">
        <v>3196512609</v>
      </c>
      <c r="P1813">
        <v>229</v>
      </c>
      <c r="Q1813" t="s">
        <v>3945</v>
      </c>
    </row>
    <row r="1814" spans="1:17" x14ac:dyDescent="0.3">
      <c r="A1814" t="s">
        <v>47</v>
      </c>
      <c r="B1814" t="str">
        <f>"300596"</f>
        <v>300596</v>
      </c>
      <c r="C1814" t="s">
        <v>3946</v>
      </c>
      <c r="D1814" t="s">
        <v>3077</v>
      </c>
      <c r="E1814">
        <v>5924630712</v>
      </c>
      <c r="F1814">
        <v>4092755121</v>
      </c>
      <c r="G1814">
        <v>3393262466</v>
      </c>
      <c r="H1814">
        <v>2125370665</v>
      </c>
      <c r="I1814">
        <v>1571572859</v>
      </c>
      <c r="J1814">
        <v>1166146749</v>
      </c>
      <c r="P1814">
        <v>391</v>
      </c>
      <c r="Q1814" t="s">
        <v>3947</v>
      </c>
    </row>
    <row r="1815" spans="1:17" x14ac:dyDescent="0.3">
      <c r="A1815" t="s">
        <v>17</v>
      </c>
      <c r="B1815" t="str">
        <f>"688559"</f>
        <v>688559</v>
      </c>
      <c r="C1815" t="s">
        <v>3948</v>
      </c>
      <c r="D1815" t="s">
        <v>1296</v>
      </c>
      <c r="E1815">
        <v>5908046748</v>
      </c>
      <c r="F1815">
        <v>3868575975</v>
      </c>
      <c r="P1815">
        <v>68</v>
      </c>
      <c r="Q1815" t="s">
        <v>3949</v>
      </c>
    </row>
    <row r="1816" spans="1:17" x14ac:dyDescent="0.3">
      <c r="A1816" t="s">
        <v>17</v>
      </c>
      <c r="B1816" t="str">
        <f>"603682"</f>
        <v>603682</v>
      </c>
      <c r="C1816" t="s">
        <v>3950</v>
      </c>
      <c r="D1816" t="s">
        <v>454</v>
      </c>
      <c r="E1816">
        <v>5907258296</v>
      </c>
      <c r="F1816">
        <v>4076869452</v>
      </c>
      <c r="G1816">
        <v>1289571902</v>
      </c>
      <c r="P1816">
        <v>156</v>
      </c>
      <c r="Q1816" t="s">
        <v>3951</v>
      </c>
    </row>
    <row r="1817" spans="1:17" x14ac:dyDescent="0.3">
      <c r="A1817" t="s">
        <v>17</v>
      </c>
      <c r="B1817" t="str">
        <f>"603358"</f>
        <v>603358</v>
      </c>
      <c r="C1817" t="s">
        <v>3952</v>
      </c>
      <c r="D1817" t="s">
        <v>1815</v>
      </c>
      <c r="E1817">
        <v>5894421982</v>
      </c>
      <c r="F1817">
        <v>4994881717</v>
      </c>
      <c r="G1817">
        <v>4403145784</v>
      </c>
      <c r="H1817">
        <v>4650946681</v>
      </c>
      <c r="I1817">
        <v>3992683858</v>
      </c>
      <c r="J1817">
        <v>3570638132</v>
      </c>
      <c r="P1817">
        <v>131</v>
      </c>
      <c r="Q1817" t="s">
        <v>3953</v>
      </c>
    </row>
    <row r="1818" spans="1:17" x14ac:dyDescent="0.3">
      <c r="A1818" t="s">
        <v>17</v>
      </c>
      <c r="B1818" t="str">
        <f>"601113"</f>
        <v>601113</v>
      </c>
      <c r="C1818" t="s">
        <v>3954</v>
      </c>
      <c r="D1818" t="s">
        <v>2707</v>
      </c>
      <c r="E1818">
        <v>5892224265</v>
      </c>
      <c r="F1818">
        <v>7291115920</v>
      </c>
      <c r="G1818">
        <v>7318970950</v>
      </c>
      <c r="H1818">
        <v>9733079279</v>
      </c>
      <c r="I1818">
        <v>5175250485</v>
      </c>
      <c r="J1818">
        <v>4712083398</v>
      </c>
      <c r="K1818">
        <v>4146440355</v>
      </c>
      <c r="L1818">
        <v>3608436345</v>
      </c>
      <c r="M1818">
        <v>3178269481</v>
      </c>
      <c r="N1818">
        <v>2697611592</v>
      </c>
      <c r="O1818">
        <v>2553607029</v>
      </c>
      <c r="P1818">
        <v>68</v>
      </c>
      <c r="Q1818" t="s">
        <v>3955</v>
      </c>
    </row>
    <row r="1819" spans="1:17" x14ac:dyDescent="0.3">
      <c r="A1819" t="s">
        <v>17</v>
      </c>
      <c r="B1819" t="str">
        <f>"600261"</f>
        <v>600261</v>
      </c>
      <c r="C1819" t="s">
        <v>3956</v>
      </c>
      <c r="D1819" t="s">
        <v>2170</v>
      </c>
      <c r="E1819">
        <v>5887347220</v>
      </c>
      <c r="F1819">
        <v>6324127572</v>
      </c>
      <c r="G1819">
        <v>6095881875</v>
      </c>
      <c r="H1819">
        <v>6305197311</v>
      </c>
      <c r="I1819">
        <v>6165470439</v>
      </c>
      <c r="J1819">
        <v>5620033507</v>
      </c>
      <c r="K1819">
        <v>4927349574</v>
      </c>
      <c r="L1819">
        <v>4422614879</v>
      </c>
      <c r="M1819">
        <v>4153440856</v>
      </c>
      <c r="N1819">
        <v>3970135579</v>
      </c>
      <c r="O1819">
        <v>4125718548</v>
      </c>
      <c r="P1819">
        <v>440</v>
      </c>
      <c r="Q1819" t="s">
        <v>3957</v>
      </c>
    </row>
    <row r="1820" spans="1:17" x14ac:dyDescent="0.3">
      <c r="A1820" t="s">
        <v>47</v>
      </c>
      <c r="B1820" t="str">
        <f>"002425"</f>
        <v>002425</v>
      </c>
      <c r="C1820" t="s">
        <v>3958</v>
      </c>
      <c r="D1820" t="s">
        <v>1032</v>
      </c>
      <c r="E1820">
        <v>5884658763</v>
      </c>
      <c r="F1820">
        <v>5840676873</v>
      </c>
      <c r="G1820">
        <v>5060403548</v>
      </c>
      <c r="H1820">
        <v>4953346323</v>
      </c>
      <c r="I1820">
        <v>4600936299</v>
      </c>
      <c r="J1820">
        <v>4235244731</v>
      </c>
      <c r="K1820">
        <v>2658421925</v>
      </c>
      <c r="L1820">
        <v>2611491741</v>
      </c>
      <c r="M1820">
        <v>1756054839</v>
      </c>
      <c r="N1820">
        <v>1227800286</v>
      </c>
      <c r="O1820">
        <v>1085310932</v>
      </c>
      <c r="P1820">
        <v>257</v>
      </c>
      <c r="Q1820" t="s">
        <v>3959</v>
      </c>
    </row>
    <row r="1821" spans="1:17" x14ac:dyDescent="0.3">
      <c r="A1821" t="s">
        <v>47</v>
      </c>
      <c r="B1821" t="str">
        <f>"002329"</f>
        <v>002329</v>
      </c>
      <c r="C1821" t="s">
        <v>3960</v>
      </c>
      <c r="D1821" t="s">
        <v>487</v>
      </c>
      <c r="E1821">
        <v>5884116894</v>
      </c>
      <c r="F1821">
        <v>5615807194</v>
      </c>
      <c r="G1821">
        <v>5221091346</v>
      </c>
      <c r="H1821">
        <v>4734976582</v>
      </c>
      <c r="I1821">
        <v>5781276584</v>
      </c>
      <c r="J1821">
        <v>5363574487</v>
      </c>
      <c r="K1821">
        <v>4683332167</v>
      </c>
      <c r="L1821">
        <v>2279158991</v>
      </c>
      <c r="M1821">
        <v>1336118718</v>
      </c>
      <c r="N1821">
        <v>1264261126</v>
      </c>
      <c r="O1821">
        <v>1118835042</v>
      </c>
      <c r="P1821">
        <v>186</v>
      </c>
      <c r="Q1821" t="s">
        <v>3961</v>
      </c>
    </row>
    <row r="1822" spans="1:17" x14ac:dyDescent="0.3">
      <c r="A1822" t="s">
        <v>47</v>
      </c>
      <c r="B1822" t="str">
        <f>"000557"</f>
        <v>000557</v>
      </c>
      <c r="C1822" t="s">
        <v>3962</v>
      </c>
      <c r="D1822" t="s">
        <v>259</v>
      </c>
      <c r="E1822">
        <v>5877143120</v>
      </c>
      <c r="F1822">
        <v>5564928439</v>
      </c>
      <c r="G1822">
        <v>5406399820</v>
      </c>
      <c r="H1822">
        <v>5751962831</v>
      </c>
      <c r="I1822">
        <v>5005707185</v>
      </c>
      <c r="J1822">
        <v>5069543617</v>
      </c>
      <c r="K1822">
        <v>5341662848</v>
      </c>
      <c r="L1822">
        <v>274330571</v>
      </c>
      <c r="M1822">
        <v>292655093</v>
      </c>
      <c r="N1822">
        <v>286395262</v>
      </c>
      <c r="O1822">
        <v>403256304</v>
      </c>
      <c r="P1822">
        <v>103</v>
      </c>
      <c r="Q1822" t="s">
        <v>3963</v>
      </c>
    </row>
    <row r="1823" spans="1:17" x14ac:dyDescent="0.3">
      <c r="A1823" t="s">
        <v>17</v>
      </c>
      <c r="B1823" t="str">
        <f>"601566"</f>
        <v>601566</v>
      </c>
      <c r="C1823" t="s">
        <v>3964</v>
      </c>
      <c r="D1823" t="s">
        <v>628</v>
      </c>
      <c r="E1823">
        <v>5876488911</v>
      </c>
      <c r="F1823">
        <v>6090740293</v>
      </c>
      <c r="G1823">
        <v>6112244674</v>
      </c>
      <c r="H1823">
        <v>6223578820</v>
      </c>
      <c r="I1823">
        <v>6235030316</v>
      </c>
      <c r="J1823">
        <v>5589909465</v>
      </c>
      <c r="K1823">
        <v>5446008045</v>
      </c>
      <c r="L1823">
        <v>5186674617</v>
      </c>
      <c r="M1823">
        <v>5271310926</v>
      </c>
      <c r="N1823">
        <v>5264085556</v>
      </c>
      <c r="O1823">
        <v>4810303281</v>
      </c>
      <c r="P1823">
        <v>426</v>
      </c>
      <c r="Q1823" t="s">
        <v>3965</v>
      </c>
    </row>
    <row r="1824" spans="1:17" x14ac:dyDescent="0.3">
      <c r="A1824" t="s">
        <v>17</v>
      </c>
      <c r="B1824" t="str">
        <f>"600501"</f>
        <v>600501</v>
      </c>
      <c r="C1824" t="s">
        <v>3966</v>
      </c>
      <c r="D1824" t="s">
        <v>1973</v>
      </c>
      <c r="E1824">
        <v>5870117189</v>
      </c>
      <c r="F1824">
        <v>4775916949</v>
      </c>
      <c r="G1824">
        <v>4948249939</v>
      </c>
      <c r="H1824">
        <v>4368098757</v>
      </c>
      <c r="I1824">
        <v>4222347841</v>
      </c>
      <c r="J1824">
        <v>4828129942</v>
      </c>
      <c r="K1824">
        <v>4680144913</v>
      </c>
      <c r="L1824">
        <v>3944600497</v>
      </c>
      <c r="M1824">
        <v>4063033005</v>
      </c>
      <c r="N1824">
        <v>4134505214</v>
      </c>
      <c r="O1824">
        <v>3935989363</v>
      </c>
      <c r="P1824">
        <v>117</v>
      </c>
      <c r="Q1824" t="s">
        <v>3967</v>
      </c>
    </row>
    <row r="1825" spans="1:17" x14ac:dyDescent="0.3">
      <c r="A1825" t="s">
        <v>17</v>
      </c>
      <c r="B1825" t="str">
        <f>"600158"</f>
        <v>600158</v>
      </c>
      <c r="C1825" t="s">
        <v>3968</v>
      </c>
      <c r="D1825" t="s">
        <v>3561</v>
      </c>
      <c r="E1825">
        <v>5861312004</v>
      </c>
      <c r="F1825">
        <v>5262446635</v>
      </c>
      <c r="G1825">
        <v>3908321921</v>
      </c>
      <c r="H1825">
        <v>4405628960</v>
      </c>
      <c r="I1825">
        <v>4001567707</v>
      </c>
      <c r="J1825">
        <v>3604688296</v>
      </c>
      <c r="K1825">
        <v>3784784055</v>
      </c>
      <c r="L1825">
        <v>3601638719</v>
      </c>
      <c r="M1825">
        <v>3665980548</v>
      </c>
      <c r="N1825">
        <v>3486637873</v>
      </c>
      <c r="O1825">
        <v>3405357698</v>
      </c>
      <c r="P1825">
        <v>166</v>
      </c>
      <c r="Q1825" t="s">
        <v>3969</v>
      </c>
    </row>
    <row r="1826" spans="1:17" x14ac:dyDescent="0.3">
      <c r="A1826" t="s">
        <v>47</v>
      </c>
      <c r="B1826" t="str">
        <f>"300732"</f>
        <v>300732</v>
      </c>
      <c r="C1826" t="s">
        <v>3970</v>
      </c>
      <c r="D1826" t="s">
        <v>2178</v>
      </c>
      <c r="E1826">
        <v>5857713733</v>
      </c>
      <c r="F1826">
        <v>5016298143</v>
      </c>
      <c r="G1826">
        <v>4027017412</v>
      </c>
      <c r="H1826">
        <v>3699957800</v>
      </c>
      <c r="I1826">
        <v>2253103231</v>
      </c>
      <c r="P1826">
        <v>151</v>
      </c>
      <c r="Q1826" t="s">
        <v>3971</v>
      </c>
    </row>
    <row r="1827" spans="1:17" x14ac:dyDescent="0.3">
      <c r="A1827" t="s">
        <v>47</v>
      </c>
      <c r="B1827" t="str">
        <f>"000813"</f>
        <v>000813</v>
      </c>
      <c r="C1827" t="s">
        <v>3972</v>
      </c>
      <c r="D1827" t="s">
        <v>550</v>
      </c>
      <c r="E1827">
        <v>5854779625</v>
      </c>
      <c r="F1827">
        <v>6466510166</v>
      </c>
      <c r="G1827">
        <v>6191654552</v>
      </c>
      <c r="H1827">
        <v>5762403638</v>
      </c>
      <c r="I1827">
        <v>5403235524</v>
      </c>
      <c r="J1827">
        <v>4111269786</v>
      </c>
      <c r="K1827">
        <v>1972415957</v>
      </c>
      <c r="L1827">
        <v>1987977124</v>
      </c>
      <c r="M1827">
        <v>1945454565</v>
      </c>
      <c r="N1827">
        <v>601851461</v>
      </c>
      <c r="O1827">
        <v>566616998</v>
      </c>
      <c r="P1827">
        <v>281</v>
      </c>
      <c r="Q1827" t="s">
        <v>3973</v>
      </c>
    </row>
    <row r="1828" spans="1:17" x14ac:dyDescent="0.3">
      <c r="A1828" t="s">
        <v>47</v>
      </c>
      <c r="B1828" t="str">
        <f>"002149"</f>
        <v>002149</v>
      </c>
      <c r="C1828" t="s">
        <v>3974</v>
      </c>
      <c r="D1828" t="s">
        <v>1002</v>
      </c>
      <c r="E1828">
        <v>5837264623</v>
      </c>
      <c r="F1828">
        <v>5231893344</v>
      </c>
      <c r="G1828">
        <v>4505974058</v>
      </c>
      <c r="H1828">
        <v>4120677633</v>
      </c>
      <c r="I1828">
        <v>4217389029</v>
      </c>
      <c r="J1828">
        <v>3440145883</v>
      </c>
      <c r="K1828">
        <v>2799269997</v>
      </c>
      <c r="L1828">
        <v>2954880863</v>
      </c>
      <c r="M1828">
        <v>2782045247</v>
      </c>
      <c r="N1828">
        <v>2700931544</v>
      </c>
      <c r="O1828">
        <v>2662735896</v>
      </c>
      <c r="P1828">
        <v>259</v>
      </c>
      <c r="Q1828" t="s">
        <v>3975</v>
      </c>
    </row>
    <row r="1829" spans="1:17" x14ac:dyDescent="0.3">
      <c r="A1829" t="s">
        <v>17</v>
      </c>
      <c r="B1829" t="str">
        <f>"600333"</f>
        <v>600333</v>
      </c>
      <c r="C1829" t="s">
        <v>3976</v>
      </c>
      <c r="D1829" t="s">
        <v>476</v>
      </c>
      <c r="E1829">
        <v>5826477285</v>
      </c>
      <c r="F1829">
        <v>5586112216</v>
      </c>
      <c r="G1829">
        <v>5522366531</v>
      </c>
      <c r="H1829">
        <v>5617723520</v>
      </c>
      <c r="I1829">
        <v>5351009288</v>
      </c>
      <c r="J1829">
        <v>5193301225</v>
      </c>
      <c r="K1829">
        <v>4849637853</v>
      </c>
      <c r="L1829">
        <v>4573363924</v>
      </c>
      <c r="M1829">
        <v>3752378858</v>
      </c>
      <c r="N1829">
        <v>3495410394</v>
      </c>
      <c r="O1829">
        <v>2591349946</v>
      </c>
      <c r="P1829">
        <v>103</v>
      </c>
      <c r="Q1829" t="s">
        <v>3977</v>
      </c>
    </row>
    <row r="1830" spans="1:17" x14ac:dyDescent="0.3">
      <c r="A1830" t="s">
        <v>17</v>
      </c>
      <c r="B1830" t="str">
        <f>"600872"</f>
        <v>600872</v>
      </c>
      <c r="C1830" t="s">
        <v>3978</v>
      </c>
      <c r="D1830" t="s">
        <v>1241</v>
      </c>
      <c r="E1830">
        <v>5817425663</v>
      </c>
      <c r="F1830">
        <v>7302221793</v>
      </c>
      <c r="G1830">
        <v>6011632215</v>
      </c>
      <c r="H1830">
        <v>5912252707</v>
      </c>
      <c r="I1830">
        <v>5444652626</v>
      </c>
      <c r="J1830">
        <v>5002340120</v>
      </c>
      <c r="K1830">
        <v>4517601739</v>
      </c>
      <c r="L1830">
        <v>4390730004</v>
      </c>
      <c r="M1830">
        <v>3738506779</v>
      </c>
      <c r="N1830">
        <v>3455981179</v>
      </c>
      <c r="O1830">
        <v>3074262112</v>
      </c>
      <c r="P1830">
        <v>2534</v>
      </c>
      <c r="Q1830" t="s">
        <v>3979</v>
      </c>
    </row>
    <row r="1831" spans="1:17" x14ac:dyDescent="0.3">
      <c r="A1831" t="s">
        <v>47</v>
      </c>
      <c r="B1831" t="str">
        <f>"000822"</f>
        <v>000822</v>
      </c>
      <c r="C1831" t="s">
        <v>3980</v>
      </c>
      <c r="D1831" t="s">
        <v>1441</v>
      </c>
      <c r="E1831">
        <v>5814849159</v>
      </c>
      <c r="F1831">
        <v>4368464999</v>
      </c>
      <c r="G1831">
        <v>4489075215</v>
      </c>
      <c r="H1831">
        <v>4475179168</v>
      </c>
      <c r="I1831">
        <v>4056007157</v>
      </c>
      <c r="J1831">
        <v>3769863773</v>
      </c>
      <c r="K1831">
        <v>3367087207</v>
      </c>
      <c r="L1831">
        <v>3665851133</v>
      </c>
      <c r="M1831">
        <v>5598943886</v>
      </c>
      <c r="N1831">
        <v>6049727041</v>
      </c>
      <c r="O1831">
        <v>6581069217</v>
      </c>
      <c r="P1831">
        <v>211</v>
      </c>
      <c r="Q1831" t="s">
        <v>3981</v>
      </c>
    </row>
    <row r="1832" spans="1:17" x14ac:dyDescent="0.3">
      <c r="A1832" t="s">
        <v>47</v>
      </c>
      <c r="B1832" t="str">
        <f>"002328"</f>
        <v>002328</v>
      </c>
      <c r="C1832" t="s">
        <v>3982</v>
      </c>
      <c r="D1832" t="s">
        <v>1815</v>
      </c>
      <c r="E1832">
        <v>5803369255</v>
      </c>
      <c r="F1832">
        <v>4501676881</v>
      </c>
      <c r="G1832">
        <v>4141092552</v>
      </c>
      <c r="H1832">
        <v>3996300599</v>
      </c>
      <c r="I1832">
        <v>3904398664</v>
      </c>
      <c r="J1832">
        <v>4309422807</v>
      </c>
      <c r="K1832">
        <v>3954748883</v>
      </c>
      <c r="L1832">
        <v>4079994855</v>
      </c>
      <c r="M1832">
        <v>3865792372</v>
      </c>
      <c r="N1832">
        <v>3319138876</v>
      </c>
      <c r="O1832">
        <v>2662875631</v>
      </c>
      <c r="P1832">
        <v>110</v>
      </c>
      <c r="Q1832" t="s">
        <v>3983</v>
      </c>
    </row>
    <row r="1833" spans="1:17" x14ac:dyDescent="0.3">
      <c r="A1833" t="s">
        <v>47</v>
      </c>
      <c r="B1833" t="str">
        <f>"002038"</f>
        <v>002038</v>
      </c>
      <c r="C1833" t="s">
        <v>3984</v>
      </c>
      <c r="D1833" t="s">
        <v>1480</v>
      </c>
      <c r="E1833">
        <v>5797919333</v>
      </c>
      <c r="F1833">
        <v>5515951288</v>
      </c>
      <c r="G1833">
        <v>5307454318</v>
      </c>
      <c r="H1833">
        <v>5190090538</v>
      </c>
      <c r="I1833">
        <v>4759508579</v>
      </c>
      <c r="J1833">
        <v>4213773458</v>
      </c>
      <c r="K1833">
        <v>3910081480</v>
      </c>
      <c r="L1833">
        <v>3513062323</v>
      </c>
      <c r="M1833">
        <v>2870187105</v>
      </c>
      <c r="N1833">
        <v>2305114958</v>
      </c>
      <c r="O1833">
        <v>1857593406</v>
      </c>
      <c r="P1833">
        <v>5163</v>
      </c>
      <c r="Q1833" t="s">
        <v>3985</v>
      </c>
    </row>
    <row r="1834" spans="1:17" x14ac:dyDescent="0.3">
      <c r="A1834" t="s">
        <v>47</v>
      </c>
      <c r="B1834" t="str">
        <f>"002169"</f>
        <v>002169</v>
      </c>
      <c r="C1834" t="s">
        <v>3986</v>
      </c>
      <c r="D1834" t="s">
        <v>679</v>
      </c>
      <c r="E1834">
        <v>5795924455</v>
      </c>
      <c r="F1834">
        <v>6552973882</v>
      </c>
      <c r="G1834">
        <v>5400882129</v>
      </c>
      <c r="H1834">
        <v>5058808751</v>
      </c>
      <c r="I1834">
        <v>4182431177</v>
      </c>
      <c r="J1834">
        <v>3667411300</v>
      </c>
      <c r="K1834">
        <v>2965155445</v>
      </c>
      <c r="L1834">
        <v>1619015986</v>
      </c>
      <c r="M1834">
        <v>1393440494</v>
      </c>
      <c r="N1834">
        <v>1254933916</v>
      </c>
      <c r="O1834">
        <v>1413721486</v>
      </c>
      <c r="P1834">
        <v>219</v>
      </c>
      <c r="Q1834" t="s">
        <v>3987</v>
      </c>
    </row>
    <row r="1835" spans="1:17" x14ac:dyDescent="0.3">
      <c r="A1835" t="s">
        <v>47</v>
      </c>
      <c r="B1835" t="str">
        <f>"300217"</f>
        <v>300217</v>
      </c>
      <c r="C1835" t="s">
        <v>3988</v>
      </c>
      <c r="D1835" t="s">
        <v>1511</v>
      </c>
      <c r="E1835">
        <v>5784711926</v>
      </c>
      <c r="F1835">
        <v>4083674039</v>
      </c>
      <c r="G1835">
        <v>3467009322</v>
      </c>
      <c r="H1835">
        <v>3714806467</v>
      </c>
      <c r="I1835">
        <v>3048975511</v>
      </c>
      <c r="J1835">
        <v>2645369047</v>
      </c>
      <c r="K1835">
        <v>2241511250</v>
      </c>
      <c r="L1835">
        <v>1679501696</v>
      </c>
      <c r="M1835">
        <v>1612713127</v>
      </c>
      <c r="N1835">
        <v>1427768575</v>
      </c>
      <c r="O1835">
        <v>1334389147</v>
      </c>
      <c r="P1835">
        <v>160</v>
      </c>
      <c r="Q1835" t="s">
        <v>3989</v>
      </c>
    </row>
    <row r="1836" spans="1:17" x14ac:dyDescent="0.3">
      <c r="A1836" t="s">
        <v>47</v>
      </c>
      <c r="B1836" t="str">
        <f>"002746"</f>
        <v>002746</v>
      </c>
      <c r="C1836" t="s">
        <v>3990</v>
      </c>
      <c r="D1836" t="s">
        <v>1805</v>
      </c>
      <c r="E1836">
        <v>5783878106</v>
      </c>
      <c r="F1836">
        <v>5574917299</v>
      </c>
      <c r="G1836">
        <v>4534511615</v>
      </c>
      <c r="H1836">
        <v>3339202393</v>
      </c>
      <c r="I1836">
        <v>2717705989</v>
      </c>
      <c r="J1836">
        <v>2516794165</v>
      </c>
      <c r="K1836">
        <v>1465074338</v>
      </c>
      <c r="L1836">
        <v>1462624470</v>
      </c>
      <c r="P1836">
        <v>457</v>
      </c>
      <c r="Q1836" t="s">
        <v>3991</v>
      </c>
    </row>
    <row r="1837" spans="1:17" x14ac:dyDescent="0.3">
      <c r="A1837" t="s">
        <v>17</v>
      </c>
      <c r="B1837" t="str">
        <f>"600975"</f>
        <v>600975</v>
      </c>
      <c r="C1837" t="s">
        <v>3992</v>
      </c>
      <c r="D1837" t="s">
        <v>354</v>
      </c>
      <c r="E1837">
        <v>5783704960</v>
      </c>
      <c r="F1837">
        <v>3378165118</v>
      </c>
      <c r="G1837">
        <v>1847451690</v>
      </c>
      <c r="H1837">
        <v>1532132553</v>
      </c>
      <c r="I1837">
        <v>1739464136</v>
      </c>
      <c r="J1837">
        <v>1898525531</v>
      </c>
      <c r="K1837">
        <v>1740506102</v>
      </c>
      <c r="L1837">
        <v>1314522889</v>
      </c>
      <c r="M1837">
        <v>1212346920</v>
      </c>
      <c r="N1837">
        <v>932416479</v>
      </c>
      <c r="O1837">
        <v>823780491</v>
      </c>
      <c r="P1837">
        <v>305</v>
      </c>
      <c r="Q1837" t="s">
        <v>3993</v>
      </c>
    </row>
    <row r="1838" spans="1:17" x14ac:dyDescent="0.3">
      <c r="A1838" t="s">
        <v>17</v>
      </c>
      <c r="B1838" t="str">
        <f>"605365"</f>
        <v>605365</v>
      </c>
      <c r="C1838" t="s">
        <v>3994</v>
      </c>
      <c r="D1838" t="s">
        <v>2170</v>
      </c>
      <c r="E1838">
        <v>5781305699</v>
      </c>
      <c r="F1838">
        <v>3913769346</v>
      </c>
      <c r="P1838">
        <v>28</v>
      </c>
      <c r="Q1838" t="s">
        <v>3995</v>
      </c>
    </row>
    <row r="1839" spans="1:17" x14ac:dyDescent="0.3">
      <c r="A1839" t="s">
        <v>47</v>
      </c>
      <c r="B1839" t="str">
        <f>"002548"</f>
        <v>002548</v>
      </c>
      <c r="C1839" t="s">
        <v>3996</v>
      </c>
      <c r="D1839" t="s">
        <v>1390</v>
      </c>
      <c r="E1839">
        <v>5780936798</v>
      </c>
      <c r="F1839">
        <v>6942110504</v>
      </c>
      <c r="G1839">
        <v>4786016608</v>
      </c>
      <c r="H1839">
        <v>4039633780</v>
      </c>
      <c r="I1839">
        <v>4258680812</v>
      </c>
      <c r="J1839">
        <v>3287382255</v>
      </c>
      <c r="K1839">
        <v>2260391760</v>
      </c>
      <c r="L1839">
        <v>1556518090</v>
      </c>
      <c r="M1839">
        <v>989797706</v>
      </c>
      <c r="N1839">
        <v>962062037</v>
      </c>
      <c r="O1839">
        <v>933926676</v>
      </c>
      <c r="P1839">
        <v>260</v>
      </c>
      <c r="Q1839" t="s">
        <v>3997</v>
      </c>
    </row>
    <row r="1840" spans="1:17" x14ac:dyDescent="0.3">
      <c r="A1840" t="s">
        <v>47</v>
      </c>
      <c r="B1840" t="str">
        <f>"002484"</f>
        <v>002484</v>
      </c>
      <c r="C1840" t="s">
        <v>3998</v>
      </c>
      <c r="D1840" t="s">
        <v>1808</v>
      </c>
      <c r="E1840">
        <v>5780671971</v>
      </c>
      <c r="F1840">
        <v>5305884513</v>
      </c>
      <c r="G1840">
        <v>4521562712</v>
      </c>
      <c r="H1840">
        <v>4181640329</v>
      </c>
      <c r="I1840">
        <v>3926631523</v>
      </c>
      <c r="J1840">
        <v>3470517067</v>
      </c>
      <c r="K1840">
        <v>2074218916</v>
      </c>
      <c r="L1840">
        <v>1966435626</v>
      </c>
      <c r="M1840">
        <v>1810274822</v>
      </c>
      <c r="N1840">
        <v>1687855827</v>
      </c>
      <c r="O1840">
        <v>1516941982</v>
      </c>
      <c r="P1840">
        <v>311</v>
      </c>
      <c r="Q1840" t="s">
        <v>3999</v>
      </c>
    </row>
    <row r="1841" spans="1:17" x14ac:dyDescent="0.3">
      <c r="A1841" t="s">
        <v>17</v>
      </c>
      <c r="B1841" t="str">
        <f>"688234"</f>
        <v>688234</v>
      </c>
      <c r="C1841" t="s">
        <v>4000</v>
      </c>
      <c r="D1841" t="s">
        <v>567</v>
      </c>
      <c r="E1841">
        <v>5778570377</v>
      </c>
      <c r="P1841">
        <v>32</v>
      </c>
      <c r="Q1841" t="s">
        <v>4001</v>
      </c>
    </row>
    <row r="1842" spans="1:17" x14ac:dyDescent="0.3">
      <c r="A1842" t="s">
        <v>47</v>
      </c>
      <c r="B1842" t="str">
        <f>"002988"</f>
        <v>002988</v>
      </c>
      <c r="C1842" t="s">
        <v>4002</v>
      </c>
      <c r="D1842" t="s">
        <v>346</v>
      </c>
      <c r="E1842">
        <v>5769458393</v>
      </c>
      <c r="F1842">
        <v>4112773716</v>
      </c>
      <c r="G1842">
        <v>2833062654</v>
      </c>
      <c r="P1842">
        <v>61</v>
      </c>
      <c r="Q1842" t="s">
        <v>4003</v>
      </c>
    </row>
    <row r="1843" spans="1:17" x14ac:dyDescent="0.3">
      <c r="A1843" t="s">
        <v>47</v>
      </c>
      <c r="B1843" t="str">
        <f>"002973"</f>
        <v>002973</v>
      </c>
      <c r="C1843" t="s">
        <v>4004</v>
      </c>
      <c r="D1843" t="s">
        <v>1310</v>
      </c>
      <c r="E1843">
        <v>5767780720</v>
      </c>
      <c r="F1843">
        <v>4705729702</v>
      </c>
      <c r="G1843">
        <v>3551447633</v>
      </c>
      <c r="P1843">
        <v>212</v>
      </c>
      <c r="Q1843" t="s">
        <v>4005</v>
      </c>
    </row>
    <row r="1844" spans="1:17" x14ac:dyDescent="0.3">
      <c r="A1844" t="s">
        <v>17</v>
      </c>
      <c r="B1844" t="str">
        <f>"600770"</f>
        <v>600770</v>
      </c>
      <c r="C1844" t="s">
        <v>4006</v>
      </c>
      <c r="D1844" t="s">
        <v>810</v>
      </c>
      <c r="E1844">
        <v>5760697798</v>
      </c>
      <c r="F1844">
        <v>6046523226</v>
      </c>
      <c r="G1844">
        <v>5909159653</v>
      </c>
      <c r="H1844">
        <v>5814339561</v>
      </c>
      <c r="I1844">
        <v>6247286752</v>
      </c>
      <c r="J1844">
        <v>6203226693</v>
      </c>
      <c r="K1844">
        <v>6436237540</v>
      </c>
      <c r="L1844">
        <v>6324480421</v>
      </c>
      <c r="M1844">
        <v>5098731012</v>
      </c>
      <c r="N1844">
        <v>5989461081</v>
      </c>
      <c r="O1844">
        <v>6924287992</v>
      </c>
      <c r="P1844">
        <v>3055</v>
      </c>
      <c r="Q1844" t="s">
        <v>4007</v>
      </c>
    </row>
    <row r="1845" spans="1:17" x14ac:dyDescent="0.3">
      <c r="A1845" t="s">
        <v>47</v>
      </c>
      <c r="B1845" t="str">
        <f>"002345"</f>
        <v>002345</v>
      </c>
      <c r="C1845" t="s">
        <v>4008</v>
      </c>
      <c r="D1845" t="s">
        <v>1508</v>
      </c>
      <c r="E1845">
        <v>5759417820</v>
      </c>
      <c r="F1845">
        <v>5206732784</v>
      </c>
      <c r="G1845">
        <v>5330540674</v>
      </c>
      <c r="H1845">
        <v>5774899939</v>
      </c>
      <c r="I1845">
        <v>5495911912</v>
      </c>
      <c r="J1845">
        <v>4883275606</v>
      </c>
      <c r="K1845">
        <v>4490114064</v>
      </c>
      <c r="L1845">
        <v>4430604938</v>
      </c>
      <c r="M1845">
        <v>3372460254</v>
      </c>
      <c r="N1845">
        <v>2796548317</v>
      </c>
      <c r="O1845">
        <v>1789705676</v>
      </c>
      <c r="P1845">
        <v>137</v>
      </c>
      <c r="Q1845" t="s">
        <v>4009</v>
      </c>
    </row>
    <row r="1846" spans="1:17" x14ac:dyDescent="0.3">
      <c r="A1846" t="s">
        <v>47</v>
      </c>
      <c r="B1846" t="str">
        <f>"002471"</f>
        <v>002471</v>
      </c>
      <c r="C1846" t="s">
        <v>4010</v>
      </c>
      <c r="D1846" t="s">
        <v>1616</v>
      </c>
      <c r="E1846">
        <v>5753723290</v>
      </c>
      <c r="F1846">
        <v>5455956948</v>
      </c>
      <c r="G1846">
        <v>5618871870</v>
      </c>
      <c r="H1846">
        <v>8082465885</v>
      </c>
      <c r="I1846">
        <v>9237287854</v>
      </c>
      <c r="J1846">
        <v>8288849530</v>
      </c>
      <c r="K1846">
        <v>8536418181</v>
      </c>
      <c r="L1846">
        <v>5806411058</v>
      </c>
      <c r="M1846">
        <v>5355503387</v>
      </c>
      <c r="N1846">
        <v>5074140491</v>
      </c>
      <c r="O1846">
        <v>2547124108</v>
      </c>
      <c r="P1846">
        <v>92</v>
      </c>
      <c r="Q1846" t="s">
        <v>4011</v>
      </c>
    </row>
    <row r="1847" spans="1:17" x14ac:dyDescent="0.3">
      <c r="A1847" t="s">
        <v>17</v>
      </c>
      <c r="B1847" t="str">
        <f>"600640"</f>
        <v>600640</v>
      </c>
      <c r="C1847" t="s">
        <v>4012</v>
      </c>
      <c r="D1847" t="s">
        <v>1463</v>
      </c>
      <c r="E1847">
        <v>5749373561</v>
      </c>
      <c r="F1847">
        <v>6329818282</v>
      </c>
      <c r="G1847">
        <v>6620123420</v>
      </c>
      <c r="H1847">
        <v>6460819482</v>
      </c>
      <c r="I1847">
        <v>6200407758</v>
      </c>
      <c r="J1847">
        <v>5927875838</v>
      </c>
      <c r="K1847">
        <v>3697037635</v>
      </c>
      <c r="L1847">
        <v>3643096488</v>
      </c>
      <c r="M1847">
        <v>3603230175</v>
      </c>
      <c r="N1847">
        <v>3582434814</v>
      </c>
      <c r="O1847">
        <v>1070295489</v>
      </c>
      <c r="P1847">
        <v>163</v>
      </c>
      <c r="Q1847" t="s">
        <v>4013</v>
      </c>
    </row>
    <row r="1848" spans="1:17" x14ac:dyDescent="0.3">
      <c r="A1848" t="s">
        <v>47</v>
      </c>
      <c r="B1848" t="str">
        <f>"002737"</f>
        <v>002737</v>
      </c>
      <c r="C1848" t="s">
        <v>4014</v>
      </c>
      <c r="D1848" t="s">
        <v>695</v>
      </c>
      <c r="E1848">
        <v>5745185918</v>
      </c>
      <c r="F1848">
        <v>5114662089</v>
      </c>
      <c r="G1848">
        <v>5382028706</v>
      </c>
      <c r="H1848">
        <v>5550718285</v>
      </c>
      <c r="I1848">
        <v>4635210174</v>
      </c>
      <c r="J1848">
        <v>4380117449</v>
      </c>
      <c r="K1848">
        <v>3959303029</v>
      </c>
      <c r="L1848">
        <v>3686181682</v>
      </c>
      <c r="P1848">
        <v>1117</v>
      </c>
      <c r="Q1848" t="s">
        <v>4015</v>
      </c>
    </row>
    <row r="1849" spans="1:17" x14ac:dyDescent="0.3">
      <c r="A1849" t="s">
        <v>17</v>
      </c>
      <c r="B1849" t="str">
        <f>"600650"</f>
        <v>600650</v>
      </c>
      <c r="C1849" t="s">
        <v>4016</v>
      </c>
      <c r="D1849" t="s">
        <v>1773</v>
      </c>
      <c r="E1849">
        <v>5742005052</v>
      </c>
      <c r="F1849">
        <v>5282842643</v>
      </c>
      <c r="G1849">
        <v>4646610538</v>
      </c>
      <c r="H1849">
        <v>4832039479</v>
      </c>
      <c r="I1849">
        <v>4470811053</v>
      </c>
      <c r="J1849">
        <v>4506648512</v>
      </c>
      <c r="K1849">
        <v>4673029009</v>
      </c>
      <c r="L1849">
        <v>3461796486</v>
      </c>
      <c r="M1849">
        <v>3391875183</v>
      </c>
      <c r="N1849">
        <v>3108083830</v>
      </c>
      <c r="O1849">
        <v>3070080810</v>
      </c>
      <c r="P1849">
        <v>114</v>
      </c>
      <c r="Q1849" t="s">
        <v>4017</v>
      </c>
    </row>
    <row r="1850" spans="1:17" x14ac:dyDescent="0.3">
      <c r="A1850" t="s">
        <v>17</v>
      </c>
      <c r="B1850" t="str">
        <f>"603290"</f>
        <v>603290</v>
      </c>
      <c r="C1850" t="s">
        <v>4018</v>
      </c>
      <c r="D1850" t="s">
        <v>2213</v>
      </c>
      <c r="E1850">
        <v>5739677287</v>
      </c>
      <c r="F1850">
        <v>1512237149</v>
      </c>
      <c r="G1850">
        <v>1266272172</v>
      </c>
      <c r="P1850">
        <v>635</v>
      </c>
      <c r="Q1850" t="s">
        <v>4019</v>
      </c>
    </row>
    <row r="1851" spans="1:17" x14ac:dyDescent="0.3">
      <c r="A1851" t="s">
        <v>17</v>
      </c>
      <c r="B1851" t="str">
        <f>"603970"</f>
        <v>603970</v>
      </c>
      <c r="C1851" t="s">
        <v>4020</v>
      </c>
      <c r="D1851" t="s">
        <v>819</v>
      </c>
      <c r="E1851">
        <v>5736590322</v>
      </c>
      <c r="F1851">
        <v>5113503377</v>
      </c>
      <c r="G1851">
        <v>3742545370</v>
      </c>
      <c r="H1851">
        <v>2961531206</v>
      </c>
      <c r="I1851">
        <v>2715714988</v>
      </c>
      <c r="P1851">
        <v>90</v>
      </c>
      <c r="Q1851" t="s">
        <v>4021</v>
      </c>
    </row>
    <row r="1852" spans="1:17" x14ac:dyDescent="0.3">
      <c r="A1852" t="s">
        <v>47</v>
      </c>
      <c r="B1852" t="str">
        <f>"000029"</f>
        <v>000029</v>
      </c>
      <c r="C1852" t="s">
        <v>4022</v>
      </c>
      <c r="D1852" t="s">
        <v>76</v>
      </c>
      <c r="E1852">
        <v>5725419099</v>
      </c>
      <c r="F1852">
        <v>5155621820</v>
      </c>
      <c r="G1852">
        <v>4499382506</v>
      </c>
      <c r="H1852">
        <v>4830618475</v>
      </c>
      <c r="I1852">
        <v>4172583928</v>
      </c>
      <c r="J1852">
        <v>3852659213</v>
      </c>
      <c r="K1852">
        <v>4272846238</v>
      </c>
      <c r="L1852">
        <v>4403769622</v>
      </c>
      <c r="M1852">
        <v>4401682551</v>
      </c>
      <c r="N1852">
        <v>4070105670</v>
      </c>
      <c r="O1852">
        <v>3206359525</v>
      </c>
      <c r="P1852">
        <v>137</v>
      </c>
      <c r="Q1852" t="s">
        <v>4023</v>
      </c>
    </row>
    <row r="1853" spans="1:17" x14ac:dyDescent="0.3">
      <c r="A1853" t="s">
        <v>47</v>
      </c>
      <c r="B1853" t="str">
        <f>"300451"</f>
        <v>300451</v>
      </c>
      <c r="C1853" t="s">
        <v>4024</v>
      </c>
      <c r="D1853" t="s">
        <v>1859</v>
      </c>
      <c r="E1853">
        <v>5714284903</v>
      </c>
      <c r="F1853">
        <v>5070225115</v>
      </c>
      <c r="G1853">
        <v>3584228557</v>
      </c>
      <c r="H1853">
        <v>3033565453</v>
      </c>
      <c r="I1853">
        <v>2756774456</v>
      </c>
      <c r="J1853">
        <v>2447502703</v>
      </c>
      <c r="K1853">
        <v>849726862</v>
      </c>
      <c r="L1853">
        <v>470998276</v>
      </c>
      <c r="P1853">
        <v>351</v>
      </c>
      <c r="Q1853" t="s">
        <v>4025</v>
      </c>
    </row>
    <row r="1854" spans="1:17" x14ac:dyDescent="0.3">
      <c r="A1854" t="s">
        <v>47</v>
      </c>
      <c r="B1854" t="str">
        <f>"002562"</f>
        <v>002562</v>
      </c>
      <c r="C1854" t="s">
        <v>4026</v>
      </c>
      <c r="D1854" t="s">
        <v>1699</v>
      </c>
      <c r="E1854">
        <v>5711681394</v>
      </c>
      <c r="F1854">
        <v>5404045046</v>
      </c>
      <c r="G1854">
        <v>4556715270</v>
      </c>
      <c r="H1854">
        <v>3585655909</v>
      </c>
      <c r="I1854">
        <v>3607273778</v>
      </c>
      <c r="J1854">
        <v>2391160126</v>
      </c>
      <c r="K1854">
        <v>2131212266</v>
      </c>
      <c r="L1854">
        <v>1187247751</v>
      </c>
      <c r="M1854">
        <v>1100594440</v>
      </c>
      <c r="N1854">
        <v>1339797934</v>
      </c>
      <c r="O1854">
        <v>1285823483</v>
      </c>
      <c r="P1854">
        <v>260</v>
      </c>
      <c r="Q1854" t="s">
        <v>4027</v>
      </c>
    </row>
    <row r="1855" spans="1:17" x14ac:dyDescent="0.3">
      <c r="A1855" t="s">
        <v>47</v>
      </c>
      <c r="B1855" t="str">
        <f>"002626"</f>
        <v>002626</v>
      </c>
      <c r="C1855" t="s">
        <v>4028</v>
      </c>
      <c r="D1855" t="s">
        <v>2355</v>
      </c>
      <c r="E1855">
        <v>5709846858</v>
      </c>
      <c r="F1855">
        <v>5762522622</v>
      </c>
      <c r="G1855">
        <v>4913306676</v>
      </c>
      <c r="H1855">
        <v>4661485594</v>
      </c>
      <c r="I1855">
        <v>3520591280</v>
      </c>
      <c r="J1855">
        <v>3153505051</v>
      </c>
      <c r="K1855">
        <v>2778556747</v>
      </c>
      <c r="L1855">
        <v>1970673046</v>
      </c>
      <c r="M1855">
        <v>1462054500</v>
      </c>
      <c r="N1855">
        <v>1354036823</v>
      </c>
      <c r="O1855">
        <v>1428497270</v>
      </c>
      <c r="P1855">
        <v>1113</v>
      </c>
      <c r="Q1855" t="s">
        <v>4029</v>
      </c>
    </row>
    <row r="1856" spans="1:17" x14ac:dyDescent="0.3">
      <c r="A1856" t="s">
        <v>47</v>
      </c>
      <c r="B1856" t="str">
        <f>"000551"</f>
        <v>000551</v>
      </c>
      <c r="C1856" t="s">
        <v>4030</v>
      </c>
      <c r="D1856" t="s">
        <v>1347</v>
      </c>
      <c r="E1856">
        <v>5705473470</v>
      </c>
      <c r="F1856">
        <v>5259657282</v>
      </c>
      <c r="G1856">
        <v>4535983658</v>
      </c>
      <c r="H1856">
        <v>4409334106</v>
      </c>
      <c r="I1856">
        <v>4198579379</v>
      </c>
      <c r="J1856">
        <v>4018819528</v>
      </c>
      <c r="K1856">
        <v>3380346573</v>
      </c>
      <c r="L1856">
        <v>3218072968</v>
      </c>
      <c r="M1856">
        <v>3330226559</v>
      </c>
      <c r="N1856">
        <v>3219608954</v>
      </c>
      <c r="O1856">
        <v>3057166804</v>
      </c>
      <c r="P1856">
        <v>122</v>
      </c>
      <c r="Q1856" t="s">
        <v>4031</v>
      </c>
    </row>
    <row r="1857" spans="1:17" x14ac:dyDescent="0.3">
      <c r="A1857" t="s">
        <v>47</v>
      </c>
      <c r="B1857" t="str">
        <f>"300100"</f>
        <v>300100</v>
      </c>
      <c r="C1857" t="s">
        <v>4032</v>
      </c>
      <c r="D1857" t="s">
        <v>416</v>
      </c>
      <c r="E1857">
        <v>5701109741</v>
      </c>
      <c r="F1857">
        <v>5590302376</v>
      </c>
      <c r="G1857">
        <v>5880375450</v>
      </c>
      <c r="H1857">
        <v>7301166488</v>
      </c>
      <c r="I1857">
        <v>6515968236</v>
      </c>
      <c r="J1857">
        <v>5750273704</v>
      </c>
      <c r="K1857">
        <v>4507578255</v>
      </c>
      <c r="L1857">
        <v>3691074570</v>
      </c>
      <c r="M1857">
        <v>1925058189</v>
      </c>
      <c r="N1857">
        <v>1576629150</v>
      </c>
      <c r="O1857">
        <v>1455844407</v>
      </c>
      <c r="P1857">
        <v>129</v>
      </c>
      <c r="Q1857" t="s">
        <v>4033</v>
      </c>
    </row>
    <row r="1858" spans="1:17" x14ac:dyDescent="0.3">
      <c r="A1858" t="s">
        <v>17</v>
      </c>
      <c r="B1858" t="str">
        <f>"600983"</f>
        <v>600983</v>
      </c>
      <c r="C1858" t="s">
        <v>4034</v>
      </c>
      <c r="D1858" t="s">
        <v>323</v>
      </c>
      <c r="E1858">
        <v>5699793993</v>
      </c>
      <c r="F1858">
        <v>6934702332</v>
      </c>
      <c r="G1858">
        <v>7012701597</v>
      </c>
      <c r="H1858">
        <v>7958162275</v>
      </c>
      <c r="I1858">
        <v>7964568056</v>
      </c>
      <c r="J1858">
        <v>9225727833</v>
      </c>
      <c r="K1858">
        <v>8006736766</v>
      </c>
      <c r="L1858">
        <v>7661827942</v>
      </c>
      <c r="M1858">
        <v>5779361467</v>
      </c>
      <c r="N1858">
        <v>4510456499</v>
      </c>
      <c r="O1858">
        <v>3606887364</v>
      </c>
      <c r="P1858">
        <v>128</v>
      </c>
      <c r="Q1858" t="s">
        <v>4035</v>
      </c>
    </row>
    <row r="1859" spans="1:17" x14ac:dyDescent="0.3">
      <c r="A1859" t="s">
        <v>17</v>
      </c>
      <c r="B1859" t="str">
        <f>"688097"</f>
        <v>688097</v>
      </c>
      <c r="C1859" t="s">
        <v>4036</v>
      </c>
      <c r="D1859" t="s">
        <v>4037</v>
      </c>
      <c r="E1859">
        <v>5695982136</v>
      </c>
      <c r="F1859">
        <v>4507253450</v>
      </c>
      <c r="G1859">
        <v>2618354167</v>
      </c>
      <c r="P1859">
        <v>25</v>
      </c>
      <c r="Q1859" t="s">
        <v>4038</v>
      </c>
    </row>
    <row r="1860" spans="1:17" x14ac:dyDescent="0.3">
      <c r="A1860" t="s">
        <v>17</v>
      </c>
      <c r="B1860" t="str">
        <f>"603111"</f>
        <v>603111</v>
      </c>
      <c r="C1860" t="s">
        <v>4039</v>
      </c>
      <c r="D1860" t="s">
        <v>193</v>
      </c>
      <c r="E1860">
        <v>5690936766</v>
      </c>
      <c r="F1860">
        <v>5423485617</v>
      </c>
      <c r="G1860">
        <v>4599246047</v>
      </c>
      <c r="H1860">
        <v>4674980931</v>
      </c>
      <c r="I1860">
        <v>7695666691</v>
      </c>
      <c r="J1860">
        <v>2787749980</v>
      </c>
      <c r="K1860">
        <v>2415744856</v>
      </c>
      <c r="L1860">
        <v>1907167199</v>
      </c>
      <c r="M1860">
        <v>1358462964</v>
      </c>
      <c r="P1860">
        <v>440</v>
      </c>
      <c r="Q1860" t="s">
        <v>4040</v>
      </c>
    </row>
    <row r="1861" spans="1:17" x14ac:dyDescent="0.3">
      <c r="A1861" t="s">
        <v>47</v>
      </c>
      <c r="B1861" t="str">
        <f>"300957"</f>
        <v>300957</v>
      </c>
      <c r="C1861" t="s">
        <v>4041</v>
      </c>
      <c r="D1861" t="s">
        <v>2419</v>
      </c>
      <c r="E1861">
        <v>5683718297</v>
      </c>
      <c r="F1861">
        <v>4483434475</v>
      </c>
      <c r="P1861">
        <v>350</v>
      </c>
      <c r="Q1861" t="s">
        <v>4042</v>
      </c>
    </row>
    <row r="1862" spans="1:17" x14ac:dyDescent="0.3">
      <c r="A1862" t="s">
        <v>47</v>
      </c>
      <c r="B1862" t="str">
        <f>"300699"</f>
        <v>300699</v>
      </c>
      <c r="C1862" t="s">
        <v>4043</v>
      </c>
      <c r="D1862" t="s">
        <v>570</v>
      </c>
      <c r="E1862">
        <v>5683056694</v>
      </c>
      <c r="F1862">
        <v>4918983782</v>
      </c>
      <c r="G1862">
        <v>4172730503</v>
      </c>
      <c r="H1862">
        <v>3691055568</v>
      </c>
      <c r="I1862">
        <v>3173657304</v>
      </c>
      <c r="P1862">
        <v>914</v>
      </c>
      <c r="Q1862" t="s">
        <v>4044</v>
      </c>
    </row>
    <row r="1863" spans="1:17" x14ac:dyDescent="0.3">
      <c r="A1863" t="s">
        <v>17</v>
      </c>
      <c r="B1863" t="str">
        <f>"603699"</f>
        <v>603699</v>
      </c>
      <c r="C1863" t="s">
        <v>4045</v>
      </c>
      <c r="D1863" t="s">
        <v>401</v>
      </c>
      <c r="E1863">
        <v>5679199252</v>
      </c>
      <c r="F1863">
        <v>5595666044</v>
      </c>
      <c r="G1863">
        <v>5085534629</v>
      </c>
      <c r="H1863">
        <v>4752707455</v>
      </c>
      <c r="I1863">
        <v>4569873252</v>
      </c>
      <c r="J1863">
        <v>4025703341</v>
      </c>
      <c r="K1863">
        <v>4060472821</v>
      </c>
      <c r="L1863">
        <v>4173703837</v>
      </c>
      <c r="M1863">
        <v>3834125146</v>
      </c>
      <c r="P1863">
        <v>271</v>
      </c>
      <c r="Q1863" t="s">
        <v>4046</v>
      </c>
    </row>
    <row r="1864" spans="1:17" x14ac:dyDescent="0.3">
      <c r="A1864" t="s">
        <v>47</v>
      </c>
      <c r="B1864" t="str">
        <f>"300129"</f>
        <v>300129</v>
      </c>
      <c r="C1864" t="s">
        <v>4047</v>
      </c>
      <c r="D1864" t="s">
        <v>2013</v>
      </c>
      <c r="E1864">
        <v>5678074632</v>
      </c>
      <c r="F1864">
        <v>4718649042</v>
      </c>
      <c r="G1864">
        <v>4441784704</v>
      </c>
      <c r="H1864">
        <v>3398054915</v>
      </c>
      <c r="I1864">
        <v>3187658756</v>
      </c>
      <c r="J1864">
        <v>2928656744</v>
      </c>
      <c r="K1864">
        <v>2912912466</v>
      </c>
      <c r="L1864">
        <v>2711257935</v>
      </c>
      <c r="M1864">
        <v>2282069500</v>
      </c>
      <c r="N1864">
        <v>2064533367</v>
      </c>
      <c r="O1864">
        <v>1561112888</v>
      </c>
      <c r="P1864">
        <v>183</v>
      </c>
      <c r="Q1864" t="s">
        <v>4048</v>
      </c>
    </row>
    <row r="1865" spans="1:17" x14ac:dyDescent="0.3">
      <c r="A1865" t="s">
        <v>47</v>
      </c>
      <c r="B1865" t="str">
        <f>"002568"</f>
        <v>002568</v>
      </c>
      <c r="C1865" t="s">
        <v>4049</v>
      </c>
      <c r="D1865" t="s">
        <v>2319</v>
      </c>
      <c r="E1865">
        <v>5677798752</v>
      </c>
      <c r="F1865">
        <v>4200569826</v>
      </c>
      <c r="G1865">
        <v>2708691810</v>
      </c>
      <c r="H1865">
        <v>2302607864</v>
      </c>
      <c r="I1865">
        <v>2381115184</v>
      </c>
      <c r="J1865">
        <v>2098530714</v>
      </c>
      <c r="K1865">
        <v>1837383376</v>
      </c>
      <c r="L1865">
        <v>681864302</v>
      </c>
      <c r="M1865">
        <v>698964701</v>
      </c>
      <c r="N1865">
        <v>658390725</v>
      </c>
      <c r="O1865">
        <v>636397964</v>
      </c>
      <c r="P1865">
        <v>1074</v>
      </c>
      <c r="Q1865" t="s">
        <v>4050</v>
      </c>
    </row>
    <row r="1866" spans="1:17" x14ac:dyDescent="0.3">
      <c r="A1866" t="s">
        <v>47</v>
      </c>
      <c r="B1866" t="str">
        <f>"000720"</f>
        <v>000720</v>
      </c>
      <c r="C1866" t="s">
        <v>4051</v>
      </c>
      <c r="D1866" t="s">
        <v>190</v>
      </c>
      <c r="E1866">
        <v>5668981960</v>
      </c>
      <c r="F1866">
        <v>4983447583</v>
      </c>
      <c r="G1866">
        <v>4239110004</v>
      </c>
      <c r="H1866">
        <v>4799770997</v>
      </c>
      <c r="I1866">
        <v>5635899632</v>
      </c>
      <c r="J1866">
        <v>5249958986</v>
      </c>
      <c r="K1866">
        <v>5354588517</v>
      </c>
      <c r="L1866">
        <v>5449293584</v>
      </c>
      <c r="M1866">
        <v>5434615316</v>
      </c>
      <c r="N1866">
        <v>5561342280</v>
      </c>
      <c r="O1866">
        <v>5718902890</v>
      </c>
      <c r="P1866">
        <v>122</v>
      </c>
      <c r="Q1866" t="s">
        <v>4052</v>
      </c>
    </row>
    <row r="1867" spans="1:17" x14ac:dyDescent="0.3">
      <c r="A1867" t="s">
        <v>17</v>
      </c>
      <c r="B1867" t="str">
        <f>"601199"</f>
        <v>601199</v>
      </c>
      <c r="C1867" t="s">
        <v>4053</v>
      </c>
      <c r="D1867" t="s">
        <v>520</v>
      </c>
      <c r="E1867">
        <v>5657934324</v>
      </c>
      <c r="F1867">
        <v>5444824596</v>
      </c>
      <c r="G1867">
        <v>4309235624</v>
      </c>
      <c r="H1867">
        <v>4351864462</v>
      </c>
      <c r="I1867">
        <v>4869991392</v>
      </c>
      <c r="J1867">
        <v>4537009426</v>
      </c>
      <c r="K1867">
        <v>4365089500</v>
      </c>
      <c r="L1867">
        <v>3391449807</v>
      </c>
      <c r="M1867">
        <v>3093867227</v>
      </c>
      <c r="N1867">
        <v>2601891615</v>
      </c>
      <c r="O1867">
        <v>2255271174</v>
      </c>
      <c r="P1867">
        <v>186</v>
      </c>
      <c r="Q1867" t="s">
        <v>4054</v>
      </c>
    </row>
    <row r="1868" spans="1:17" x14ac:dyDescent="0.3">
      <c r="A1868" t="s">
        <v>17</v>
      </c>
      <c r="B1868" t="str">
        <f>"688658"</f>
        <v>688658</v>
      </c>
      <c r="C1868" t="s">
        <v>4055</v>
      </c>
      <c r="D1868" t="s">
        <v>550</v>
      </c>
      <c r="E1868">
        <v>5657588561</v>
      </c>
      <c r="F1868">
        <v>5216886447</v>
      </c>
      <c r="G1868">
        <v>3370958100</v>
      </c>
      <c r="P1868">
        <v>75</v>
      </c>
      <c r="Q1868" t="s">
        <v>4056</v>
      </c>
    </row>
    <row r="1869" spans="1:17" x14ac:dyDescent="0.3">
      <c r="A1869" t="s">
        <v>47</v>
      </c>
      <c r="B1869" t="str">
        <f>"300602"</f>
        <v>300602</v>
      </c>
      <c r="C1869" t="s">
        <v>4057</v>
      </c>
      <c r="D1869" t="s">
        <v>283</v>
      </c>
      <c r="E1869">
        <v>5645483489</v>
      </c>
      <c r="F1869">
        <v>4653279428</v>
      </c>
      <c r="G1869">
        <v>3736534154</v>
      </c>
      <c r="H1869">
        <v>1995005711</v>
      </c>
      <c r="I1869">
        <v>1510458600</v>
      </c>
      <c r="J1869">
        <v>1231723219</v>
      </c>
      <c r="P1869">
        <v>597</v>
      </c>
      <c r="Q1869" t="s">
        <v>4058</v>
      </c>
    </row>
    <row r="1870" spans="1:17" x14ac:dyDescent="0.3">
      <c r="A1870" t="s">
        <v>17</v>
      </c>
      <c r="B1870" t="str">
        <f>"600103"</f>
        <v>600103</v>
      </c>
      <c r="C1870" t="s">
        <v>4059</v>
      </c>
      <c r="D1870" t="s">
        <v>2612</v>
      </c>
      <c r="E1870">
        <v>5644400233</v>
      </c>
      <c r="F1870">
        <v>5506691829</v>
      </c>
      <c r="G1870">
        <v>5351461067</v>
      </c>
      <c r="H1870">
        <v>5070487720</v>
      </c>
      <c r="I1870">
        <v>4818700421</v>
      </c>
      <c r="J1870">
        <v>4796773195</v>
      </c>
      <c r="K1870">
        <v>3114364566</v>
      </c>
      <c r="L1870">
        <v>3298060939</v>
      </c>
      <c r="M1870">
        <v>3689356284</v>
      </c>
      <c r="N1870">
        <v>3978366668</v>
      </c>
      <c r="O1870">
        <v>3668038977</v>
      </c>
      <c r="P1870">
        <v>138</v>
      </c>
      <c r="Q1870" t="s">
        <v>4060</v>
      </c>
    </row>
    <row r="1871" spans="1:17" x14ac:dyDescent="0.3">
      <c r="A1871" t="s">
        <v>47</v>
      </c>
      <c r="B1871" t="str">
        <f>"300273"</f>
        <v>300273</v>
      </c>
      <c r="C1871" t="s">
        <v>4061</v>
      </c>
      <c r="D1871" t="s">
        <v>1083</v>
      </c>
      <c r="E1871">
        <v>5639334232</v>
      </c>
      <c r="F1871">
        <v>6565104755</v>
      </c>
      <c r="G1871">
        <v>6441670483</v>
      </c>
      <c r="H1871">
        <v>5831797689</v>
      </c>
      <c r="I1871">
        <v>5557525433</v>
      </c>
      <c r="J1871">
        <v>5013957248</v>
      </c>
      <c r="K1871">
        <v>3864367112</v>
      </c>
      <c r="L1871">
        <v>2688452672</v>
      </c>
      <c r="M1871">
        <v>1661074640</v>
      </c>
      <c r="N1871">
        <v>1267044151</v>
      </c>
      <c r="O1871">
        <v>1065850428</v>
      </c>
      <c r="P1871">
        <v>143</v>
      </c>
      <c r="Q1871" t="s">
        <v>4062</v>
      </c>
    </row>
    <row r="1872" spans="1:17" x14ac:dyDescent="0.3">
      <c r="A1872" t="s">
        <v>47</v>
      </c>
      <c r="B1872" t="str">
        <f>"000058"</f>
        <v>000058</v>
      </c>
      <c r="C1872" t="s">
        <v>4063</v>
      </c>
      <c r="D1872" t="s">
        <v>454</v>
      </c>
      <c r="E1872">
        <v>5639011593</v>
      </c>
      <c r="F1872">
        <v>5932955389</v>
      </c>
      <c r="G1872">
        <v>6185586750</v>
      </c>
      <c r="H1872">
        <v>6628767305</v>
      </c>
      <c r="I1872">
        <v>6779563975</v>
      </c>
      <c r="J1872">
        <v>7385516774</v>
      </c>
      <c r="K1872">
        <v>2610757892</v>
      </c>
      <c r="L1872">
        <v>2548913984</v>
      </c>
      <c r="M1872">
        <v>2056401972</v>
      </c>
      <c r="N1872">
        <v>1758254396</v>
      </c>
      <c r="O1872">
        <v>1689019961</v>
      </c>
      <c r="P1872">
        <v>142</v>
      </c>
      <c r="Q1872" t="s">
        <v>4064</v>
      </c>
    </row>
    <row r="1873" spans="1:17" x14ac:dyDescent="0.3">
      <c r="A1873" t="s">
        <v>47</v>
      </c>
      <c r="B1873" t="str">
        <f>"002403"</f>
        <v>002403</v>
      </c>
      <c r="C1873" t="s">
        <v>4065</v>
      </c>
      <c r="D1873" t="s">
        <v>2285</v>
      </c>
      <c r="E1873">
        <v>5638442336</v>
      </c>
      <c r="F1873">
        <v>5244576889</v>
      </c>
      <c r="G1873">
        <v>5119194773</v>
      </c>
      <c r="H1873">
        <v>4781005102</v>
      </c>
      <c r="I1873">
        <v>4633896912</v>
      </c>
      <c r="J1873">
        <v>3748529734</v>
      </c>
      <c r="K1873">
        <v>2734549641</v>
      </c>
      <c r="L1873">
        <v>2714953145</v>
      </c>
      <c r="M1873">
        <v>2683587696</v>
      </c>
      <c r="N1873">
        <v>2368731577</v>
      </c>
      <c r="O1873">
        <v>2046865418</v>
      </c>
      <c r="P1873">
        <v>151</v>
      </c>
      <c r="Q1873" t="s">
        <v>4066</v>
      </c>
    </row>
    <row r="1874" spans="1:17" x14ac:dyDescent="0.3">
      <c r="A1874" t="s">
        <v>17</v>
      </c>
      <c r="B1874" t="str">
        <f>"603689"</f>
        <v>603689</v>
      </c>
      <c r="C1874" t="s">
        <v>4067</v>
      </c>
      <c r="D1874" t="s">
        <v>476</v>
      </c>
      <c r="E1874">
        <v>5633141951</v>
      </c>
      <c r="F1874">
        <v>3751849572</v>
      </c>
      <c r="G1874">
        <v>3534769260</v>
      </c>
      <c r="H1874">
        <v>3235045021</v>
      </c>
      <c r="I1874">
        <v>3143903067</v>
      </c>
      <c r="J1874">
        <v>3058434791</v>
      </c>
      <c r="P1874">
        <v>117</v>
      </c>
      <c r="Q1874" t="s">
        <v>4068</v>
      </c>
    </row>
    <row r="1875" spans="1:17" x14ac:dyDescent="0.3">
      <c r="A1875" t="s">
        <v>17</v>
      </c>
      <c r="B1875" t="str">
        <f>"601388"</f>
        <v>601388</v>
      </c>
      <c r="C1875" t="s">
        <v>4069</v>
      </c>
      <c r="D1875" t="s">
        <v>346</v>
      </c>
      <c r="E1875">
        <v>5631553445</v>
      </c>
      <c r="F1875">
        <v>5498369791</v>
      </c>
      <c r="G1875">
        <v>4913332084</v>
      </c>
      <c r="H1875">
        <v>4743948668</v>
      </c>
      <c r="I1875">
        <v>5030561342</v>
      </c>
      <c r="J1875">
        <v>4371906349</v>
      </c>
      <c r="K1875">
        <v>3583239227</v>
      </c>
      <c r="L1875">
        <v>3807234463</v>
      </c>
      <c r="M1875">
        <v>3685971260</v>
      </c>
      <c r="N1875">
        <v>3783275412</v>
      </c>
      <c r="P1875">
        <v>206</v>
      </c>
      <c r="Q1875" t="s">
        <v>4070</v>
      </c>
    </row>
    <row r="1876" spans="1:17" x14ac:dyDescent="0.3">
      <c r="A1876" t="s">
        <v>47</v>
      </c>
      <c r="B1876" t="str">
        <f>"300098"</f>
        <v>300098</v>
      </c>
      <c r="C1876" t="s">
        <v>4071</v>
      </c>
      <c r="D1876" t="s">
        <v>1859</v>
      </c>
      <c r="E1876">
        <v>5629601313</v>
      </c>
      <c r="F1876">
        <v>5914629784</v>
      </c>
      <c r="G1876">
        <v>7187146112</v>
      </c>
      <c r="H1876">
        <v>8881948100</v>
      </c>
      <c r="I1876">
        <v>7466068111</v>
      </c>
      <c r="J1876">
        <v>4892053512</v>
      </c>
      <c r="K1876">
        <v>4326480616</v>
      </c>
      <c r="L1876">
        <v>1434680644</v>
      </c>
      <c r="M1876">
        <v>1274277845</v>
      </c>
      <c r="N1876">
        <v>955600811</v>
      </c>
      <c r="O1876">
        <v>1018616788</v>
      </c>
      <c r="P1876">
        <v>368</v>
      </c>
      <c r="Q1876" t="s">
        <v>4072</v>
      </c>
    </row>
    <row r="1877" spans="1:17" x14ac:dyDescent="0.3">
      <c r="A1877" t="s">
        <v>47</v>
      </c>
      <c r="B1877" t="str">
        <f>"000530"</f>
        <v>000530</v>
      </c>
      <c r="C1877" t="s">
        <v>4073</v>
      </c>
      <c r="D1877" t="s">
        <v>2730</v>
      </c>
      <c r="E1877">
        <v>5620932292</v>
      </c>
      <c r="F1877">
        <v>5808295767</v>
      </c>
      <c r="G1877">
        <v>5542445476</v>
      </c>
      <c r="H1877">
        <v>5484524296</v>
      </c>
      <c r="I1877">
        <v>5430876898</v>
      </c>
      <c r="J1877">
        <v>4994298465</v>
      </c>
      <c r="K1877">
        <v>4099235265</v>
      </c>
      <c r="L1877">
        <v>3122025088</v>
      </c>
      <c r="M1877">
        <v>2986686135</v>
      </c>
      <c r="N1877">
        <v>2936304232</v>
      </c>
      <c r="O1877">
        <v>2963417185</v>
      </c>
      <c r="P1877">
        <v>129</v>
      </c>
      <c r="Q1877" t="s">
        <v>4074</v>
      </c>
    </row>
    <row r="1878" spans="1:17" x14ac:dyDescent="0.3">
      <c r="A1878" t="s">
        <v>47</v>
      </c>
      <c r="B1878" t="str">
        <f>"002663"</f>
        <v>002663</v>
      </c>
      <c r="C1878" t="s">
        <v>4075</v>
      </c>
      <c r="D1878" t="s">
        <v>952</v>
      </c>
      <c r="E1878">
        <v>5619694028</v>
      </c>
      <c r="F1878">
        <v>6632551033</v>
      </c>
      <c r="G1878">
        <v>7181075117</v>
      </c>
      <c r="H1878">
        <v>8649441760</v>
      </c>
      <c r="I1878">
        <v>9356122867</v>
      </c>
      <c r="J1878">
        <v>7554460200</v>
      </c>
      <c r="K1878">
        <v>6283778451</v>
      </c>
      <c r="L1878">
        <v>5230323186</v>
      </c>
      <c r="M1878">
        <v>3284440810</v>
      </c>
      <c r="N1878">
        <v>2323831868</v>
      </c>
      <c r="O1878">
        <v>1956868421</v>
      </c>
      <c r="P1878">
        <v>95</v>
      </c>
      <c r="Q1878" t="s">
        <v>4076</v>
      </c>
    </row>
    <row r="1879" spans="1:17" x14ac:dyDescent="0.3">
      <c r="A1879" t="s">
        <v>47</v>
      </c>
      <c r="B1879" t="str">
        <f>"300119"</f>
        <v>300119</v>
      </c>
      <c r="C1879" t="s">
        <v>4077</v>
      </c>
      <c r="D1879" t="s">
        <v>3286</v>
      </c>
      <c r="E1879">
        <v>5618731856</v>
      </c>
      <c r="F1879">
        <v>4148472888</v>
      </c>
      <c r="G1879">
        <v>3766013252</v>
      </c>
      <c r="H1879">
        <v>3092092458</v>
      </c>
      <c r="I1879">
        <v>2919210637</v>
      </c>
      <c r="J1879">
        <v>2759608872</v>
      </c>
      <c r="K1879">
        <v>2368814431</v>
      </c>
      <c r="L1879">
        <v>2017352632</v>
      </c>
      <c r="M1879">
        <v>2034786077</v>
      </c>
      <c r="N1879">
        <v>1834343748</v>
      </c>
      <c r="O1879">
        <v>1712417025</v>
      </c>
      <c r="P1879">
        <v>388</v>
      </c>
      <c r="Q1879" t="s">
        <v>4078</v>
      </c>
    </row>
    <row r="1880" spans="1:17" x14ac:dyDescent="0.3">
      <c r="A1880" t="s">
        <v>47</v>
      </c>
      <c r="B1880" t="str">
        <f>"002108"</f>
        <v>002108</v>
      </c>
      <c r="C1880" t="s">
        <v>4079</v>
      </c>
      <c r="D1880" t="s">
        <v>3077</v>
      </c>
      <c r="E1880">
        <v>5617236959</v>
      </c>
      <c r="F1880">
        <v>5390960510</v>
      </c>
      <c r="G1880">
        <v>4740448260</v>
      </c>
      <c r="H1880">
        <v>4669222948</v>
      </c>
      <c r="I1880">
        <v>3844579225</v>
      </c>
      <c r="J1880">
        <v>3944173324</v>
      </c>
      <c r="K1880">
        <v>2747953769</v>
      </c>
      <c r="L1880">
        <v>2413613697</v>
      </c>
      <c r="M1880">
        <v>2176521685</v>
      </c>
      <c r="N1880">
        <v>1839279671</v>
      </c>
      <c r="O1880">
        <v>1332096397</v>
      </c>
      <c r="P1880">
        <v>345</v>
      </c>
      <c r="Q1880" t="s">
        <v>4080</v>
      </c>
    </row>
    <row r="1881" spans="1:17" x14ac:dyDescent="0.3">
      <c r="A1881" t="s">
        <v>47</v>
      </c>
      <c r="B1881" t="str">
        <f>"000045"</f>
        <v>000045</v>
      </c>
      <c r="C1881" t="s">
        <v>4081</v>
      </c>
      <c r="D1881" t="s">
        <v>181</v>
      </c>
      <c r="E1881">
        <v>5614397581</v>
      </c>
      <c r="F1881">
        <v>5094994896</v>
      </c>
      <c r="G1881">
        <v>4433249809</v>
      </c>
      <c r="H1881">
        <v>4504910783</v>
      </c>
      <c r="I1881">
        <v>4172890105</v>
      </c>
      <c r="J1881">
        <v>4137910846</v>
      </c>
      <c r="K1881">
        <v>2903516337</v>
      </c>
      <c r="L1881">
        <v>2887077348</v>
      </c>
      <c r="M1881">
        <v>2824648085</v>
      </c>
      <c r="N1881">
        <v>2927560538</v>
      </c>
      <c r="O1881">
        <v>1831827619</v>
      </c>
      <c r="P1881">
        <v>86</v>
      </c>
      <c r="Q1881" t="s">
        <v>4082</v>
      </c>
    </row>
    <row r="1882" spans="1:17" x14ac:dyDescent="0.3">
      <c r="A1882" t="s">
        <v>47</v>
      </c>
      <c r="B1882" t="str">
        <f>"300319"</f>
        <v>300319</v>
      </c>
      <c r="C1882" t="s">
        <v>4083</v>
      </c>
      <c r="D1882" t="s">
        <v>1808</v>
      </c>
      <c r="E1882">
        <v>5608812518</v>
      </c>
      <c r="F1882">
        <v>4131049068</v>
      </c>
      <c r="G1882">
        <v>3428901380</v>
      </c>
      <c r="H1882">
        <v>3063304589</v>
      </c>
      <c r="I1882">
        <v>3134643985</v>
      </c>
      <c r="J1882">
        <v>3085034830</v>
      </c>
      <c r="K1882">
        <v>2080885121</v>
      </c>
      <c r="L1882">
        <v>483712300</v>
      </c>
      <c r="M1882">
        <v>379835853</v>
      </c>
      <c r="N1882">
        <v>328109379</v>
      </c>
      <c r="O1882">
        <v>140395541</v>
      </c>
      <c r="P1882">
        <v>3161</v>
      </c>
      <c r="Q1882" t="s">
        <v>4084</v>
      </c>
    </row>
    <row r="1883" spans="1:17" x14ac:dyDescent="0.3">
      <c r="A1883" t="s">
        <v>47</v>
      </c>
      <c r="B1883" t="str">
        <f>"002336"</f>
        <v>002336</v>
      </c>
      <c r="C1883" t="s">
        <v>4085</v>
      </c>
      <c r="D1883" t="s">
        <v>692</v>
      </c>
      <c r="E1883">
        <v>5605252855</v>
      </c>
      <c r="F1883">
        <v>7605194252</v>
      </c>
      <c r="G1883">
        <v>4560074885</v>
      </c>
      <c r="H1883">
        <v>4514734927</v>
      </c>
      <c r="I1883">
        <v>5248339380</v>
      </c>
      <c r="J1883">
        <v>5507585063</v>
      </c>
      <c r="K1883">
        <v>6182974205</v>
      </c>
      <c r="L1883">
        <v>6813745434</v>
      </c>
      <c r="M1883">
        <v>7247027172</v>
      </c>
      <c r="N1883">
        <v>7325953608</v>
      </c>
      <c r="O1883">
        <v>7209164205</v>
      </c>
      <c r="P1883">
        <v>69</v>
      </c>
      <c r="Q1883" t="s">
        <v>4086</v>
      </c>
    </row>
    <row r="1884" spans="1:17" x14ac:dyDescent="0.3">
      <c r="A1884" t="s">
        <v>47</v>
      </c>
      <c r="B1884" t="str">
        <f>"300255"</f>
        <v>300255</v>
      </c>
      <c r="C1884" t="s">
        <v>4087</v>
      </c>
      <c r="D1884" t="s">
        <v>550</v>
      </c>
      <c r="E1884">
        <v>5597062348</v>
      </c>
      <c r="F1884">
        <v>4606218350</v>
      </c>
      <c r="G1884">
        <v>4076214650</v>
      </c>
      <c r="H1884">
        <v>3880761932</v>
      </c>
      <c r="I1884">
        <v>3653116209</v>
      </c>
      <c r="J1884">
        <v>3204857528</v>
      </c>
      <c r="K1884">
        <v>2429597363</v>
      </c>
      <c r="L1884">
        <v>2054857903</v>
      </c>
      <c r="M1884">
        <v>1733914007</v>
      </c>
      <c r="N1884">
        <v>1490535971</v>
      </c>
      <c r="O1884">
        <v>1195391726</v>
      </c>
      <c r="P1884">
        <v>175</v>
      </c>
      <c r="Q1884" t="s">
        <v>4088</v>
      </c>
    </row>
    <row r="1885" spans="1:17" x14ac:dyDescent="0.3">
      <c r="A1885" t="s">
        <v>47</v>
      </c>
      <c r="B1885" t="str">
        <f>"300194"</f>
        <v>300194</v>
      </c>
      <c r="C1885" t="s">
        <v>4089</v>
      </c>
      <c r="D1885" t="s">
        <v>550</v>
      </c>
      <c r="E1885">
        <v>5590128997</v>
      </c>
      <c r="F1885">
        <v>6116878895</v>
      </c>
      <c r="G1885">
        <v>4971452844</v>
      </c>
      <c r="H1885">
        <v>4338709917</v>
      </c>
      <c r="I1885">
        <v>4817992316</v>
      </c>
      <c r="J1885">
        <v>4489693333</v>
      </c>
      <c r="K1885">
        <v>2497404614</v>
      </c>
      <c r="L1885">
        <v>1829142894</v>
      </c>
      <c r="M1885">
        <v>1854434424</v>
      </c>
      <c r="N1885">
        <v>1842741455</v>
      </c>
      <c r="O1885">
        <v>1802225794</v>
      </c>
      <c r="P1885">
        <v>149</v>
      </c>
      <c r="Q1885" t="s">
        <v>4090</v>
      </c>
    </row>
    <row r="1886" spans="1:17" x14ac:dyDescent="0.3">
      <c r="A1886" t="s">
        <v>47</v>
      </c>
      <c r="B1886" t="str">
        <f>"002458"</f>
        <v>002458</v>
      </c>
      <c r="C1886" t="s">
        <v>4091</v>
      </c>
      <c r="D1886" t="s">
        <v>1805</v>
      </c>
      <c r="E1886">
        <v>5584993582</v>
      </c>
      <c r="F1886">
        <v>5402415237</v>
      </c>
      <c r="G1886">
        <v>3585037081</v>
      </c>
      <c r="H1886">
        <v>2563047179</v>
      </c>
      <c r="I1886">
        <v>2158117113</v>
      </c>
      <c r="J1886">
        <v>1934995650</v>
      </c>
      <c r="K1886">
        <v>1941215988</v>
      </c>
      <c r="L1886">
        <v>1793859352</v>
      </c>
      <c r="M1886">
        <v>1568901265</v>
      </c>
      <c r="N1886">
        <v>1445031803</v>
      </c>
      <c r="O1886">
        <v>1447693303</v>
      </c>
      <c r="P1886">
        <v>815</v>
      </c>
      <c r="Q1886" t="s">
        <v>4092</v>
      </c>
    </row>
    <row r="1887" spans="1:17" x14ac:dyDescent="0.3">
      <c r="A1887" t="s">
        <v>17</v>
      </c>
      <c r="B1887" t="str">
        <f>"603103"</f>
        <v>603103</v>
      </c>
      <c r="C1887" t="s">
        <v>4093</v>
      </c>
      <c r="D1887" t="s">
        <v>1315</v>
      </c>
      <c r="E1887">
        <v>5574237516</v>
      </c>
      <c r="F1887">
        <v>5964889486</v>
      </c>
      <c r="G1887">
        <v>3255236262</v>
      </c>
      <c r="H1887">
        <v>3371017198</v>
      </c>
      <c r="I1887">
        <v>3162128889</v>
      </c>
      <c r="P1887">
        <v>240</v>
      </c>
      <c r="Q1887" t="s">
        <v>4094</v>
      </c>
    </row>
    <row r="1888" spans="1:17" x14ac:dyDescent="0.3">
      <c r="A1888" t="s">
        <v>17</v>
      </c>
      <c r="B1888" t="str">
        <f>"603668"</f>
        <v>603668</v>
      </c>
      <c r="C1888" t="s">
        <v>4095</v>
      </c>
      <c r="D1888" t="s">
        <v>1005</v>
      </c>
      <c r="E1888">
        <v>5566438592</v>
      </c>
      <c r="F1888">
        <v>3849119329</v>
      </c>
      <c r="G1888">
        <v>2880851552</v>
      </c>
      <c r="H1888">
        <v>2172812138</v>
      </c>
      <c r="I1888">
        <v>1475111068</v>
      </c>
      <c r="J1888">
        <v>1162651925</v>
      </c>
      <c r="P1888">
        <v>126</v>
      </c>
      <c r="Q1888" t="s">
        <v>4096</v>
      </c>
    </row>
    <row r="1889" spans="1:17" x14ac:dyDescent="0.3">
      <c r="A1889" t="s">
        <v>47</v>
      </c>
      <c r="B1889" t="str">
        <f>"002127"</f>
        <v>002127</v>
      </c>
      <c r="C1889" t="s">
        <v>4097</v>
      </c>
      <c r="D1889" t="s">
        <v>4098</v>
      </c>
      <c r="E1889">
        <v>5565716917</v>
      </c>
      <c r="F1889">
        <v>5742629673</v>
      </c>
      <c r="G1889">
        <v>5534479487</v>
      </c>
      <c r="H1889">
        <v>4453216329</v>
      </c>
      <c r="I1889">
        <v>3919081795</v>
      </c>
      <c r="J1889">
        <v>2021169079</v>
      </c>
      <c r="K1889">
        <v>1345138430</v>
      </c>
      <c r="L1889">
        <v>586330825</v>
      </c>
      <c r="M1889">
        <v>2614280739</v>
      </c>
      <c r="N1889">
        <v>4332788666</v>
      </c>
      <c r="O1889">
        <v>3533832435</v>
      </c>
      <c r="P1889">
        <v>1745</v>
      </c>
      <c r="Q1889" t="s">
        <v>4099</v>
      </c>
    </row>
    <row r="1890" spans="1:17" x14ac:dyDescent="0.3">
      <c r="A1890" t="s">
        <v>17</v>
      </c>
      <c r="B1890" t="str">
        <f>"603980"</f>
        <v>603980</v>
      </c>
      <c r="C1890" t="s">
        <v>4100</v>
      </c>
      <c r="D1890" t="s">
        <v>703</v>
      </c>
      <c r="E1890">
        <v>5563350205</v>
      </c>
      <c r="F1890">
        <v>5410044584</v>
      </c>
      <c r="G1890">
        <v>5400372969</v>
      </c>
      <c r="H1890">
        <v>5136172172</v>
      </c>
      <c r="I1890">
        <v>4837533589</v>
      </c>
      <c r="J1890">
        <v>2965255202</v>
      </c>
      <c r="P1890">
        <v>195</v>
      </c>
      <c r="Q1890" t="s">
        <v>4101</v>
      </c>
    </row>
    <row r="1891" spans="1:17" x14ac:dyDescent="0.3">
      <c r="A1891" t="s">
        <v>17</v>
      </c>
      <c r="B1891" t="str">
        <f>"603989"</f>
        <v>603989</v>
      </c>
      <c r="C1891" t="s">
        <v>4102</v>
      </c>
      <c r="D1891" t="s">
        <v>1808</v>
      </c>
      <c r="E1891">
        <v>5551592092</v>
      </c>
      <c r="F1891">
        <v>4384744346</v>
      </c>
      <c r="G1891">
        <v>3871213291</v>
      </c>
      <c r="H1891">
        <v>3271265954</v>
      </c>
      <c r="I1891">
        <v>3146490819</v>
      </c>
      <c r="J1891">
        <v>2309484320</v>
      </c>
      <c r="K1891">
        <v>2108963810</v>
      </c>
      <c r="P1891">
        <v>12177</v>
      </c>
      <c r="Q1891" t="s">
        <v>4103</v>
      </c>
    </row>
    <row r="1892" spans="1:17" x14ac:dyDescent="0.3">
      <c r="A1892" t="s">
        <v>47</v>
      </c>
      <c r="B1892" t="str">
        <f>"000428"</f>
        <v>000428</v>
      </c>
      <c r="C1892" t="s">
        <v>4104</v>
      </c>
      <c r="D1892" t="s">
        <v>899</v>
      </c>
      <c r="E1892">
        <v>5542326079</v>
      </c>
      <c r="F1892">
        <v>6224975455</v>
      </c>
      <c r="G1892">
        <v>6403463020</v>
      </c>
      <c r="H1892">
        <v>7195708312</v>
      </c>
      <c r="I1892">
        <v>8290562172</v>
      </c>
      <c r="J1892">
        <v>8845864918</v>
      </c>
      <c r="K1892">
        <v>9316502450</v>
      </c>
      <c r="L1892">
        <v>9246169208</v>
      </c>
      <c r="M1892">
        <v>8195511403</v>
      </c>
      <c r="N1892">
        <v>7607804897</v>
      </c>
      <c r="O1892">
        <v>5696304932</v>
      </c>
      <c r="P1892">
        <v>104</v>
      </c>
      <c r="Q1892" t="s">
        <v>4105</v>
      </c>
    </row>
    <row r="1893" spans="1:17" x14ac:dyDescent="0.3">
      <c r="A1893" t="s">
        <v>47</v>
      </c>
      <c r="B1893" t="str">
        <f>"300815"</f>
        <v>300815</v>
      </c>
      <c r="C1893" t="s">
        <v>4106</v>
      </c>
      <c r="D1893" t="s">
        <v>1310</v>
      </c>
      <c r="E1893">
        <v>5540052986</v>
      </c>
      <c r="F1893">
        <v>4902625816</v>
      </c>
      <c r="G1893">
        <v>3510985985</v>
      </c>
      <c r="P1893">
        <v>345</v>
      </c>
      <c r="Q1893" t="s">
        <v>4107</v>
      </c>
    </row>
    <row r="1894" spans="1:17" x14ac:dyDescent="0.3">
      <c r="A1894" t="s">
        <v>47</v>
      </c>
      <c r="B1894" t="str">
        <f>"300896"</f>
        <v>300896</v>
      </c>
      <c r="C1894" t="s">
        <v>4108</v>
      </c>
      <c r="D1894" t="s">
        <v>3413</v>
      </c>
      <c r="E1894">
        <v>5535068927</v>
      </c>
      <c r="F1894">
        <v>4416449842</v>
      </c>
      <c r="G1894">
        <v>752207800</v>
      </c>
      <c r="P1894">
        <v>1332</v>
      </c>
      <c r="Q1894" t="s">
        <v>4109</v>
      </c>
    </row>
    <row r="1895" spans="1:17" x14ac:dyDescent="0.3">
      <c r="A1895" t="s">
        <v>47</v>
      </c>
      <c r="B1895" t="str">
        <f>"002996"</f>
        <v>002996</v>
      </c>
      <c r="C1895" t="s">
        <v>4110</v>
      </c>
      <c r="D1895" t="s">
        <v>346</v>
      </c>
      <c r="E1895">
        <v>5526128947</v>
      </c>
      <c r="F1895">
        <v>3247718948</v>
      </c>
      <c r="P1895">
        <v>73</v>
      </c>
      <c r="Q1895" t="s">
        <v>4111</v>
      </c>
    </row>
    <row r="1896" spans="1:17" x14ac:dyDescent="0.3">
      <c r="A1896" t="s">
        <v>47</v>
      </c>
      <c r="B1896" t="str">
        <f>"300495"</f>
        <v>300495</v>
      </c>
      <c r="C1896" t="s">
        <v>4112</v>
      </c>
      <c r="D1896" t="s">
        <v>952</v>
      </c>
      <c r="E1896">
        <v>5525891931</v>
      </c>
      <c r="F1896">
        <v>9083983232</v>
      </c>
      <c r="G1896">
        <v>9249278168</v>
      </c>
      <c r="H1896">
        <v>9011059819</v>
      </c>
      <c r="I1896">
        <v>6738734167</v>
      </c>
      <c r="J1896">
        <v>4777364258</v>
      </c>
      <c r="K1896">
        <v>1706723057</v>
      </c>
      <c r="L1896">
        <v>995147100</v>
      </c>
      <c r="P1896">
        <v>103</v>
      </c>
      <c r="Q1896" t="s">
        <v>4113</v>
      </c>
    </row>
    <row r="1897" spans="1:17" x14ac:dyDescent="0.3">
      <c r="A1897" t="s">
        <v>47</v>
      </c>
      <c r="B1897" t="str">
        <f>"000608"</f>
        <v>000608</v>
      </c>
      <c r="C1897" t="s">
        <v>4114</v>
      </c>
      <c r="D1897" t="s">
        <v>117</v>
      </c>
      <c r="E1897">
        <v>5525693196</v>
      </c>
      <c r="F1897">
        <v>5779992011</v>
      </c>
      <c r="G1897">
        <v>5623618682</v>
      </c>
      <c r="H1897">
        <v>6557498000</v>
      </c>
      <c r="I1897">
        <v>6977971000</v>
      </c>
      <c r="J1897">
        <v>9741137000</v>
      </c>
      <c r="K1897">
        <v>10188477000</v>
      </c>
      <c r="L1897">
        <v>11353455000</v>
      </c>
      <c r="M1897">
        <v>11591362000</v>
      </c>
      <c r="N1897">
        <v>7683930000</v>
      </c>
      <c r="O1897">
        <v>6241119000</v>
      </c>
      <c r="P1897">
        <v>102</v>
      </c>
      <c r="Q1897" t="s">
        <v>4115</v>
      </c>
    </row>
    <row r="1898" spans="1:17" x14ac:dyDescent="0.3">
      <c r="A1898" t="s">
        <v>17</v>
      </c>
      <c r="B1898" t="str">
        <f>"600843"</f>
        <v>600843</v>
      </c>
      <c r="C1898" t="s">
        <v>4116</v>
      </c>
      <c r="D1898" t="s">
        <v>2603</v>
      </c>
      <c r="E1898">
        <v>5522886954</v>
      </c>
      <c r="F1898">
        <v>4746517314</v>
      </c>
      <c r="G1898">
        <v>4397814707</v>
      </c>
      <c r="H1898">
        <v>4164362278</v>
      </c>
      <c r="I1898">
        <v>3701595144</v>
      </c>
      <c r="J1898">
        <v>3508644292</v>
      </c>
      <c r="K1898">
        <v>3320458447</v>
      </c>
      <c r="L1898">
        <v>2692492593</v>
      </c>
      <c r="M1898">
        <v>2659109559</v>
      </c>
      <c r="N1898">
        <v>1597136050</v>
      </c>
      <c r="O1898">
        <v>1587212001</v>
      </c>
      <c r="P1898">
        <v>78</v>
      </c>
      <c r="Q1898" t="s">
        <v>4117</v>
      </c>
    </row>
    <row r="1899" spans="1:17" x14ac:dyDescent="0.3">
      <c r="A1899" t="s">
        <v>47</v>
      </c>
      <c r="B1899" t="str">
        <f>"002596"</f>
        <v>002596</v>
      </c>
      <c r="C1899" t="s">
        <v>4118</v>
      </c>
      <c r="D1899" t="s">
        <v>1318</v>
      </c>
      <c r="E1899">
        <v>5518946986</v>
      </c>
      <c r="F1899">
        <v>6339040137</v>
      </c>
      <c r="G1899">
        <v>6139751416</v>
      </c>
      <c r="H1899">
        <v>6618848646</v>
      </c>
      <c r="I1899">
        <v>6270616057</v>
      </c>
      <c r="J1899">
        <v>3867689124</v>
      </c>
      <c r="K1899">
        <v>2945444295</v>
      </c>
      <c r="L1899">
        <v>2048686757</v>
      </c>
      <c r="M1899">
        <v>1598555747</v>
      </c>
      <c r="N1899">
        <v>1406416930</v>
      </c>
      <c r="O1899">
        <v>1091920345</v>
      </c>
      <c r="P1899">
        <v>100</v>
      </c>
      <c r="Q1899" t="s">
        <v>4119</v>
      </c>
    </row>
    <row r="1900" spans="1:17" x14ac:dyDescent="0.3">
      <c r="A1900" t="s">
        <v>17</v>
      </c>
      <c r="B1900" t="str">
        <f>"603686"</f>
        <v>603686</v>
      </c>
      <c r="C1900" t="s">
        <v>4120</v>
      </c>
      <c r="D1900" t="s">
        <v>1347</v>
      </c>
      <c r="E1900">
        <v>5517953866</v>
      </c>
      <c r="F1900">
        <v>5256569206</v>
      </c>
      <c r="G1900">
        <v>4786224317</v>
      </c>
      <c r="H1900">
        <v>4103503205</v>
      </c>
      <c r="I1900">
        <v>3770630655</v>
      </c>
      <c r="J1900">
        <v>2567107541</v>
      </c>
      <c r="K1900">
        <v>1868919442</v>
      </c>
      <c r="L1900">
        <v>1458820420</v>
      </c>
      <c r="P1900">
        <v>760</v>
      </c>
      <c r="Q1900" t="s">
        <v>4121</v>
      </c>
    </row>
    <row r="1901" spans="1:17" x14ac:dyDescent="0.3">
      <c r="A1901" t="s">
        <v>47</v>
      </c>
      <c r="B1901" t="str">
        <f>"000688"</f>
        <v>000688</v>
      </c>
      <c r="C1901" t="s">
        <v>4122</v>
      </c>
      <c r="D1901" t="s">
        <v>1299</v>
      </c>
      <c r="E1901">
        <v>5517342074</v>
      </c>
      <c r="F1901">
        <v>5050007713</v>
      </c>
      <c r="G1901">
        <v>2623538737</v>
      </c>
      <c r="H1901">
        <v>2633873191</v>
      </c>
      <c r="I1901">
        <v>2488891363</v>
      </c>
      <c r="J1901">
        <v>2019765827</v>
      </c>
      <c r="K1901">
        <v>1853696855</v>
      </c>
      <c r="L1901">
        <v>1592040922</v>
      </c>
      <c r="M1901">
        <v>1123541513</v>
      </c>
      <c r="N1901">
        <v>1046705612</v>
      </c>
      <c r="O1901">
        <v>15027623</v>
      </c>
      <c r="P1901">
        <v>197</v>
      </c>
      <c r="Q1901" t="s">
        <v>4123</v>
      </c>
    </row>
    <row r="1902" spans="1:17" x14ac:dyDescent="0.3">
      <c r="A1902" t="s">
        <v>17</v>
      </c>
      <c r="B1902" t="str">
        <f>"601002"</f>
        <v>601002</v>
      </c>
      <c r="C1902" t="s">
        <v>4124</v>
      </c>
      <c r="D1902" t="s">
        <v>401</v>
      </c>
      <c r="E1902">
        <v>5510835906</v>
      </c>
      <c r="F1902">
        <v>5191965743</v>
      </c>
      <c r="G1902">
        <v>4282070211</v>
      </c>
      <c r="H1902">
        <v>4576230385</v>
      </c>
      <c r="I1902">
        <v>4728353860</v>
      </c>
      <c r="J1902">
        <v>4254959223</v>
      </c>
      <c r="K1902">
        <v>4041123917</v>
      </c>
      <c r="L1902">
        <v>4220920334</v>
      </c>
      <c r="M1902">
        <v>4509902635</v>
      </c>
      <c r="N1902">
        <v>4050627914</v>
      </c>
      <c r="O1902">
        <v>4407604491</v>
      </c>
      <c r="P1902">
        <v>146</v>
      </c>
      <c r="Q1902" t="s">
        <v>4125</v>
      </c>
    </row>
    <row r="1903" spans="1:17" x14ac:dyDescent="0.3">
      <c r="A1903" t="s">
        <v>47</v>
      </c>
      <c r="B1903" t="str">
        <f>"000616"</f>
        <v>000616</v>
      </c>
      <c r="C1903" t="s">
        <v>4126</v>
      </c>
      <c r="D1903" t="s">
        <v>76</v>
      </c>
      <c r="E1903">
        <v>5506718380</v>
      </c>
      <c r="F1903">
        <v>5533025839</v>
      </c>
      <c r="G1903">
        <v>6038024508</v>
      </c>
      <c r="H1903">
        <v>6115591634</v>
      </c>
      <c r="I1903">
        <v>10188112234</v>
      </c>
      <c r="J1903">
        <v>9880891788</v>
      </c>
      <c r="K1903">
        <v>9019946890</v>
      </c>
      <c r="L1903">
        <v>8409043961</v>
      </c>
      <c r="M1903">
        <v>11840116080</v>
      </c>
      <c r="N1903">
        <v>11812087476</v>
      </c>
      <c r="O1903">
        <v>10267711589</v>
      </c>
      <c r="P1903">
        <v>140</v>
      </c>
      <c r="Q1903" t="s">
        <v>4127</v>
      </c>
    </row>
    <row r="1904" spans="1:17" x14ac:dyDescent="0.3">
      <c r="A1904" t="s">
        <v>47</v>
      </c>
      <c r="B1904" t="str">
        <f>"000989"</f>
        <v>000989</v>
      </c>
      <c r="C1904" t="s">
        <v>4128</v>
      </c>
      <c r="D1904" t="s">
        <v>695</v>
      </c>
      <c r="E1904">
        <v>5502561111</v>
      </c>
      <c r="F1904">
        <v>5573595763</v>
      </c>
      <c r="G1904">
        <v>5119566672</v>
      </c>
      <c r="H1904">
        <v>5302127860</v>
      </c>
      <c r="I1904">
        <v>5941856713</v>
      </c>
      <c r="J1904">
        <v>4959097301</v>
      </c>
      <c r="K1904">
        <v>4597147655</v>
      </c>
      <c r="L1904">
        <v>2163391014</v>
      </c>
      <c r="M1904">
        <v>1973812787</v>
      </c>
      <c r="N1904">
        <v>1882533922</v>
      </c>
      <c r="O1904">
        <v>1784551405</v>
      </c>
      <c r="P1904">
        <v>370</v>
      </c>
      <c r="Q1904" t="s">
        <v>4129</v>
      </c>
    </row>
    <row r="1905" spans="1:17" x14ac:dyDescent="0.3">
      <c r="A1905" t="s">
        <v>47</v>
      </c>
      <c r="B1905" t="str">
        <f>"002394"</f>
        <v>002394</v>
      </c>
      <c r="C1905" t="s">
        <v>4130</v>
      </c>
      <c r="D1905" t="s">
        <v>1682</v>
      </c>
      <c r="E1905">
        <v>5500679746</v>
      </c>
      <c r="F1905">
        <v>4886701421</v>
      </c>
      <c r="G1905">
        <v>4701428887</v>
      </c>
      <c r="H1905">
        <v>4424244274</v>
      </c>
      <c r="I1905">
        <v>4269677456</v>
      </c>
      <c r="J1905">
        <v>4847598795</v>
      </c>
      <c r="K1905">
        <v>4480102712</v>
      </c>
      <c r="L1905">
        <v>4336161272</v>
      </c>
      <c r="M1905">
        <v>4029633437</v>
      </c>
      <c r="N1905">
        <v>3775589276</v>
      </c>
      <c r="O1905">
        <v>2687610708</v>
      </c>
      <c r="P1905">
        <v>673</v>
      </c>
      <c r="Q1905" t="s">
        <v>4131</v>
      </c>
    </row>
    <row r="1906" spans="1:17" x14ac:dyDescent="0.3">
      <c r="A1906" t="s">
        <v>47</v>
      </c>
      <c r="B1906" t="str">
        <f>"002043"</f>
        <v>002043</v>
      </c>
      <c r="C1906" t="s">
        <v>4132</v>
      </c>
      <c r="D1906" t="s">
        <v>1418</v>
      </c>
      <c r="E1906">
        <v>5500394781</v>
      </c>
      <c r="F1906">
        <v>4975177654</v>
      </c>
      <c r="G1906">
        <v>4108363454</v>
      </c>
      <c r="H1906">
        <v>3043485860</v>
      </c>
      <c r="I1906">
        <v>2678818935</v>
      </c>
      <c r="J1906">
        <v>2084679547</v>
      </c>
      <c r="K1906">
        <v>1683019291</v>
      </c>
      <c r="L1906">
        <v>1028371502</v>
      </c>
      <c r="M1906">
        <v>970420587</v>
      </c>
      <c r="N1906">
        <v>944205542</v>
      </c>
      <c r="O1906">
        <v>969482252</v>
      </c>
      <c r="P1906">
        <v>665</v>
      </c>
      <c r="Q1906" t="s">
        <v>4133</v>
      </c>
    </row>
    <row r="1907" spans="1:17" x14ac:dyDescent="0.3">
      <c r="A1907" t="s">
        <v>17</v>
      </c>
      <c r="B1907" t="str">
        <f>"688161"</f>
        <v>688161</v>
      </c>
      <c r="C1907" t="s">
        <v>4134</v>
      </c>
      <c r="D1907" t="s">
        <v>1650</v>
      </c>
      <c r="E1907">
        <v>5500016577</v>
      </c>
      <c r="F1907">
        <v>3246623871</v>
      </c>
      <c r="P1907">
        <v>101</v>
      </c>
      <c r="Q1907" t="s">
        <v>4135</v>
      </c>
    </row>
    <row r="1908" spans="1:17" x14ac:dyDescent="0.3">
      <c r="A1908" t="s">
        <v>17</v>
      </c>
      <c r="B1908" t="str">
        <f>"603569"</f>
        <v>603569</v>
      </c>
      <c r="C1908" t="s">
        <v>4136</v>
      </c>
      <c r="D1908" t="s">
        <v>1035</v>
      </c>
      <c r="E1908">
        <v>5494096562</v>
      </c>
      <c r="F1908">
        <v>5297963713</v>
      </c>
      <c r="G1908">
        <v>5784962956</v>
      </c>
      <c r="H1908">
        <v>6534590425</v>
      </c>
      <c r="I1908">
        <v>4565585811</v>
      </c>
      <c r="J1908">
        <v>3719249432</v>
      </c>
      <c r="K1908">
        <v>2113343127</v>
      </c>
      <c r="P1908">
        <v>198</v>
      </c>
      <c r="Q1908" t="s">
        <v>4137</v>
      </c>
    </row>
    <row r="1909" spans="1:17" x14ac:dyDescent="0.3">
      <c r="A1909" t="s">
        <v>47</v>
      </c>
      <c r="B1909" t="str">
        <f>"002255"</f>
        <v>002255</v>
      </c>
      <c r="C1909" t="s">
        <v>4138</v>
      </c>
      <c r="D1909" t="s">
        <v>2181</v>
      </c>
      <c r="E1909">
        <v>5491125215</v>
      </c>
      <c r="F1909">
        <v>5060513416</v>
      </c>
      <c r="G1909">
        <v>4906713784</v>
      </c>
      <c r="H1909">
        <v>7554716633</v>
      </c>
      <c r="I1909">
        <v>7207053860</v>
      </c>
      <c r="J1909">
        <v>3680314372</v>
      </c>
      <c r="K1909">
        <v>3561605514</v>
      </c>
      <c r="L1909">
        <v>3183416624</v>
      </c>
      <c r="M1909">
        <v>3062149981</v>
      </c>
      <c r="N1909">
        <v>2548127679</v>
      </c>
      <c r="O1909">
        <v>2264103755</v>
      </c>
      <c r="P1909">
        <v>107</v>
      </c>
      <c r="Q1909" t="s">
        <v>4139</v>
      </c>
    </row>
    <row r="1910" spans="1:17" x14ac:dyDescent="0.3">
      <c r="A1910" t="s">
        <v>47</v>
      </c>
      <c r="B1910" t="str">
        <f>"002163"</f>
        <v>002163</v>
      </c>
      <c r="C1910" t="s">
        <v>4140</v>
      </c>
      <c r="D1910" t="s">
        <v>1635</v>
      </c>
      <c r="E1910">
        <v>5481926091</v>
      </c>
      <c r="F1910">
        <v>5538339803</v>
      </c>
      <c r="G1910">
        <v>4512787007</v>
      </c>
      <c r="H1910">
        <v>4609723609</v>
      </c>
      <c r="I1910">
        <v>6492833888</v>
      </c>
      <c r="J1910">
        <v>6441836081</v>
      </c>
      <c r="K1910">
        <v>6553482008</v>
      </c>
      <c r="L1910">
        <v>6937052591</v>
      </c>
      <c r="M1910">
        <v>7197768006</v>
      </c>
      <c r="N1910">
        <v>6959943464</v>
      </c>
      <c r="O1910">
        <v>6627644032</v>
      </c>
      <c r="P1910">
        <v>170</v>
      </c>
      <c r="Q1910" t="s">
        <v>4141</v>
      </c>
    </row>
    <row r="1911" spans="1:17" x14ac:dyDescent="0.3">
      <c r="A1911" t="s">
        <v>47</v>
      </c>
      <c r="B1911" t="str">
        <f>"300674"</f>
        <v>300674</v>
      </c>
      <c r="C1911" t="s">
        <v>4142</v>
      </c>
      <c r="D1911" t="s">
        <v>700</v>
      </c>
      <c r="E1911">
        <v>5480456527</v>
      </c>
      <c r="F1911">
        <v>3744573084</v>
      </c>
      <c r="G1911">
        <v>3560754967</v>
      </c>
      <c r="H1911">
        <v>3152463047</v>
      </c>
      <c r="P1911">
        <v>348</v>
      </c>
      <c r="Q1911" t="s">
        <v>4143</v>
      </c>
    </row>
    <row r="1912" spans="1:17" x14ac:dyDescent="0.3">
      <c r="A1912" t="s">
        <v>47</v>
      </c>
      <c r="B1912" t="str">
        <f>"002287"</f>
        <v>002287</v>
      </c>
      <c r="C1912" t="s">
        <v>4144</v>
      </c>
      <c r="D1912" t="s">
        <v>695</v>
      </c>
      <c r="E1912">
        <v>5480173014</v>
      </c>
      <c r="F1912">
        <v>4407792415</v>
      </c>
      <c r="G1912">
        <v>3006903207</v>
      </c>
      <c r="H1912">
        <v>2344447385</v>
      </c>
      <c r="I1912">
        <v>2431789127</v>
      </c>
      <c r="J1912">
        <v>2109831454</v>
      </c>
      <c r="K1912">
        <v>2243302930</v>
      </c>
      <c r="L1912">
        <v>1811363061</v>
      </c>
      <c r="M1912">
        <v>1593576189</v>
      </c>
      <c r="N1912">
        <v>1467646842</v>
      </c>
      <c r="O1912">
        <v>1359212404</v>
      </c>
      <c r="P1912">
        <v>13304</v>
      </c>
      <c r="Q1912" t="s">
        <v>4145</v>
      </c>
    </row>
    <row r="1913" spans="1:17" x14ac:dyDescent="0.3">
      <c r="A1913" t="s">
        <v>47</v>
      </c>
      <c r="B1913" t="str">
        <f>"300031"</f>
        <v>300031</v>
      </c>
      <c r="C1913" t="s">
        <v>4146</v>
      </c>
      <c r="D1913" t="s">
        <v>1032</v>
      </c>
      <c r="E1913">
        <v>5478559065</v>
      </c>
      <c r="F1913">
        <v>4802795375</v>
      </c>
      <c r="G1913">
        <v>4358534462</v>
      </c>
      <c r="H1913">
        <v>3396580216</v>
      </c>
      <c r="I1913">
        <v>3194598829</v>
      </c>
      <c r="J1913">
        <v>2875829595</v>
      </c>
      <c r="K1913">
        <v>2524965744</v>
      </c>
      <c r="L1913">
        <v>983292345</v>
      </c>
      <c r="M1913">
        <v>957853080</v>
      </c>
      <c r="N1913">
        <v>938352574</v>
      </c>
      <c r="O1913">
        <v>783070276</v>
      </c>
      <c r="P1913">
        <v>259</v>
      </c>
      <c r="Q1913" t="s">
        <v>4147</v>
      </c>
    </row>
    <row r="1914" spans="1:17" x14ac:dyDescent="0.3">
      <c r="A1914" t="s">
        <v>17</v>
      </c>
      <c r="B1914" t="str">
        <f>"603759"</f>
        <v>603759</v>
      </c>
      <c r="C1914" t="s">
        <v>4148</v>
      </c>
      <c r="D1914" t="s">
        <v>520</v>
      </c>
      <c r="E1914">
        <v>5474687150</v>
      </c>
      <c r="F1914">
        <v>5347121607</v>
      </c>
      <c r="P1914">
        <v>48</v>
      </c>
      <c r="Q1914" t="s">
        <v>4149</v>
      </c>
    </row>
    <row r="1915" spans="1:17" x14ac:dyDescent="0.3">
      <c r="A1915" t="s">
        <v>47</v>
      </c>
      <c r="B1915" t="str">
        <f>"000419"</f>
        <v>000419</v>
      </c>
      <c r="C1915" t="s">
        <v>4150</v>
      </c>
      <c r="D1915" t="s">
        <v>780</v>
      </c>
      <c r="E1915">
        <v>5473429657</v>
      </c>
      <c r="F1915">
        <v>6137744987</v>
      </c>
      <c r="G1915">
        <v>4628328973</v>
      </c>
      <c r="H1915">
        <v>5191134888</v>
      </c>
      <c r="I1915">
        <v>4093398045</v>
      </c>
      <c r="J1915">
        <v>3770730750</v>
      </c>
      <c r="K1915">
        <v>3620602666</v>
      </c>
      <c r="L1915">
        <v>3614070075</v>
      </c>
      <c r="M1915">
        <v>3551935064</v>
      </c>
      <c r="N1915">
        <v>3540730789</v>
      </c>
      <c r="O1915">
        <v>3194672581</v>
      </c>
      <c r="P1915">
        <v>115</v>
      </c>
      <c r="Q1915" t="s">
        <v>4151</v>
      </c>
    </row>
    <row r="1916" spans="1:17" x14ac:dyDescent="0.3">
      <c r="A1916" t="s">
        <v>47</v>
      </c>
      <c r="B1916" t="str">
        <f>"300002"</f>
        <v>300002</v>
      </c>
      <c r="C1916" t="s">
        <v>4152</v>
      </c>
      <c r="D1916" t="s">
        <v>1032</v>
      </c>
      <c r="E1916">
        <v>5468749640</v>
      </c>
      <c r="F1916">
        <v>5314431313</v>
      </c>
      <c r="G1916">
        <v>5256733583</v>
      </c>
      <c r="H1916">
        <v>6472102647</v>
      </c>
      <c r="I1916">
        <v>6492443393</v>
      </c>
      <c r="J1916">
        <v>6828250854</v>
      </c>
      <c r="K1916">
        <v>5912116594</v>
      </c>
      <c r="L1916">
        <v>5419297465</v>
      </c>
      <c r="M1916">
        <v>4009535045</v>
      </c>
      <c r="N1916">
        <v>3705376957</v>
      </c>
      <c r="O1916">
        <v>3263303772</v>
      </c>
      <c r="P1916">
        <v>282</v>
      </c>
      <c r="Q1916" t="s">
        <v>4153</v>
      </c>
    </row>
    <row r="1917" spans="1:17" x14ac:dyDescent="0.3">
      <c r="A1917" t="s">
        <v>47</v>
      </c>
      <c r="B1917" t="str">
        <f>"300692"</f>
        <v>300692</v>
      </c>
      <c r="C1917" t="s">
        <v>4154</v>
      </c>
      <c r="D1917" t="s">
        <v>520</v>
      </c>
      <c r="E1917">
        <v>5466755754</v>
      </c>
      <c r="F1917">
        <v>4469967222</v>
      </c>
      <c r="G1917">
        <v>2674910040</v>
      </c>
      <c r="H1917">
        <v>1847096590</v>
      </c>
      <c r="I1917">
        <v>1056723986</v>
      </c>
      <c r="P1917">
        <v>162</v>
      </c>
      <c r="Q1917" t="s">
        <v>4155</v>
      </c>
    </row>
    <row r="1918" spans="1:17" x14ac:dyDescent="0.3">
      <c r="A1918" t="s">
        <v>47</v>
      </c>
      <c r="B1918" t="str">
        <f>"300267"</f>
        <v>300267</v>
      </c>
      <c r="C1918" t="s">
        <v>4156</v>
      </c>
      <c r="D1918" t="s">
        <v>1112</v>
      </c>
      <c r="E1918">
        <v>5462015211</v>
      </c>
      <c r="F1918">
        <v>6824009356</v>
      </c>
      <c r="G1918">
        <v>6554791679</v>
      </c>
      <c r="H1918">
        <v>6197671355</v>
      </c>
      <c r="I1918">
        <v>5782851981</v>
      </c>
      <c r="J1918">
        <v>6230958798</v>
      </c>
      <c r="K1918">
        <v>4894306323</v>
      </c>
      <c r="L1918">
        <v>2390374230</v>
      </c>
      <c r="M1918">
        <v>1572246182</v>
      </c>
      <c r="N1918">
        <v>1281825453</v>
      </c>
      <c r="O1918">
        <v>1235780823</v>
      </c>
      <c r="P1918">
        <v>237</v>
      </c>
      <c r="Q1918" t="s">
        <v>4157</v>
      </c>
    </row>
    <row r="1919" spans="1:17" x14ac:dyDescent="0.3">
      <c r="A1919" t="s">
        <v>47</v>
      </c>
      <c r="B1919" t="str">
        <f>"002292"</f>
        <v>002292</v>
      </c>
      <c r="C1919" t="s">
        <v>4158</v>
      </c>
      <c r="D1919" t="s">
        <v>1673</v>
      </c>
      <c r="E1919">
        <v>5461243278</v>
      </c>
      <c r="F1919">
        <v>5711029833</v>
      </c>
      <c r="G1919">
        <v>6083841793</v>
      </c>
      <c r="H1919">
        <v>6382132931</v>
      </c>
      <c r="I1919">
        <v>9357437749</v>
      </c>
      <c r="J1919">
        <v>8242151170</v>
      </c>
      <c r="K1919">
        <v>7589170148</v>
      </c>
      <c r="L1919">
        <v>4151368403</v>
      </c>
      <c r="M1919">
        <v>3178463740</v>
      </c>
      <c r="N1919">
        <v>1956656536</v>
      </c>
      <c r="O1919">
        <v>1633317887</v>
      </c>
      <c r="P1919">
        <v>291</v>
      </c>
      <c r="Q1919" t="s">
        <v>4159</v>
      </c>
    </row>
    <row r="1920" spans="1:17" x14ac:dyDescent="0.3">
      <c r="A1920" t="s">
        <v>17</v>
      </c>
      <c r="B1920" t="str">
        <f>"688105"</f>
        <v>688105</v>
      </c>
      <c r="C1920" t="s">
        <v>4160</v>
      </c>
      <c r="D1920" t="s">
        <v>2322</v>
      </c>
      <c r="E1920">
        <v>5458970213</v>
      </c>
      <c r="P1920">
        <v>51</v>
      </c>
      <c r="Q1920" t="s">
        <v>4161</v>
      </c>
    </row>
    <row r="1921" spans="1:17" x14ac:dyDescent="0.3">
      <c r="A1921" t="s">
        <v>47</v>
      </c>
      <c r="B1921" t="str">
        <f>"000801"</f>
        <v>000801</v>
      </c>
      <c r="C1921" t="s">
        <v>4162</v>
      </c>
      <c r="D1921" t="s">
        <v>2588</v>
      </c>
      <c r="E1921">
        <v>5449999680</v>
      </c>
      <c r="F1921">
        <v>5162910020</v>
      </c>
      <c r="G1921">
        <v>5453123167</v>
      </c>
      <c r="H1921">
        <v>5379044447</v>
      </c>
      <c r="I1921">
        <v>5058134521</v>
      </c>
      <c r="J1921">
        <v>4912964440</v>
      </c>
      <c r="K1921">
        <v>5050296624</v>
      </c>
      <c r="L1921">
        <v>4229992955</v>
      </c>
      <c r="M1921">
        <v>3202903292</v>
      </c>
      <c r="N1921">
        <v>2747071777</v>
      </c>
      <c r="O1921">
        <v>2138992670</v>
      </c>
      <c r="P1921">
        <v>218</v>
      </c>
      <c r="Q1921" t="s">
        <v>4163</v>
      </c>
    </row>
    <row r="1922" spans="1:17" x14ac:dyDescent="0.3">
      <c r="A1922" t="s">
        <v>47</v>
      </c>
      <c r="B1922" t="str">
        <f>"300738"</f>
        <v>300738</v>
      </c>
      <c r="C1922" t="s">
        <v>4164</v>
      </c>
      <c r="D1922" t="s">
        <v>700</v>
      </c>
      <c r="E1922">
        <v>5449713030</v>
      </c>
      <c r="F1922">
        <v>3482526592</v>
      </c>
      <c r="G1922">
        <v>1708898982</v>
      </c>
      <c r="H1922">
        <v>1347125152</v>
      </c>
      <c r="I1922">
        <v>623945344</v>
      </c>
      <c r="P1922">
        <v>300</v>
      </c>
      <c r="Q1922" t="s">
        <v>4165</v>
      </c>
    </row>
    <row r="1923" spans="1:17" x14ac:dyDescent="0.3">
      <c r="A1923" t="s">
        <v>47</v>
      </c>
      <c r="B1923" t="str">
        <f>"002960"</f>
        <v>002960</v>
      </c>
      <c r="C1923" t="s">
        <v>4166</v>
      </c>
      <c r="D1923" t="s">
        <v>1092</v>
      </c>
      <c r="E1923">
        <v>5448395346</v>
      </c>
      <c r="F1923">
        <v>4391334760</v>
      </c>
      <c r="G1923">
        <v>3402150680</v>
      </c>
      <c r="H1923">
        <v>2114017100</v>
      </c>
      <c r="P1923">
        <v>389</v>
      </c>
      <c r="Q1923" t="s">
        <v>4167</v>
      </c>
    </row>
    <row r="1924" spans="1:17" x14ac:dyDescent="0.3">
      <c r="A1924" t="s">
        <v>47</v>
      </c>
      <c r="B1924" t="str">
        <f>"300233"</f>
        <v>300233</v>
      </c>
      <c r="C1924" t="s">
        <v>4168</v>
      </c>
      <c r="D1924" t="s">
        <v>550</v>
      </c>
      <c r="E1924">
        <v>5447487027</v>
      </c>
      <c r="F1924">
        <v>5056843328</v>
      </c>
      <c r="G1924">
        <v>5605609774</v>
      </c>
      <c r="H1924">
        <v>5322678528</v>
      </c>
      <c r="I1924">
        <v>5015988730</v>
      </c>
      <c r="J1924">
        <v>4745927230</v>
      </c>
      <c r="K1924">
        <v>2028537993</v>
      </c>
      <c r="L1924">
        <v>1802850067</v>
      </c>
      <c r="M1924">
        <v>1591774755</v>
      </c>
      <c r="N1924">
        <v>1468223816</v>
      </c>
      <c r="O1924">
        <v>1401530582</v>
      </c>
      <c r="P1924">
        <v>202</v>
      </c>
      <c r="Q1924" t="s">
        <v>4169</v>
      </c>
    </row>
    <row r="1925" spans="1:17" x14ac:dyDescent="0.3">
      <c r="A1925" t="s">
        <v>17</v>
      </c>
      <c r="B1925" t="str">
        <f>"603730"</f>
        <v>603730</v>
      </c>
      <c r="C1925" t="s">
        <v>4170</v>
      </c>
      <c r="D1925" t="s">
        <v>416</v>
      </c>
      <c r="E1925">
        <v>5438736197</v>
      </c>
      <c r="F1925">
        <v>5330006627</v>
      </c>
      <c r="G1925">
        <v>5366665188</v>
      </c>
      <c r="H1925">
        <v>5372460809</v>
      </c>
      <c r="I1925">
        <v>4038796166</v>
      </c>
      <c r="J1925">
        <v>2647689134</v>
      </c>
      <c r="P1925">
        <v>522</v>
      </c>
      <c r="Q1925" t="s">
        <v>4171</v>
      </c>
    </row>
    <row r="1926" spans="1:17" x14ac:dyDescent="0.3">
      <c r="A1926" t="s">
        <v>17</v>
      </c>
      <c r="B1926" t="str">
        <f>"603132"</f>
        <v>603132</v>
      </c>
      <c r="C1926" t="s">
        <v>4172</v>
      </c>
      <c r="E1926">
        <v>5434059840</v>
      </c>
      <c r="P1926">
        <v>10</v>
      </c>
      <c r="Q1926" t="s">
        <v>4173</v>
      </c>
    </row>
    <row r="1927" spans="1:17" x14ac:dyDescent="0.3">
      <c r="A1927" t="s">
        <v>17</v>
      </c>
      <c r="B1927" t="str">
        <f>"603186"</f>
        <v>603186</v>
      </c>
      <c r="C1927" t="s">
        <v>4174</v>
      </c>
      <c r="D1927" t="s">
        <v>1115</v>
      </c>
      <c r="E1927">
        <v>5427886748</v>
      </c>
      <c r="F1927">
        <v>3825164724</v>
      </c>
      <c r="G1927">
        <v>2480796756</v>
      </c>
      <c r="H1927">
        <v>2279390671</v>
      </c>
      <c r="I1927">
        <v>1957149745</v>
      </c>
      <c r="J1927">
        <v>1429890468</v>
      </c>
      <c r="P1927">
        <v>328</v>
      </c>
      <c r="Q1927" t="s">
        <v>4175</v>
      </c>
    </row>
    <row r="1928" spans="1:17" x14ac:dyDescent="0.3">
      <c r="A1928" t="s">
        <v>47</v>
      </c>
      <c r="B1928" t="str">
        <f>"301017"</f>
        <v>301017</v>
      </c>
      <c r="C1928" t="s">
        <v>4176</v>
      </c>
      <c r="D1928" t="s">
        <v>1852</v>
      </c>
      <c r="E1928">
        <v>5423578892</v>
      </c>
      <c r="F1928">
        <v>3607488136</v>
      </c>
      <c r="P1928">
        <v>36</v>
      </c>
      <c r="Q1928" t="s">
        <v>4177</v>
      </c>
    </row>
    <row r="1929" spans="1:17" x14ac:dyDescent="0.3">
      <c r="A1929" t="s">
        <v>47</v>
      </c>
      <c r="B1929" t="str">
        <f>"300349"</f>
        <v>300349</v>
      </c>
      <c r="C1929" t="s">
        <v>4178</v>
      </c>
      <c r="D1929" t="s">
        <v>3722</v>
      </c>
      <c r="E1929">
        <v>5418928038</v>
      </c>
      <c r="F1929">
        <v>5331337161</v>
      </c>
      <c r="G1929">
        <v>5005590060</v>
      </c>
      <c r="H1929">
        <v>4734743183</v>
      </c>
      <c r="I1929">
        <v>4010147058</v>
      </c>
      <c r="J1929">
        <v>3328597334</v>
      </c>
      <c r="K1929">
        <v>1229485236</v>
      </c>
      <c r="L1929">
        <v>1126947695</v>
      </c>
      <c r="M1929">
        <v>1044868530</v>
      </c>
      <c r="N1929">
        <v>798545653</v>
      </c>
      <c r="P1929">
        <v>395</v>
      </c>
      <c r="Q1929" t="s">
        <v>4179</v>
      </c>
    </row>
    <row r="1930" spans="1:17" x14ac:dyDescent="0.3">
      <c r="A1930" t="s">
        <v>17</v>
      </c>
      <c r="B1930" t="str">
        <f>"603987"</f>
        <v>603987</v>
      </c>
      <c r="C1930" t="s">
        <v>4180</v>
      </c>
      <c r="D1930" t="s">
        <v>1650</v>
      </c>
      <c r="E1930">
        <v>5411810381</v>
      </c>
      <c r="F1930">
        <v>4384979735</v>
      </c>
      <c r="G1930">
        <v>3970707436</v>
      </c>
      <c r="H1930">
        <v>2164036555</v>
      </c>
      <c r="I1930">
        <v>1603885853</v>
      </c>
      <c r="J1930">
        <v>1532019085</v>
      </c>
      <c r="P1930">
        <v>266</v>
      </c>
      <c r="Q1930" t="s">
        <v>4181</v>
      </c>
    </row>
    <row r="1931" spans="1:17" x14ac:dyDescent="0.3">
      <c r="A1931" t="s">
        <v>47</v>
      </c>
      <c r="B1931" t="str">
        <f>"002582"</f>
        <v>002582</v>
      </c>
      <c r="C1931" t="s">
        <v>4182</v>
      </c>
      <c r="D1931" t="s">
        <v>3331</v>
      </c>
      <c r="E1931">
        <v>5408254745</v>
      </c>
      <c r="F1931">
        <v>6077203618</v>
      </c>
      <c r="G1931">
        <v>5424719872</v>
      </c>
      <c r="H1931">
        <v>5328780404</v>
      </c>
      <c r="I1931">
        <v>5155487044</v>
      </c>
      <c r="J1931">
        <v>4583602579</v>
      </c>
      <c r="K1931">
        <v>2399450816</v>
      </c>
      <c r="L1931">
        <v>2147281029</v>
      </c>
      <c r="M1931">
        <v>1552109567</v>
      </c>
      <c r="N1931">
        <v>1694208645</v>
      </c>
      <c r="O1931">
        <v>1593304233</v>
      </c>
      <c r="P1931">
        <v>439</v>
      </c>
      <c r="Q1931" t="s">
        <v>4183</v>
      </c>
    </row>
    <row r="1932" spans="1:17" x14ac:dyDescent="0.3">
      <c r="A1932" t="s">
        <v>47</v>
      </c>
      <c r="B1932" t="str">
        <f>"300477"</f>
        <v>300477</v>
      </c>
      <c r="C1932" t="s">
        <v>4184</v>
      </c>
      <c r="D1932" t="s">
        <v>459</v>
      </c>
      <c r="E1932">
        <v>5395423391</v>
      </c>
      <c r="F1932">
        <v>4080363313</v>
      </c>
      <c r="G1932">
        <v>4713167785</v>
      </c>
      <c r="H1932">
        <v>4672032873</v>
      </c>
      <c r="I1932">
        <v>4186942291</v>
      </c>
      <c r="J1932">
        <v>1955762339</v>
      </c>
      <c r="K1932">
        <v>1551257833</v>
      </c>
      <c r="L1932">
        <v>1034115323</v>
      </c>
      <c r="P1932">
        <v>100</v>
      </c>
      <c r="Q1932" t="s">
        <v>4185</v>
      </c>
    </row>
    <row r="1933" spans="1:17" x14ac:dyDescent="0.3">
      <c r="A1933" t="s">
        <v>17</v>
      </c>
      <c r="B1933" t="str">
        <f>"603063"</f>
        <v>603063</v>
      </c>
      <c r="C1933" t="s">
        <v>4186</v>
      </c>
      <c r="D1933" t="s">
        <v>2013</v>
      </c>
      <c r="E1933">
        <v>5383669085</v>
      </c>
      <c r="F1933">
        <v>4459827553</v>
      </c>
      <c r="G1933">
        <v>4337199263</v>
      </c>
      <c r="H1933">
        <v>3700078978</v>
      </c>
      <c r="I1933">
        <v>2777424009</v>
      </c>
      <c r="P1933">
        <v>212</v>
      </c>
      <c r="Q1933" t="s">
        <v>4187</v>
      </c>
    </row>
    <row r="1934" spans="1:17" x14ac:dyDescent="0.3">
      <c r="A1934" t="s">
        <v>47</v>
      </c>
      <c r="B1934" t="str">
        <f>"002967"</f>
        <v>002967</v>
      </c>
      <c r="C1934" t="s">
        <v>4188</v>
      </c>
      <c r="D1934" t="s">
        <v>3772</v>
      </c>
      <c r="E1934">
        <v>5382317123</v>
      </c>
      <c r="F1934">
        <v>3579231411</v>
      </c>
      <c r="G1934">
        <v>2845480565</v>
      </c>
      <c r="H1934">
        <v>2100643921</v>
      </c>
      <c r="I1934">
        <v>1415992149</v>
      </c>
      <c r="P1934">
        <v>236</v>
      </c>
      <c r="Q1934" t="s">
        <v>4189</v>
      </c>
    </row>
    <row r="1935" spans="1:17" x14ac:dyDescent="0.3">
      <c r="A1935" t="s">
        <v>47</v>
      </c>
      <c r="B1935" t="str">
        <f>"002645"</f>
        <v>002645</v>
      </c>
      <c r="C1935" t="s">
        <v>4190</v>
      </c>
      <c r="D1935" t="s">
        <v>1347</v>
      </c>
      <c r="E1935">
        <v>5378671151</v>
      </c>
      <c r="F1935">
        <v>4242084167</v>
      </c>
      <c r="G1935">
        <v>3506086322</v>
      </c>
      <c r="H1935">
        <v>2565863554</v>
      </c>
      <c r="I1935">
        <v>2414026047</v>
      </c>
      <c r="J1935">
        <v>1849846783</v>
      </c>
      <c r="K1935">
        <v>1723737308</v>
      </c>
      <c r="L1935">
        <v>881473769</v>
      </c>
      <c r="M1935">
        <v>837122938</v>
      </c>
      <c r="N1935">
        <v>814433878</v>
      </c>
      <c r="O1935">
        <v>823607341</v>
      </c>
      <c r="P1935">
        <v>204</v>
      </c>
      <c r="Q1935" t="s">
        <v>4191</v>
      </c>
    </row>
    <row r="1936" spans="1:17" x14ac:dyDescent="0.3">
      <c r="A1936" t="s">
        <v>17</v>
      </c>
      <c r="B1936" t="str">
        <f>"603639"</f>
        <v>603639</v>
      </c>
      <c r="C1936" t="s">
        <v>4192</v>
      </c>
      <c r="D1936" t="s">
        <v>819</v>
      </c>
      <c r="E1936">
        <v>5374204833</v>
      </c>
      <c r="F1936">
        <v>4187441262</v>
      </c>
      <c r="G1936">
        <v>3834952342</v>
      </c>
      <c r="H1936">
        <v>3486450905</v>
      </c>
      <c r="I1936">
        <v>2416095970</v>
      </c>
      <c r="J1936">
        <v>1949574974</v>
      </c>
      <c r="P1936">
        <v>1565</v>
      </c>
      <c r="Q1936" t="s">
        <v>4193</v>
      </c>
    </row>
    <row r="1937" spans="1:17" x14ac:dyDescent="0.3">
      <c r="A1937" t="s">
        <v>47</v>
      </c>
      <c r="B1937" t="str">
        <f>"002950"</f>
        <v>002950</v>
      </c>
      <c r="C1937" t="s">
        <v>4194</v>
      </c>
      <c r="D1937" t="s">
        <v>1650</v>
      </c>
      <c r="E1937">
        <v>5372216901</v>
      </c>
      <c r="F1937">
        <v>5299173299</v>
      </c>
      <c r="G1937">
        <v>3727891701</v>
      </c>
      <c r="H1937">
        <v>3521579835</v>
      </c>
      <c r="P1937">
        <v>1080</v>
      </c>
      <c r="Q1937" t="s">
        <v>4195</v>
      </c>
    </row>
    <row r="1938" spans="1:17" x14ac:dyDescent="0.3">
      <c r="A1938" t="s">
        <v>17</v>
      </c>
      <c r="B1938" t="str">
        <f>"603890"</f>
        <v>603890</v>
      </c>
      <c r="C1938" t="s">
        <v>4196</v>
      </c>
      <c r="D1938" t="s">
        <v>283</v>
      </c>
      <c r="E1938">
        <v>5367444634</v>
      </c>
      <c r="F1938">
        <v>4577800381</v>
      </c>
      <c r="G1938">
        <v>2975800807</v>
      </c>
      <c r="H1938">
        <v>2501674239</v>
      </c>
      <c r="I1938">
        <v>2187363764</v>
      </c>
      <c r="P1938">
        <v>155</v>
      </c>
      <c r="Q1938" t="s">
        <v>4197</v>
      </c>
    </row>
    <row r="1939" spans="1:17" x14ac:dyDescent="0.3">
      <c r="A1939" t="s">
        <v>17</v>
      </c>
      <c r="B1939" t="str">
        <f>"600550"</f>
        <v>600550</v>
      </c>
      <c r="C1939" t="s">
        <v>4198</v>
      </c>
      <c r="D1939" t="s">
        <v>459</v>
      </c>
      <c r="E1939">
        <v>5367019847</v>
      </c>
      <c r="F1939">
        <v>5023385758</v>
      </c>
      <c r="G1939">
        <v>6060894171</v>
      </c>
      <c r="H1939">
        <v>6665904653</v>
      </c>
      <c r="I1939">
        <v>8927744061</v>
      </c>
      <c r="J1939">
        <v>9811528489</v>
      </c>
      <c r="K1939">
        <v>8725324623</v>
      </c>
      <c r="L1939">
        <v>9207638628</v>
      </c>
      <c r="M1939">
        <v>9632061892</v>
      </c>
      <c r="N1939">
        <v>15309699255</v>
      </c>
      <c r="O1939">
        <v>17819755456</v>
      </c>
      <c r="P1939">
        <v>183</v>
      </c>
      <c r="Q1939" t="s">
        <v>4199</v>
      </c>
    </row>
    <row r="1940" spans="1:17" x14ac:dyDescent="0.3">
      <c r="A1940" t="s">
        <v>17</v>
      </c>
      <c r="B1940" t="str">
        <f>"688219"</f>
        <v>688219</v>
      </c>
      <c r="C1940" t="s">
        <v>4200</v>
      </c>
      <c r="D1940" t="s">
        <v>833</v>
      </c>
      <c r="E1940">
        <v>5352548517</v>
      </c>
      <c r="F1940">
        <v>4569870357</v>
      </c>
      <c r="P1940">
        <v>50</v>
      </c>
      <c r="Q1940" t="s">
        <v>4201</v>
      </c>
    </row>
    <row r="1941" spans="1:17" x14ac:dyDescent="0.3">
      <c r="A1941" t="s">
        <v>47</v>
      </c>
      <c r="B1941" t="str">
        <f>"300110"</f>
        <v>300110</v>
      </c>
      <c r="C1941" t="s">
        <v>4202</v>
      </c>
      <c r="D1941" t="s">
        <v>550</v>
      </c>
      <c r="E1941">
        <v>5342879730</v>
      </c>
      <c r="F1941">
        <v>4093793603</v>
      </c>
      <c r="G1941">
        <v>2750379314</v>
      </c>
      <c r="H1941">
        <v>3053308283</v>
      </c>
      <c r="I1941">
        <v>3201956670</v>
      </c>
      <c r="J1941">
        <v>2799107908</v>
      </c>
      <c r="K1941">
        <v>2851692570</v>
      </c>
      <c r="L1941">
        <v>2675946883</v>
      </c>
      <c r="M1941">
        <v>2285956546</v>
      </c>
      <c r="N1941">
        <v>1902861274</v>
      </c>
      <c r="O1941">
        <v>1480887452</v>
      </c>
      <c r="P1941">
        <v>126</v>
      </c>
      <c r="Q1941" t="s">
        <v>4203</v>
      </c>
    </row>
    <row r="1942" spans="1:17" x14ac:dyDescent="0.3">
      <c r="A1942" t="s">
        <v>17</v>
      </c>
      <c r="B1942" t="str">
        <f>"603026"</f>
        <v>603026</v>
      </c>
      <c r="C1942" t="s">
        <v>4204</v>
      </c>
      <c r="D1942" t="s">
        <v>1017</v>
      </c>
      <c r="E1942">
        <v>5340174190</v>
      </c>
      <c r="F1942">
        <v>3499204588</v>
      </c>
      <c r="G1942">
        <v>3295636403</v>
      </c>
      <c r="H1942">
        <v>2999608649</v>
      </c>
      <c r="I1942">
        <v>2926779062</v>
      </c>
      <c r="J1942">
        <v>2308223518</v>
      </c>
      <c r="K1942">
        <v>2138905273</v>
      </c>
      <c r="L1942">
        <v>2129360113</v>
      </c>
      <c r="P1942">
        <v>420</v>
      </c>
      <c r="Q1942" t="s">
        <v>4205</v>
      </c>
    </row>
    <row r="1943" spans="1:17" x14ac:dyDescent="0.3">
      <c r="A1943" t="s">
        <v>47</v>
      </c>
      <c r="B1943" t="str">
        <f>"002181"</f>
        <v>002181</v>
      </c>
      <c r="C1943" t="s">
        <v>4206</v>
      </c>
      <c r="D1943" t="s">
        <v>1288</v>
      </c>
      <c r="E1943">
        <v>5328312792</v>
      </c>
      <c r="F1943">
        <v>5088565447</v>
      </c>
      <c r="G1943">
        <v>4554575159</v>
      </c>
      <c r="H1943">
        <v>4351675936</v>
      </c>
      <c r="I1943">
        <v>4280891791</v>
      </c>
      <c r="J1943">
        <v>4601357557</v>
      </c>
      <c r="K1943">
        <v>4462673644</v>
      </c>
      <c r="L1943">
        <v>4982937524</v>
      </c>
      <c r="M1943">
        <v>4290611900</v>
      </c>
      <c r="N1943">
        <v>4058409999</v>
      </c>
      <c r="O1943">
        <v>1408902989</v>
      </c>
      <c r="P1943">
        <v>107</v>
      </c>
      <c r="Q1943" t="s">
        <v>4207</v>
      </c>
    </row>
    <row r="1944" spans="1:17" x14ac:dyDescent="0.3">
      <c r="A1944" t="s">
        <v>47</v>
      </c>
      <c r="B1944" t="str">
        <f>"300747"</f>
        <v>300747</v>
      </c>
      <c r="C1944" t="s">
        <v>4208</v>
      </c>
      <c r="D1944" t="s">
        <v>1296</v>
      </c>
      <c r="E1944">
        <v>5326689962</v>
      </c>
      <c r="F1944">
        <v>3835290973</v>
      </c>
      <c r="G1944">
        <v>3043209008</v>
      </c>
      <c r="H1944">
        <v>2593148329</v>
      </c>
      <c r="I1944">
        <v>925974200</v>
      </c>
      <c r="P1944">
        <v>3347</v>
      </c>
      <c r="Q1944" t="s">
        <v>4209</v>
      </c>
    </row>
    <row r="1945" spans="1:17" x14ac:dyDescent="0.3">
      <c r="A1945" t="s">
        <v>47</v>
      </c>
      <c r="B1945" t="str">
        <f>"300170"</f>
        <v>300170</v>
      </c>
      <c r="C1945" t="s">
        <v>4210</v>
      </c>
      <c r="D1945" t="s">
        <v>700</v>
      </c>
      <c r="E1945">
        <v>5315199123</v>
      </c>
      <c r="F1945">
        <v>5008964768</v>
      </c>
      <c r="G1945">
        <v>4259542423</v>
      </c>
      <c r="H1945">
        <v>3838695799</v>
      </c>
      <c r="I1945">
        <v>3270161332</v>
      </c>
      <c r="J1945">
        <v>2649500556</v>
      </c>
      <c r="K1945">
        <v>2163504649</v>
      </c>
      <c r="L1945">
        <v>1746181869</v>
      </c>
      <c r="M1945">
        <v>1527162226</v>
      </c>
      <c r="N1945">
        <v>1318411537</v>
      </c>
      <c r="O1945">
        <v>1124165492</v>
      </c>
      <c r="P1945">
        <v>3198</v>
      </c>
      <c r="Q1945" t="s">
        <v>4211</v>
      </c>
    </row>
    <row r="1946" spans="1:17" x14ac:dyDescent="0.3">
      <c r="A1946" t="s">
        <v>17</v>
      </c>
      <c r="B1946" t="str">
        <f>"605368"</f>
        <v>605368</v>
      </c>
      <c r="C1946" t="s">
        <v>4212</v>
      </c>
      <c r="D1946" t="s">
        <v>476</v>
      </c>
      <c r="E1946">
        <v>5310338070</v>
      </c>
      <c r="F1946">
        <v>4506026240</v>
      </c>
      <c r="H1946">
        <v>3436247082</v>
      </c>
      <c r="I1946">
        <v>3178314945</v>
      </c>
      <c r="P1946">
        <v>60</v>
      </c>
      <c r="Q1946" t="s">
        <v>4213</v>
      </c>
    </row>
    <row r="1947" spans="1:17" x14ac:dyDescent="0.3">
      <c r="A1947" t="s">
        <v>17</v>
      </c>
      <c r="B1947" t="str">
        <f>"688676"</f>
        <v>688676</v>
      </c>
      <c r="C1947" t="s">
        <v>4214</v>
      </c>
      <c r="D1947" t="s">
        <v>459</v>
      </c>
      <c r="E1947">
        <v>5306443632</v>
      </c>
      <c r="F1947">
        <v>4419479507</v>
      </c>
      <c r="P1947">
        <v>42</v>
      </c>
      <c r="Q1947" t="s">
        <v>4215</v>
      </c>
    </row>
    <row r="1948" spans="1:17" x14ac:dyDescent="0.3">
      <c r="A1948" t="s">
        <v>47</v>
      </c>
      <c r="B1948" t="str">
        <f>"000922"</f>
        <v>000922</v>
      </c>
      <c r="C1948" t="s">
        <v>4216</v>
      </c>
      <c r="D1948" t="s">
        <v>1594</v>
      </c>
      <c r="E1948">
        <v>5305177716</v>
      </c>
      <c r="F1948">
        <v>4827844993</v>
      </c>
      <c r="G1948">
        <v>3547978512</v>
      </c>
      <c r="H1948">
        <v>3323255506</v>
      </c>
      <c r="I1948">
        <v>2797724080</v>
      </c>
      <c r="J1948">
        <v>2785739528</v>
      </c>
      <c r="K1948">
        <v>3167258512</v>
      </c>
      <c r="L1948">
        <v>3773068141</v>
      </c>
      <c r="M1948">
        <v>3091736979</v>
      </c>
      <c r="N1948">
        <v>2821938298</v>
      </c>
      <c r="O1948">
        <v>344074193</v>
      </c>
      <c r="P1948">
        <v>261</v>
      </c>
      <c r="Q1948" t="s">
        <v>4217</v>
      </c>
    </row>
    <row r="1949" spans="1:17" x14ac:dyDescent="0.3">
      <c r="A1949" t="s">
        <v>17</v>
      </c>
      <c r="B1949" t="str">
        <f>"603197"</f>
        <v>603197</v>
      </c>
      <c r="C1949" t="s">
        <v>4218</v>
      </c>
      <c r="D1949" t="s">
        <v>1815</v>
      </c>
      <c r="E1949">
        <v>5300469847</v>
      </c>
      <c r="F1949">
        <v>4097059149</v>
      </c>
      <c r="G1949">
        <v>3778221089</v>
      </c>
      <c r="H1949">
        <v>3814964422</v>
      </c>
      <c r="I1949">
        <v>2552377673</v>
      </c>
      <c r="J1949">
        <v>1781549854</v>
      </c>
      <c r="P1949">
        <v>357</v>
      </c>
      <c r="Q1949" t="s">
        <v>4219</v>
      </c>
    </row>
    <row r="1950" spans="1:17" x14ac:dyDescent="0.3">
      <c r="A1950" t="s">
        <v>17</v>
      </c>
      <c r="B1950" t="str">
        <f>"600408"</f>
        <v>600408</v>
      </c>
      <c r="C1950" t="s">
        <v>4220</v>
      </c>
      <c r="D1950" t="s">
        <v>1279</v>
      </c>
      <c r="E1950">
        <v>5294938280</v>
      </c>
      <c r="F1950">
        <v>5740553125</v>
      </c>
      <c r="G1950">
        <v>5661395851</v>
      </c>
      <c r="H1950">
        <v>5231637023</v>
      </c>
      <c r="I1950">
        <v>5401202356</v>
      </c>
      <c r="J1950">
        <v>6585560079</v>
      </c>
      <c r="K1950">
        <v>6580802581</v>
      </c>
      <c r="L1950">
        <v>7608755190</v>
      </c>
      <c r="M1950">
        <v>7144214126</v>
      </c>
      <c r="N1950">
        <v>7211652964</v>
      </c>
      <c r="O1950">
        <v>7140571211</v>
      </c>
      <c r="P1950">
        <v>93</v>
      </c>
      <c r="Q1950" t="s">
        <v>4221</v>
      </c>
    </row>
    <row r="1951" spans="1:17" x14ac:dyDescent="0.3">
      <c r="A1951" t="s">
        <v>17</v>
      </c>
      <c r="B1951" t="str">
        <f>"600561"</f>
        <v>600561</v>
      </c>
      <c r="C1951" t="s">
        <v>4222</v>
      </c>
      <c r="D1951" t="s">
        <v>1773</v>
      </c>
      <c r="E1951">
        <v>5289125898</v>
      </c>
      <c r="F1951">
        <v>5771992281</v>
      </c>
      <c r="G1951">
        <v>5810202549</v>
      </c>
      <c r="H1951">
        <v>6140078505</v>
      </c>
      <c r="I1951">
        <v>6902986408</v>
      </c>
      <c r="J1951">
        <v>6785337413</v>
      </c>
      <c r="K1951">
        <v>5936300435</v>
      </c>
      <c r="L1951">
        <v>4885464356</v>
      </c>
      <c r="M1951">
        <v>4322499344</v>
      </c>
      <c r="N1951">
        <v>3749241178</v>
      </c>
      <c r="O1951">
        <v>3252997455</v>
      </c>
      <c r="P1951">
        <v>59</v>
      </c>
      <c r="Q1951" t="s">
        <v>4223</v>
      </c>
    </row>
    <row r="1952" spans="1:17" x14ac:dyDescent="0.3">
      <c r="A1952" t="s">
        <v>47</v>
      </c>
      <c r="B1952" t="str">
        <f>"000833"</f>
        <v>000833</v>
      </c>
      <c r="C1952" t="s">
        <v>4224</v>
      </c>
      <c r="D1952" t="s">
        <v>810</v>
      </c>
      <c r="E1952">
        <v>5288945479</v>
      </c>
      <c r="F1952">
        <v>5030339026</v>
      </c>
      <c r="G1952">
        <v>4487651563</v>
      </c>
      <c r="H1952">
        <v>4056607387</v>
      </c>
      <c r="I1952">
        <v>3778948847</v>
      </c>
      <c r="J1952">
        <v>3505893205</v>
      </c>
      <c r="K1952">
        <v>3354653364</v>
      </c>
      <c r="L1952">
        <v>1263737871</v>
      </c>
      <c r="M1952">
        <v>1350384045</v>
      </c>
      <c r="N1952">
        <v>1398922743</v>
      </c>
      <c r="O1952">
        <v>1503064904</v>
      </c>
      <c r="P1952">
        <v>88</v>
      </c>
      <c r="Q1952" t="s">
        <v>4225</v>
      </c>
    </row>
    <row r="1953" spans="1:17" x14ac:dyDescent="0.3">
      <c r="A1953" t="s">
        <v>47</v>
      </c>
      <c r="B1953" t="str">
        <f>"002393"</f>
        <v>002393</v>
      </c>
      <c r="C1953" t="s">
        <v>4226</v>
      </c>
      <c r="D1953" t="s">
        <v>550</v>
      </c>
      <c r="E1953">
        <v>5277937904</v>
      </c>
      <c r="F1953">
        <v>5060932439</v>
      </c>
      <c r="G1953">
        <v>5283753002</v>
      </c>
      <c r="H1953">
        <v>3969144133</v>
      </c>
      <c r="I1953">
        <v>3815615835</v>
      </c>
      <c r="J1953">
        <v>3541030407</v>
      </c>
      <c r="K1953">
        <v>3421136565</v>
      </c>
      <c r="L1953">
        <v>3252053053</v>
      </c>
      <c r="M1953">
        <v>3264068529</v>
      </c>
      <c r="N1953">
        <v>3036851446</v>
      </c>
      <c r="O1953">
        <v>2980099399</v>
      </c>
      <c r="P1953">
        <v>153</v>
      </c>
      <c r="Q1953" t="s">
        <v>4227</v>
      </c>
    </row>
    <row r="1954" spans="1:17" x14ac:dyDescent="0.3">
      <c r="A1954" t="s">
        <v>47</v>
      </c>
      <c r="B1954" t="str">
        <f>"002932"</f>
        <v>002932</v>
      </c>
      <c r="C1954" t="s">
        <v>4228</v>
      </c>
      <c r="D1954" t="s">
        <v>2322</v>
      </c>
      <c r="E1954">
        <v>5275986998</v>
      </c>
      <c r="F1954">
        <v>1868430910</v>
      </c>
      <c r="G1954">
        <v>748878899</v>
      </c>
      <c r="H1954">
        <v>630992575</v>
      </c>
      <c r="I1954">
        <v>267209154</v>
      </c>
      <c r="P1954">
        <v>423</v>
      </c>
      <c r="Q1954" t="s">
        <v>4229</v>
      </c>
    </row>
    <row r="1955" spans="1:17" x14ac:dyDescent="0.3">
      <c r="A1955" t="s">
        <v>17</v>
      </c>
      <c r="B1955" t="str">
        <f>"601700"</f>
        <v>601700</v>
      </c>
      <c r="C1955" t="s">
        <v>4230</v>
      </c>
      <c r="D1955" t="s">
        <v>1616</v>
      </c>
      <c r="E1955">
        <v>5272237185</v>
      </c>
      <c r="F1955">
        <v>4942455072</v>
      </c>
      <c r="G1955">
        <v>4675785992</v>
      </c>
      <c r="H1955">
        <v>4584943369</v>
      </c>
      <c r="I1955">
        <v>4776320482</v>
      </c>
      <c r="J1955">
        <v>5403254179</v>
      </c>
      <c r="K1955">
        <v>4327217307</v>
      </c>
      <c r="L1955">
        <v>4120267769</v>
      </c>
      <c r="M1955">
        <v>3505544992</v>
      </c>
      <c r="N1955">
        <v>3293100880</v>
      </c>
      <c r="O1955">
        <v>2893100975</v>
      </c>
      <c r="P1955">
        <v>126</v>
      </c>
      <c r="Q1955" t="s">
        <v>4231</v>
      </c>
    </row>
    <row r="1956" spans="1:17" x14ac:dyDescent="0.3">
      <c r="A1956" t="s">
        <v>47</v>
      </c>
      <c r="B1956" t="str">
        <f>"300947"</f>
        <v>300947</v>
      </c>
      <c r="C1956" t="s">
        <v>4232</v>
      </c>
      <c r="D1956" t="s">
        <v>454</v>
      </c>
      <c r="E1956">
        <v>5271390318</v>
      </c>
      <c r="F1956">
        <v>4084315516</v>
      </c>
      <c r="P1956">
        <v>28</v>
      </c>
      <c r="Q1956" t="s">
        <v>4233</v>
      </c>
    </row>
    <row r="1957" spans="1:17" x14ac:dyDescent="0.3">
      <c r="A1957" t="s">
        <v>47</v>
      </c>
      <c r="B1957" t="str">
        <f>"002905"</f>
        <v>002905</v>
      </c>
      <c r="C1957" t="s">
        <v>4234</v>
      </c>
      <c r="D1957" t="s">
        <v>1315</v>
      </c>
      <c r="E1957">
        <v>5265126081</v>
      </c>
      <c r="F1957">
        <v>5471334283</v>
      </c>
      <c r="G1957">
        <v>2860134294</v>
      </c>
      <c r="H1957">
        <v>2976170717</v>
      </c>
      <c r="I1957">
        <v>3082739648</v>
      </c>
      <c r="P1957">
        <v>133</v>
      </c>
      <c r="Q1957" t="s">
        <v>4235</v>
      </c>
    </row>
    <row r="1958" spans="1:17" x14ac:dyDescent="0.3">
      <c r="A1958" t="s">
        <v>47</v>
      </c>
      <c r="B1958" t="str">
        <f>"002022"</f>
        <v>002022</v>
      </c>
      <c r="C1958" t="s">
        <v>4236</v>
      </c>
      <c r="D1958" t="s">
        <v>2322</v>
      </c>
      <c r="E1958">
        <v>5264661453</v>
      </c>
      <c r="F1958">
        <v>6429473563</v>
      </c>
      <c r="G1958">
        <v>3914643058</v>
      </c>
      <c r="H1958">
        <v>3577151106</v>
      </c>
      <c r="I1958">
        <v>2786865324</v>
      </c>
      <c r="J1958">
        <v>2334150231</v>
      </c>
      <c r="K1958">
        <v>2150001300</v>
      </c>
      <c r="L1958">
        <v>1478166133</v>
      </c>
      <c r="M1958">
        <v>1448877855</v>
      </c>
      <c r="N1958">
        <v>1360426738</v>
      </c>
      <c r="O1958">
        <v>1271555391</v>
      </c>
      <c r="P1958">
        <v>1024</v>
      </c>
      <c r="Q1958" t="s">
        <v>4237</v>
      </c>
    </row>
    <row r="1959" spans="1:17" x14ac:dyDescent="0.3">
      <c r="A1959" t="s">
        <v>17</v>
      </c>
      <c r="B1959" t="str">
        <f>"600594"</f>
        <v>600594</v>
      </c>
      <c r="C1959" t="s">
        <v>4238</v>
      </c>
      <c r="D1959" t="s">
        <v>695</v>
      </c>
      <c r="E1959">
        <v>5263876579</v>
      </c>
      <c r="F1959">
        <v>5343834798</v>
      </c>
      <c r="G1959">
        <v>5612922004</v>
      </c>
      <c r="H1959">
        <v>5729391531</v>
      </c>
      <c r="I1959">
        <v>7442224288</v>
      </c>
      <c r="J1959">
        <v>6808131081</v>
      </c>
      <c r="K1959">
        <v>5598693742</v>
      </c>
      <c r="L1959">
        <v>5303787570</v>
      </c>
      <c r="M1959">
        <v>4112862002</v>
      </c>
      <c r="N1959">
        <v>2173979544</v>
      </c>
      <c r="O1959">
        <v>1877492169</v>
      </c>
      <c r="P1959">
        <v>312</v>
      </c>
      <c r="Q1959" t="s">
        <v>4239</v>
      </c>
    </row>
    <row r="1960" spans="1:17" x14ac:dyDescent="0.3">
      <c r="A1960" t="s">
        <v>47</v>
      </c>
      <c r="B1960" t="str">
        <f>"300184"</f>
        <v>300184</v>
      </c>
      <c r="C1960" t="s">
        <v>4240</v>
      </c>
      <c r="D1960" t="s">
        <v>1609</v>
      </c>
      <c r="E1960">
        <v>5257844061</v>
      </c>
      <c r="F1960">
        <v>4994138750</v>
      </c>
      <c r="G1960">
        <v>6786008074</v>
      </c>
      <c r="H1960">
        <v>6538713404</v>
      </c>
      <c r="I1960">
        <v>6312406782</v>
      </c>
      <c r="J1960">
        <v>6298235234</v>
      </c>
      <c r="K1960">
        <v>1082777403</v>
      </c>
      <c r="L1960">
        <v>890819813</v>
      </c>
      <c r="M1960">
        <v>498013879</v>
      </c>
      <c r="N1960">
        <v>502018471</v>
      </c>
      <c r="O1960">
        <v>481620585</v>
      </c>
      <c r="P1960">
        <v>252</v>
      </c>
      <c r="Q1960" t="s">
        <v>4241</v>
      </c>
    </row>
    <row r="1961" spans="1:17" x14ac:dyDescent="0.3">
      <c r="A1961" t="s">
        <v>17</v>
      </c>
      <c r="B1961" t="str">
        <f>"688151"</f>
        <v>688151</v>
      </c>
      <c r="C1961" t="s">
        <v>4242</v>
      </c>
      <c r="D1961" t="s">
        <v>1344</v>
      </c>
      <c r="E1961">
        <v>5247952916</v>
      </c>
      <c r="P1961">
        <v>13</v>
      </c>
      <c r="Q1961" t="s">
        <v>4243</v>
      </c>
    </row>
    <row r="1962" spans="1:17" x14ac:dyDescent="0.3">
      <c r="A1962" t="s">
        <v>17</v>
      </c>
      <c r="B1962" t="str">
        <f>"603898"</f>
        <v>603898</v>
      </c>
      <c r="C1962" t="s">
        <v>4244</v>
      </c>
      <c r="D1962" t="s">
        <v>1505</v>
      </c>
      <c r="E1962">
        <v>5247022393</v>
      </c>
      <c r="F1962">
        <v>5112641282</v>
      </c>
      <c r="G1962">
        <v>3456815298</v>
      </c>
      <c r="H1962">
        <v>2819555309</v>
      </c>
      <c r="I1962">
        <v>2483703600</v>
      </c>
      <c r="J1962">
        <v>1491806584</v>
      </c>
      <c r="K1962">
        <v>1123195798</v>
      </c>
      <c r="L1962">
        <v>937045914</v>
      </c>
      <c r="P1962">
        <v>835</v>
      </c>
      <c r="Q1962" t="s">
        <v>4245</v>
      </c>
    </row>
    <row r="1963" spans="1:17" x14ac:dyDescent="0.3">
      <c r="A1963" t="s">
        <v>17</v>
      </c>
      <c r="B1963" t="str">
        <f>"605599"</f>
        <v>605599</v>
      </c>
      <c r="C1963" t="s">
        <v>4246</v>
      </c>
      <c r="D1963" t="s">
        <v>1508</v>
      </c>
      <c r="E1963">
        <v>5239532874</v>
      </c>
      <c r="P1963">
        <v>21</v>
      </c>
      <c r="Q1963" t="s">
        <v>4247</v>
      </c>
    </row>
    <row r="1964" spans="1:17" x14ac:dyDescent="0.3">
      <c r="A1964" t="s">
        <v>17</v>
      </c>
      <c r="B1964" t="str">
        <f>"688099"</f>
        <v>688099</v>
      </c>
      <c r="C1964" t="s">
        <v>4248</v>
      </c>
      <c r="D1964" t="s">
        <v>967</v>
      </c>
      <c r="E1964">
        <v>5235303526</v>
      </c>
      <c r="F1964">
        <v>3780065108</v>
      </c>
      <c r="G1964">
        <v>3260281518</v>
      </c>
      <c r="H1964">
        <v>1652200400</v>
      </c>
      <c r="P1964">
        <v>301</v>
      </c>
      <c r="Q1964" t="s">
        <v>4249</v>
      </c>
    </row>
    <row r="1965" spans="1:17" x14ac:dyDescent="0.3">
      <c r="A1965" t="s">
        <v>47</v>
      </c>
      <c r="B1965" t="str">
        <f>"000913"</f>
        <v>000913</v>
      </c>
      <c r="C1965" t="s">
        <v>4250</v>
      </c>
      <c r="D1965" t="s">
        <v>1847</v>
      </c>
      <c r="E1965">
        <v>5234908858</v>
      </c>
      <c r="F1965">
        <v>4592963498</v>
      </c>
      <c r="G1965">
        <v>4811994646</v>
      </c>
      <c r="H1965">
        <v>4321285171</v>
      </c>
      <c r="I1965">
        <v>4258918787</v>
      </c>
      <c r="J1965">
        <v>3919468785</v>
      </c>
      <c r="K1965">
        <v>3331570006</v>
      </c>
      <c r="L1965">
        <v>3615722757</v>
      </c>
      <c r="M1965">
        <v>4123591034</v>
      </c>
      <c r="N1965">
        <v>4050180355</v>
      </c>
      <c r="O1965">
        <v>4044948273</v>
      </c>
      <c r="P1965">
        <v>176</v>
      </c>
      <c r="Q1965" t="s">
        <v>4251</v>
      </c>
    </row>
    <row r="1966" spans="1:17" x14ac:dyDescent="0.3">
      <c r="A1966" t="s">
        <v>47</v>
      </c>
      <c r="B1966" t="str">
        <f>"000818"</f>
        <v>000818</v>
      </c>
      <c r="C1966" t="s">
        <v>4252</v>
      </c>
      <c r="D1966" t="s">
        <v>625</v>
      </c>
      <c r="E1966">
        <v>5210460148</v>
      </c>
      <c r="F1966">
        <v>4958878909</v>
      </c>
      <c r="G1966">
        <v>4513886011</v>
      </c>
      <c r="H1966">
        <v>4062263013</v>
      </c>
      <c r="I1966">
        <v>4061964181</v>
      </c>
      <c r="J1966">
        <v>2754229813</v>
      </c>
      <c r="K1966">
        <v>2545410590</v>
      </c>
      <c r="L1966">
        <v>2603388928</v>
      </c>
      <c r="M1966">
        <v>2760079109</v>
      </c>
      <c r="N1966">
        <v>2706349365</v>
      </c>
      <c r="O1966">
        <v>2574075764</v>
      </c>
      <c r="P1966">
        <v>258</v>
      </c>
      <c r="Q1966" t="s">
        <v>4253</v>
      </c>
    </row>
    <row r="1967" spans="1:17" x14ac:dyDescent="0.3">
      <c r="A1967" t="s">
        <v>17</v>
      </c>
      <c r="B1967" t="str">
        <f>"600800"</f>
        <v>600800</v>
      </c>
      <c r="C1967" t="s">
        <v>4254</v>
      </c>
      <c r="D1967" t="s">
        <v>615</v>
      </c>
      <c r="E1967">
        <v>5207947778</v>
      </c>
      <c r="F1967">
        <v>4850542592</v>
      </c>
      <c r="G1967">
        <v>4037127822</v>
      </c>
      <c r="H1967">
        <v>566982914</v>
      </c>
      <c r="I1967">
        <v>509010825</v>
      </c>
      <c r="J1967">
        <v>575771276</v>
      </c>
      <c r="K1967">
        <v>620572792</v>
      </c>
      <c r="L1967">
        <v>745720268</v>
      </c>
      <c r="M1967">
        <v>699623448</v>
      </c>
      <c r="N1967">
        <v>821214818</v>
      </c>
      <c r="O1967">
        <v>898575195</v>
      </c>
      <c r="P1967">
        <v>147</v>
      </c>
      <c r="Q1967" t="s">
        <v>4255</v>
      </c>
    </row>
    <row r="1968" spans="1:17" x14ac:dyDescent="0.3">
      <c r="A1968" t="s">
        <v>17</v>
      </c>
      <c r="B1968" t="str">
        <f>"603727"</f>
        <v>603727</v>
      </c>
      <c r="C1968" t="s">
        <v>4256</v>
      </c>
      <c r="D1968" t="s">
        <v>533</v>
      </c>
      <c r="E1968">
        <v>5207119547</v>
      </c>
      <c r="F1968">
        <v>4027501894</v>
      </c>
      <c r="G1968">
        <v>3494663510</v>
      </c>
      <c r="H1968">
        <v>2762007012</v>
      </c>
      <c r="I1968">
        <v>2752125385</v>
      </c>
      <c r="J1968">
        <v>3208373632</v>
      </c>
      <c r="P1968">
        <v>123</v>
      </c>
      <c r="Q1968" t="s">
        <v>4257</v>
      </c>
    </row>
    <row r="1969" spans="1:17" x14ac:dyDescent="0.3">
      <c r="A1969" t="s">
        <v>47</v>
      </c>
      <c r="B1969" t="str">
        <f>"002957"</f>
        <v>002957</v>
      </c>
      <c r="C1969" t="s">
        <v>4258</v>
      </c>
      <c r="D1969" t="s">
        <v>1360</v>
      </c>
      <c r="E1969">
        <v>5204856212</v>
      </c>
      <c r="F1969">
        <v>3753403570</v>
      </c>
      <c r="G1969">
        <v>3109264113</v>
      </c>
      <c r="H1969">
        <v>2402820900</v>
      </c>
      <c r="P1969">
        <v>182</v>
      </c>
      <c r="Q1969" t="s">
        <v>4259</v>
      </c>
    </row>
    <row r="1970" spans="1:17" x14ac:dyDescent="0.3">
      <c r="A1970" t="s">
        <v>17</v>
      </c>
      <c r="B1970" t="str">
        <f>"603098"</f>
        <v>603098</v>
      </c>
      <c r="C1970" t="s">
        <v>4260</v>
      </c>
      <c r="D1970" t="s">
        <v>1764</v>
      </c>
      <c r="E1970">
        <v>5202448509</v>
      </c>
      <c r="F1970">
        <v>4821781390</v>
      </c>
      <c r="G1970">
        <v>4784406024</v>
      </c>
      <c r="H1970">
        <v>3449213371</v>
      </c>
      <c r="I1970">
        <v>2608088740</v>
      </c>
      <c r="J1970">
        <v>2046472230</v>
      </c>
      <c r="P1970">
        <v>158</v>
      </c>
      <c r="Q1970" t="s">
        <v>4261</v>
      </c>
    </row>
    <row r="1971" spans="1:17" x14ac:dyDescent="0.3">
      <c r="A1971" t="s">
        <v>47</v>
      </c>
      <c r="B1971" t="str">
        <f>"002678"</f>
        <v>002678</v>
      </c>
      <c r="C1971" t="s">
        <v>4262</v>
      </c>
      <c r="D1971" t="s">
        <v>4263</v>
      </c>
      <c r="E1971">
        <v>5199200165</v>
      </c>
      <c r="F1971">
        <v>4757122640</v>
      </c>
      <c r="G1971">
        <v>4542993427</v>
      </c>
      <c r="H1971">
        <v>4308157650</v>
      </c>
      <c r="I1971">
        <v>4008289950</v>
      </c>
      <c r="J1971">
        <v>3005467419</v>
      </c>
      <c r="K1971">
        <v>2506801025</v>
      </c>
      <c r="L1971">
        <v>2398866079</v>
      </c>
      <c r="M1971">
        <v>2297907706</v>
      </c>
      <c r="N1971">
        <v>2053361689</v>
      </c>
      <c r="O1971">
        <v>1419798379</v>
      </c>
      <c r="P1971">
        <v>113</v>
      </c>
      <c r="Q1971" t="s">
        <v>4264</v>
      </c>
    </row>
    <row r="1972" spans="1:17" x14ac:dyDescent="0.3">
      <c r="A1972" t="s">
        <v>47</v>
      </c>
      <c r="B1972" t="str">
        <f>"002317"</f>
        <v>002317</v>
      </c>
      <c r="C1972" t="s">
        <v>4265</v>
      </c>
      <c r="D1972" t="s">
        <v>695</v>
      </c>
      <c r="E1972">
        <v>5198506321</v>
      </c>
      <c r="F1972">
        <v>5001649528</v>
      </c>
      <c r="G1972">
        <v>5770281653</v>
      </c>
      <c r="H1972">
        <v>5809673118</v>
      </c>
      <c r="I1972">
        <v>5119908217</v>
      </c>
      <c r="J1972">
        <v>4304247998</v>
      </c>
      <c r="K1972">
        <v>3395230198</v>
      </c>
      <c r="L1972">
        <v>2342319705</v>
      </c>
      <c r="M1972">
        <v>2018532542</v>
      </c>
      <c r="N1972">
        <v>1699909441</v>
      </c>
      <c r="O1972">
        <v>1616824434</v>
      </c>
      <c r="P1972">
        <v>344</v>
      </c>
      <c r="Q1972" t="s">
        <v>4266</v>
      </c>
    </row>
    <row r="1973" spans="1:17" x14ac:dyDescent="0.3">
      <c r="A1973" t="s">
        <v>47</v>
      </c>
      <c r="B1973" t="str">
        <f>"300252"</f>
        <v>300252</v>
      </c>
      <c r="C1973" t="s">
        <v>4267</v>
      </c>
      <c r="D1973" t="s">
        <v>1385</v>
      </c>
      <c r="E1973">
        <v>5190941238</v>
      </c>
      <c r="F1973">
        <v>5479456467</v>
      </c>
      <c r="G1973">
        <v>5253822213</v>
      </c>
      <c r="H1973">
        <v>5278632968</v>
      </c>
      <c r="I1973">
        <v>6164798402</v>
      </c>
      <c r="J1973">
        <v>4631434591</v>
      </c>
      <c r="K1973">
        <v>2498794797</v>
      </c>
      <c r="L1973">
        <v>1852884050</v>
      </c>
      <c r="M1973">
        <v>1723020428</v>
      </c>
      <c r="N1973">
        <v>1271879157</v>
      </c>
      <c r="O1973">
        <v>1186251794</v>
      </c>
      <c r="P1973">
        <v>217</v>
      </c>
      <c r="Q1973" t="s">
        <v>4268</v>
      </c>
    </row>
    <row r="1974" spans="1:17" x14ac:dyDescent="0.3">
      <c r="A1974" t="s">
        <v>17</v>
      </c>
      <c r="B1974" t="str">
        <f>"600206"</f>
        <v>600206</v>
      </c>
      <c r="C1974" t="s">
        <v>4269</v>
      </c>
      <c r="D1974" t="s">
        <v>567</v>
      </c>
      <c r="E1974">
        <v>5187081639</v>
      </c>
      <c r="F1974">
        <v>4732176422</v>
      </c>
      <c r="G1974">
        <v>4003936336</v>
      </c>
      <c r="H1974">
        <v>3556836392</v>
      </c>
      <c r="I1974">
        <v>3397583321</v>
      </c>
      <c r="J1974">
        <v>3327291297</v>
      </c>
      <c r="K1974">
        <v>3124046698</v>
      </c>
      <c r="L1974">
        <v>3117194230</v>
      </c>
      <c r="M1974">
        <v>3372275964</v>
      </c>
      <c r="N1974">
        <v>1131724681</v>
      </c>
      <c r="O1974">
        <v>1265089995</v>
      </c>
      <c r="P1974">
        <v>421</v>
      </c>
      <c r="Q1974" t="s">
        <v>4270</v>
      </c>
    </row>
    <row r="1975" spans="1:17" x14ac:dyDescent="0.3">
      <c r="A1975" t="s">
        <v>17</v>
      </c>
      <c r="B1975" t="str">
        <f>"688696"</f>
        <v>688696</v>
      </c>
      <c r="C1975" t="s">
        <v>4271</v>
      </c>
      <c r="D1975" t="s">
        <v>612</v>
      </c>
      <c r="E1975">
        <v>5181776074</v>
      </c>
      <c r="F1975">
        <v>4164195544</v>
      </c>
      <c r="P1975">
        <v>150</v>
      </c>
      <c r="Q1975" t="s">
        <v>4272</v>
      </c>
    </row>
    <row r="1976" spans="1:17" x14ac:dyDescent="0.3">
      <c r="A1976" t="s">
        <v>47</v>
      </c>
      <c r="B1976" t="str">
        <f>"300054"</f>
        <v>300054</v>
      </c>
      <c r="C1976" t="s">
        <v>4273</v>
      </c>
      <c r="D1976" t="s">
        <v>3050</v>
      </c>
      <c r="E1976">
        <v>5178952577</v>
      </c>
      <c r="F1976">
        <v>4564365251</v>
      </c>
      <c r="G1976">
        <v>4271786753</v>
      </c>
      <c r="H1976">
        <v>3928111800</v>
      </c>
      <c r="I1976">
        <v>3941886795</v>
      </c>
      <c r="J1976">
        <v>3852847983</v>
      </c>
      <c r="K1976">
        <v>1806908748</v>
      </c>
      <c r="L1976">
        <v>1603216785</v>
      </c>
      <c r="M1976">
        <v>1492261944</v>
      </c>
      <c r="N1976">
        <v>896630826</v>
      </c>
      <c r="O1976">
        <v>679881029</v>
      </c>
      <c r="P1976">
        <v>367</v>
      </c>
      <c r="Q1976" t="s">
        <v>4274</v>
      </c>
    </row>
    <row r="1977" spans="1:17" x14ac:dyDescent="0.3">
      <c r="A1977" t="s">
        <v>17</v>
      </c>
      <c r="B1977" t="str">
        <f>"603511"</f>
        <v>603511</v>
      </c>
      <c r="C1977" t="s">
        <v>4275</v>
      </c>
      <c r="D1977" t="s">
        <v>4276</v>
      </c>
      <c r="E1977">
        <v>5173446548</v>
      </c>
      <c r="F1977">
        <v>4243129167</v>
      </c>
      <c r="P1977">
        <v>47</v>
      </c>
      <c r="Q1977" t="s">
        <v>4277</v>
      </c>
    </row>
    <row r="1978" spans="1:17" x14ac:dyDescent="0.3">
      <c r="A1978" t="s">
        <v>47</v>
      </c>
      <c r="B1978" t="str">
        <f>"003037"</f>
        <v>003037</v>
      </c>
      <c r="C1978" t="s">
        <v>4278</v>
      </c>
      <c r="D1978" t="s">
        <v>2927</v>
      </c>
      <c r="E1978">
        <v>5169859440</v>
      </c>
      <c r="F1978">
        <v>4600366028</v>
      </c>
      <c r="P1978">
        <v>40</v>
      </c>
      <c r="Q1978" t="s">
        <v>4279</v>
      </c>
    </row>
    <row r="1979" spans="1:17" x14ac:dyDescent="0.3">
      <c r="A1979" t="s">
        <v>17</v>
      </c>
      <c r="B1979" t="str">
        <f>"688015"</f>
        <v>688015</v>
      </c>
      <c r="C1979" t="s">
        <v>4280</v>
      </c>
      <c r="D1979" t="s">
        <v>193</v>
      </c>
      <c r="E1979">
        <v>5169812283</v>
      </c>
      <c r="F1979">
        <v>4373619207</v>
      </c>
      <c r="G1979">
        <v>3722885667</v>
      </c>
      <c r="H1979">
        <v>2245442426</v>
      </c>
      <c r="P1979">
        <v>278</v>
      </c>
      <c r="Q1979" t="s">
        <v>4281</v>
      </c>
    </row>
    <row r="1980" spans="1:17" x14ac:dyDescent="0.3">
      <c r="A1980" t="s">
        <v>47</v>
      </c>
      <c r="B1980" t="str">
        <f>"002819"</f>
        <v>002819</v>
      </c>
      <c r="C1980" t="s">
        <v>4282</v>
      </c>
      <c r="D1980" t="s">
        <v>3722</v>
      </c>
      <c r="E1980">
        <v>5169614918</v>
      </c>
      <c r="F1980">
        <v>1076395313</v>
      </c>
      <c r="G1980">
        <v>1025726791</v>
      </c>
      <c r="H1980">
        <v>969197961</v>
      </c>
      <c r="I1980">
        <v>569150325</v>
      </c>
      <c r="J1980">
        <v>503485507</v>
      </c>
      <c r="P1980">
        <v>139</v>
      </c>
      <c r="Q1980" t="s">
        <v>4283</v>
      </c>
    </row>
    <row r="1981" spans="1:17" x14ac:dyDescent="0.3">
      <c r="A1981" t="s">
        <v>47</v>
      </c>
      <c r="B1981" t="str">
        <f>"000603"</f>
        <v>000603</v>
      </c>
      <c r="C1981" t="s">
        <v>4284</v>
      </c>
      <c r="D1981" t="s">
        <v>1299</v>
      </c>
      <c r="E1981">
        <v>5166998611</v>
      </c>
      <c r="F1981">
        <v>4917448958</v>
      </c>
      <c r="G1981">
        <v>4077598610</v>
      </c>
      <c r="H1981">
        <v>3538834299</v>
      </c>
      <c r="I1981">
        <v>3079117169</v>
      </c>
      <c r="J1981">
        <v>2631127470</v>
      </c>
      <c r="K1981">
        <v>1481177120</v>
      </c>
      <c r="L1981">
        <v>986475382</v>
      </c>
      <c r="M1981">
        <v>753985756</v>
      </c>
      <c r="N1981">
        <v>1191307928</v>
      </c>
      <c r="O1981">
        <v>1183557725</v>
      </c>
      <c r="P1981">
        <v>351</v>
      </c>
      <c r="Q1981" t="s">
        <v>4285</v>
      </c>
    </row>
    <row r="1982" spans="1:17" x14ac:dyDescent="0.3">
      <c r="A1982" t="s">
        <v>47</v>
      </c>
      <c r="B1982" t="str">
        <f>"000619"</f>
        <v>000619</v>
      </c>
      <c r="C1982" t="s">
        <v>4286</v>
      </c>
      <c r="D1982" t="s">
        <v>1418</v>
      </c>
      <c r="E1982">
        <v>5166930709</v>
      </c>
      <c r="F1982">
        <v>4643560897</v>
      </c>
      <c r="G1982">
        <v>4330511853</v>
      </c>
      <c r="H1982">
        <v>3848365445</v>
      </c>
      <c r="I1982">
        <v>3501752950</v>
      </c>
      <c r="J1982">
        <v>3900354703</v>
      </c>
      <c r="K1982">
        <v>3917762681</v>
      </c>
      <c r="L1982">
        <v>4115763021</v>
      </c>
      <c r="M1982">
        <v>4362111087</v>
      </c>
      <c r="N1982">
        <v>4535491964</v>
      </c>
      <c r="O1982">
        <v>3983261463</v>
      </c>
      <c r="P1982">
        <v>98</v>
      </c>
      <c r="Q1982" t="s">
        <v>4287</v>
      </c>
    </row>
    <row r="1983" spans="1:17" x14ac:dyDescent="0.3">
      <c r="A1983" t="s">
        <v>47</v>
      </c>
      <c r="B1983" t="str">
        <f>"002698"</f>
        <v>002698</v>
      </c>
      <c r="C1983" t="s">
        <v>4288</v>
      </c>
      <c r="D1983" t="s">
        <v>2592</v>
      </c>
      <c r="E1983">
        <v>5166790485</v>
      </c>
      <c r="F1983">
        <v>4620335656</v>
      </c>
      <c r="G1983">
        <v>4079541719</v>
      </c>
      <c r="H1983">
        <v>3612281689</v>
      </c>
      <c r="I1983">
        <v>2779946028</v>
      </c>
      <c r="J1983">
        <v>2354251699</v>
      </c>
      <c r="K1983">
        <v>2078090144</v>
      </c>
      <c r="L1983">
        <v>2029920054</v>
      </c>
      <c r="M1983">
        <v>1916125169</v>
      </c>
      <c r="N1983">
        <v>1760867035</v>
      </c>
      <c r="P1983">
        <v>271</v>
      </c>
      <c r="Q1983" t="s">
        <v>4289</v>
      </c>
    </row>
    <row r="1984" spans="1:17" x14ac:dyDescent="0.3">
      <c r="A1984" t="s">
        <v>47</v>
      </c>
      <c r="B1984" t="str">
        <f>"002759"</f>
        <v>002759</v>
      </c>
      <c r="C1984" t="s">
        <v>4290</v>
      </c>
      <c r="D1984" t="s">
        <v>1017</v>
      </c>
      <c r="E1984">
        <v>5160081683</v>
      </c>
      <c r="F1984">
        <v>3218617236</v>
      </c>
      <c r="G1984">
        <v>3226516773</v>
      </c>
      <c r="H1984">
        <v>4071342675</v>
      </c>
      <c r="I1984">
        <v>3778379599</v>
      </c>
      <c r="J1984">
        <v>3636503860</v>
      </c>
      <c r="K1984">
        <v>646178252</v>
      </c>
      <c r="L1984">
        <v>440103156</v>
      </c>
      <c r="P1984">
        <v>251</v>
      </c>
      <c r="Q1984" t="s">
        <v>4291</v>
      </c>
    </row>
    <row r="1985" spans="1:17" x14ac:dyDescent="0.3">
      <c r="A1985" t="s">
        <v>17</v>
      </c>
      <c r="B1985" t="str">
        <f>"688002"</f>
        <v>688002</v>
      </c>
      <c r="C1985" t="s">
        <v>4292</v>
      </c>
      <c r="D1985" t="s">
        <v>1385</v>
      </c>
      <c r="E1985">
        <v>5156846612</v>
      </c>
      <c r="F1985">
        <v>3707574324</v>
      </c>
      <c r="G1985">
        <v>2763881207</v>
      </c>
      <c r="H1985">
        <v>1175514458</v>
      </c>
      <c r="P1985">
        <v>407</v>
      </c>
      <c r="Q1985" t="s">
        <v>4293</v>
      </c>
    </row>
    <row r="1986" spans="1:17" x14ac:dyDescent="0.3">
      <c r="A1986" t="s">
        <v>47</v>
      </c>
      <c r="B1986" t="str">
        <f>"002653"</f>
        <v>002653</v>
      </c>
      <c r="C1986" t="s">
        <v>4294</v>
      </c>
      <c r="D1986" t="s">
        <v>550</v>
      </c>
      <c r="E1986">
        <v>5156285962</v>
      </c>
      <c r="F1986">
        <v>5140524854</v>
      </c>
      <c r="G1986">
        <v>5105803762</v>
      </c>
      <c r="H1986">
        <v>4370048678</v>
      </c>
      <c r="I1986">
        <v>4215210459</v>
      </c>
      <c r="J1986">
        <v>3743388591</v>
      </c>
      <c r="K1986">
        <v>2949551214</v>
      </c>
      <c r="L1986">
        <v>2930498000</v>
      </c>
      <c r="M1986">
        <v>2361638479</v>
      </c>
      <c r="N1986">
        <v>1742590236</v>
      </c>
      <c r="O1986">
        <v>1476358651</v>
      </c>
      <c r="P1986">
        <v>549</v>
      </c>
      <c r="Q1986" t="s">
        <v>4295</v>
      </c>
    </row>
    <row r="1987" spans="1:17" x14ac:dyDescent="0.3">
      <c r="A1987" t="s">
        <v>47</v>
      </c>
      <c r="B1987" t="str">
        <f>"002832"</f>
        <v>002832</v>
      </c>
      <c r="C1987" t="s">
        <v>4296</v>
      </c>
      <c r="D1987" t="s">
        <v>628</v>
      </c>
      <c r="E1987">
        <v>5154046548</v>
      </c>
      <c r="F1987">
        <v>3956725129</v>
      </c>
      <c r="G1987">
        <v>2612906770</v>
      </c>
      <c r="H1987">
        <v>2196928707</v>
      </c>
      <c r="I1987">
        <v>1887724259</v>
      </c>
      <c r="J1987">
        <v>1596073694</v>
      </c>
      <c r="P1987">
        <v>636</v>
      </c>
      <c r="Q1987" t="s">
        <v>4297</v>
      </c>
    </row>
    <row r="1988" spans="1:17" x14ac:dyDescent="0.3">
      <c r="A1988" t="s">
        <v>17</v>
      </c>
      <c r="B1988" t="str">
        <f>"603520"</f>
        <v>603520</v>
      </c>
      <c r="C1988" t="s">
        <v>4298</v>
      </c>
      <c r="D1988" t="s">
        <v>1112</v>
      </c>
      <c r="E1988">
        <v>5150564780</v>
      </c>
      <c r="F1988">
        <v>4315305040</v>
      </c>
      <c r="G1988">
        <v>3568045218</v>
      </c>
      <c r="H1988">
        <v>3227130286</v>
      </c>
      <c r="I1988">
        <v>2091945697</v>
      </c>
      <c r="J1988">
        <v>1952969552</v>
      </c>
      <c r="K1988">
        <v>1879762937</v>
      </c>
      <c r="P1988">
        <v>382</v>
      </c>
      <c r="Q1988" t="s">
        <v>4299</v>
      </c>
    </row>
    <row r="1989" spans="1:17" x14ac:dyDescent="0.3">
      <c r="A1989" t="s">
        <v>47</v>
      </c>
      <c r="B1989" t="str">
        <f>"300034"</f>
        <v>300034</v>
      </c>
      <c r="C1989" t="s">
        <v>4300</v>
      </c>
      <c r="D1989" t="s">
        <v>570</v>
      </c>
      <c r="E1989">
        <v>5149974825</v>
      </c>
      <c r="F1989">
        <v>4076727969</v>
      </c>
      <c r="G1989">
        <v>3176622972</v>
      </c>
      <c r="H1989">
        <v>2683564049</v>
      </c>
      <c r="I1989">
        <v>1753276978</v>
      </c>
      <c r="J1989">
        <v>1771723855</v>
      </c>
      <c r="K1989">
        <v>1631166416</v>
      </c>
      <c r="L1989">
        <v>1431721640</v>
      </c>
      <c r="M1989">
        <v>1320412639</v>
      </c>
      <c r="N1989">
        <v>1128144781</v>
      </c>
      <c r="O1989">
        <v>1000064597</v>
      </c>
      <c r="P1989">
        <v>282</v>
      </c>
      <c r="Q1989" t="s">
        <v>4301</v>
      </c>
    </row>
    <row r="1990" spans="1:17" x14ac:dyDescent="0.3">
      <c r="A1990" t="s">
        <v>47</v>
      </c>
      <c r="B1990" t="str">
        <f>"002448"</f>
        <v>002448</v>
      </c>
      <c r="C1990" t="s">
        <v>4302</v>
      </c>
      <c r="D1990" t="s">
        <v>274</v>
      </c>
      <c r="E1990">
        <v>5146272339</v>
      </c>
      <c r="F1990">
        <v>4985115131</v>
      </c>
      <c r="G1990">
        <v>4315197685</v>
      </c>
      <c r="H1990">
        <v>4354295360</v>
      </c>
      <c r="I1990">
        <v>3783768506</v>
      </c>
      <c r="J1990">
        <v>3367184206</v>
      </c>
      <c r="K1990">
        <v>2650458375</v>
      </c>
      <c r="L1990">
        <v>2385315858</v>
      </c>
      <c r="M1990">
        <v>2409667248</v>
      </c>
      <c r="N1990">
        <v>2113644808</v>
      </c>
      <c r="O1990">
        <v>1470646729</v>
      </c>
      <c r="P1990">
        <v>194</v>
      </c>
      <c r="Q1990" t="s">
        <v>4303</v>
      </c>
    </row>
    <row r="1991" spans="1:17" x14ac:dyDescent="0.3">
      <c r="A1991" t="s">
        <v>47</v>
      </c>
      <c r="B1991" t="str">
        <f>"002046"</f>
        <v>002046</v>
      </c>
      <c r="C1991" t="s">
        <v>4304</v>
      </c>
      <c r="D1991" t="s">
        <v>401</v>
      </c>
      <c r="E1991">
        <v>5143726929</v>
      </c>
      <c r="F1991">
        <v>4693880821</v>
      </c>
      <c r="G1991">
        <v>4422455358</v>
      </c>
      <c r="H1991">
        <v>4397327159</v>
      </c>
      <c r="I1991">
        <v>4208660838</v>
      </c>
      <c r="J1991">
        <v>2148777204</v>
      </c>
      <c r="K1991">
        <v>2170360288</v>
      </c>
      <c r="L1991">
        <v>2276691000</v>
      </c>
      <c r="M1991">
        <v>2131231820</v>
      </c>
      <c r="N1991">
        <v>1984734650</v>
      </c>
      <c r="O1991">
        <v>1614681498</v>
      </c>
      <c r="P1991">
        <v>148</v>
      </c>
      <c r="Q1991" t="s">
        <v>4305</v>
      </c>
    </row>
    <row r="1992" spans="1:17" x14ac:dyDescent="0.3">
      <c r="A1992" t="s">
        <v>47</v>
      </c>
      <c r="B1992" t="str">
        <f>"300094"</f>
        <v>300094</v>
      </c>
      <c r="C1992" t="s">
        <v>4306</v>
      </c>
      <c r="D1992" t="s">
        <v>3602</v>
      </c>
      <c r="E1992">
        <v>5140750030</v>
      </c>
      <c r="F1992">
        <v>4769092944</v>
      </c>
      <c r="G1992">
        <v>5139601535</v>
      </c>
      <c r="H1992">
        <v>5188318093</v>
      </c>
      <c r="I1992">
        <v>4043298037</v>
      </c>
      <c r="J1992">
        <v>3224487688</v>
      </c>
      <c r="K1992">
        <v>2597491032</v>
      </c>
      <c r="L1992">
        <v>2574016109</v>
      </c>
      <c r="M1992">
        <v>2317393736</v>
      </c>
      <c r="N1992">
        <v>2059797484</v>
      </c>
      <c r="O1992">
        <v>2127156009</v>
      </c>
      <c r="P1992">
        <v>123</v>
      </c>
      <c r="Q1992" t="s">
        <v>4307</v>
      </c>
    </row>
    <row r="1993" spans="1:17" x14ac:dyDescent="0.3">
      <c r="A1993" t="s">
        <v>47</v>
      </c>
      <c r="B1993" t="str">
        <f>"002993"</f>
        <v>002993</v>
      </c>
      <c r="C1993" t="s">
        <v>4308</v>
      </c>
      <c r="D1993" t="s">
        <v>283</v>
      </c>
      <c r="E1993">
        <v>5138302628</v>
      </c>
      <c r="F1993">
        <v>4567516812</v>
      </c>
      <c r="G1993">
        <v>2121920607</v>
      </c>
      <c r="P1993">
        <v>145</v>
      </c>
      <c r="Q1993" t="s">
        <v>4309</v>
      </c>
    </row>
    <row r="1994" spans="1:17" x14ac:dyDescent="0.3">
      <c r="A1994" t="s">
        <v>47</v>
      </c>
      <c r="B1994" t="str">
        <f>"300639"</f>
        <v>300639</v>
      </c>
      <c r="C1994" t="s">
        <v>4310</v>
      </c>
      <c r="D1994" t="s">
        <v>2322</v>
      </c>
      <c r="E1994">
        <v>5137517950</v>
      </c>
      <c r="F1994">
        <v>3229178524</v>
      </c>
      <c r="G1994">
        <v>1381029025</v>
      </c>
      <c r="H1994">
        <v>1189071057</v>
      </c>
      <c r="I1994">
        <v>1150576248</v>
      </c>
      <c r="J1994">
        <v>560880912</v>
      </c>
      <c r="P1994">
        <v>535</v>
      </c>
      <c r="Q1994" t="s">
        <v>4311</v>
      </c>
    </row>
    <row r="1995" spans="1:17" x14ac:dyDescent="0.3">
      <c r="A1995" t="s">
        <v>17</v>
      </c>
      <c r="B1995" t="str">
        <f>"600503"</f>
        <v>600503</v>
      </c>
      <c r="C1995" t="s">
        <v>4312</v>
      </c>
      <c r="D1995" t="s">
        <v>76</v>
      </c>
      <c r="E1995">
        <v>5128784606</v>
      </c>
      <c r="F1995">
        <v>5343616761</v>
      </c>
      <c r="G1995">
        <v>6128872067</v>
      </c>
      <c r="H1995">
        <v>7576328088</v>
      </c>
      <c r="I1995">
        <v>6090083910</v>
      </c>
      <c r="J1995">
        <v>6623471801</v>
      </c>
      <c r="K1995">
        <v>5471627995</v>
      </c>
      <c r="L1995">
        <v>4382688116</v>
      </c>
      <c r="M1995">
        <v>2994923194</v>
      </c>
      <c r="N1995">
        <v>4167348072</v>
      </c>
      <c r="O1995">
        <v>5225142485</v>
      </c>
      <c r="P1995">
        <v>200</v>
      </c>
      <c r="Q1995" t="s">
        <v>4313</v>
      </c>
    </row>
    <row r="1996" spans="1:17" x14ac:dyDescent="0.3">
      <c r="A1996" t="s">
        <v>47</v>
      </c>
      <c r="B1996" t="str">
        <f>"301206"</f>
        <v>301206</v>
      </c>
      <c r="C1996" t="s">
        <v>4314</v>
      </c>
      <c r="E1996">
        <v>5120094005</v>
      </c>
      <c r="P1996">
        <v>24</v>
      </c>
      <c r="Q1996" t="s">
        <v>4315</v>
      </c>
    </row>
    <row r="1997" spans="1:17" x14ac:dyDescent="0.3">
      <c r="A1997" t="s">
        <v>17</v>
      </c>
      <c r="B1997" t="str">
        <f>"688001"</f>
        <v>688001</v>
      </c>
      <c r="C1997" t="s">
        <v>4316</v>
      </c>
      <c r="D1997" t="s">
        <v>3722</v>
      </c>
      <c r="E1997">
        <v>5115562057</v>
      </c>
      <c r="F1997">
        <v>3747761416</v>
      </c>
      <c r="G1997">
        <v>2142980094</v>
      </c>
      <c r="H1997">
        <v>1218543900</v>
      </c>
      <c r="P1997">
        <v>169</v>
      </c>
      <c r="Q1997" t="s">
        <v>4317</v>
      </c>
    </row>
    <row r="1998" spans="1:17" x14ac:dyDescent="0.3">
      <c r="A1998" t="s">
        <v>47</v>
      </c>
      <c r="B1998" t="str">
        <f>"002517"</f>
        <v>002517</v>
      </c>
      <c r="C1998" t="s">
        <v>4318</v>
      </c>
      <c r="D1998" t="s">
        <v>1032</v>
      </c>
      <c r="E1998">
        <v>5114557570</v>
      </c>
      <c r="F1998">
        <v>3698950044</v>
      </c>
      <c r="G1998">
        <v>3885070147</v>
      </c>
      <c r="H1998">
        <v>6128772670</v>
      </c>
      <c r="I1998">
        <v>6269189132</v>
      </c>
      <c r="J1998">
        <v>4308169242</v>
      </c>
      <c r="K1998">
        <v>1491668289</v>
      </c>
      <c r="L1998">
        <v>789538177</v>
      </c>
      <c r="M1998">
        <v>830172769</v>
      </c>
      <c r="N1998">
        <v>692248861</v>
      </c>
      <c r="O1998">
        <v>639514052</v>
      </c>
      <c r="P1998">
        <v>289</v>
      </c>
      <c r="Q1998" t="s">
        <v>4319</v>
      </c>
    </row>
    <row r="1999" spans="1:17" x14ac:dyDescent="0.3">
      <c r="A1999" t="s">
        <v>17</v>
      </c>
      <c r="B1999" t="str">
        <f>"600439"</f>
        <v>600439</v>
      </c>
      <c r="C1999" t="s">
        <v>4320</v>
      </c>
      <c r="D1999" t="s">
        <v>4321</v>
      </c>
      <c r="E1999">
        <v>5111360292</v>
      </c>
      <c r="F1999">
        <v>5015136478</v>
      </c>
      <c r="G1999">
        <v>5033826566</v>
      </c>
      <c r="H1999">
        <v>4846375849</v>
      </c>
      <c r="I1999">
        <v>4705191035</v>
      </c>
      <c r="J1999">
        <v>4230223149</v>
      </c>
      <c r="K1999">
        <v>4668585181</v>
      </c>
      <c r="L1999">
        <v>4497071056</v>
      </c>
      <c r="M1999">
        <v>4037117664</v>
      </c>
      <c r="N1999">
        <v>3897146854</v>
      </c>
      <c r="O1999">
        <v>3905841043</v>
      </c>
      <c r="P1999">
        <v>186</v>
      </c>
      <c r="Q1999" t="s">
        <v>4322</v>
      </c>
    </row>
    <row r="2000" spans="1:17" x14ac:dyDescent="0.3">
      <c r="A2000" t="s">
        <v>47</v>
      </c>
      <c r="B2000" t="str">
        <f>"002111"</f>
        <v>002111</v>
      </c>
      <c r="C2000" t="s">
        <v>4323</v>
      </c>
      <c r="D2000" t="s">
        <v>1973</v>
      </c>
      <c r="E2000">
        <v>5108472267</v>
      </c>
      <c r="F2000">
        <v>4996964347</v>
      </c>
      <c r="G2000">
        <v>4539381692</v>
      </c>
      <c r="H2000">
        <v>4553512650</v>
      </c>
      <c r="I2000">
        <v>4426957799</v>
      </c>
      <c r="J2000">
        <v>4126881989</v>
      </c>
      <c r="K2000">
        <v>3230412253</v>
      </c>
      <c r="L2000">
        <v>2506520959</v>
      </c>
      <c r="M2000">
        <v>2270290828</v>
      </c>
      <c r="N2000">
        <v>2014881890</v>
      </c>
      <c r="O2000">
        <v>1797779961</v>
      </c>
      <c r="P2000">
        <v>214</v>
      </c>
      <c r="Q2000" t="s">
        <v>4324</v>
      </c>
    </row>
    <row r="2001" spans="1:17" x14ac:dyDescent="0.3">
      <c r="A2001" t="s">
        <v>17</v>
      </c>
      <c r="B2001" t="str">
        <f>"688606"</f>
        <v>688606</v>
      </c>
      <c r="C2001" t="s">
        <v>4325</v>
      </c>
      <c r="D2001" t="s">
        <v>2322</v>
      </c>
      <c r="E2001">
        <v>5108142848</v>
      </c>
      <c r="F2001">
        <v>3013299139</v>
      </c>
      <c r="P2001">
        <v>104</v>
      </c>
      <c r="Q2001" t="s">
        <v>4326</v>
      </c>
    </row>
    <row r="2002" spans="1:17" x14ac:dyDescent="0.3">
      <c r="A2002" t="s">
        <v>17</v>
      </c>
      <c r="B2002" t="str">
        <f>"603328"</f>
        <v>603328</v>
      </c>
      <c r="C2002" t="s">
        <v>4327</v>
      </c>
      <c r="D2002" t="s">
        <v>1115</v>
      </c>
      <c r="E2002">
        <v>5105410382</v>
      </c>
      <c r="F2002">
        <v>4272691823</v>
      </c>
      <c r="G2002">
        <v>4435272332</v>
      </c>
      <c r="H2002">
        <v>5305573813</v>
      </c>
      <c r="I2002">
        <v>5563377102</v>
      </c>
      <c r="J2002">
        <v>5857716207</v>
      </c>
      <c r="K2002">
        <v>5258137504</v>
      </c>
      <c r="L2002">
        <v>4813094959</v>
      </c>
      <c r="M2002">
        <v>3070846200</v>
      </c>
      <c r="P2002">
        <v>590</v>
      </c>
      <c r="Q2002" t="s">
        <v>4328</v>
      </c>
    </row>
    <row r="2003" spans="1:17" x14ac:dyDescent="0.3">
      <c r="A2003" t="s">
        <v>17</v>
      </c>
      <c r="B2003" t="str">
        <f>"600763"</f>
        <v>600763</v>
      </c>
      <c r="C2003" t="s">
        <v>4329</v>
      </c>
      <c r="D2003" t="s">
        <v>1585</v>
      </c>
      <c r="E2003">
        <v>5105235431</v>
      </c>
      <c r="F2003">
        <v>3670287442</v>
      </c>
      <c r="G2003">
        <v>2550500752</v>
      </c>
      <c r="H2003">
        <v>2223994227</v>
      </c>
      <c r="I2003">
        <v>1788636347</v>
      </c>
      <c r="J2003">
        <v>1322780954</v>
      </c>
      <c r="K2003">
        <v>1311754200</v>
      </c>
      <c r="L2003">
        <v>814485660</v>
      </c>
      <c r="M2003">
        <v>656691559</v>
      </c>
      <c r="N2003">
        <v>527192645</v>
      </c>
      <c r="O2003">
        <v>417015830</v>
      </c>
      <c r="P2003">
        <v>38183</v>
      </c>
      <c r="Q2003" t="s">
        <v>4330</v>
      </c>
    </row>
    <row r="2004" spans="1:17" x14ac:dyDescent="0.3">
      <c r="A2004" t="s">
        <v>17</v>
      </c>
      <c r="B2004" t="str">
        <f>"603377"</f>
        <v>603377</v>
      </c>
      <c r="C2004" t="s">
        <v>4331</v>
      </c>
      <c r="D2004" t="s">
        <v>2954</v>
      </c>
      <c r="E2004">
        <v>5103325917</v>
      </c>
      <c r="F2004">
        <v>4427079449</v>
      </c>
      <c r="G2004">
        <v>4205889458</v>
      </c>
      <c r="H2004">
        <v>4098305945</v>
      </c>
      <c r="I2004">
        <v>3717370190</v>
      </c>
      <c r="J2004">
        <v>3185896163</v>
      </c>
      <c r="K2004">
        <v>2553211524</v>
      </c>
      <c r="P2004">
        <v>171</v>
      </c>
      <c r="Q2004" t="s">
        <v>4332</v>
      </c>
    </row>
    <row r="2005" spans="1:17" x14ac:dyDescent="0.3">
      <c r="A2005" t="s">
        <v>47</v>
      </c>
      <c r="B2005" t="str">
        <f>"300490"</f>
        <v>300490</v>
      </c>
      <c r="C2005" t="s">
        <v>4333</v>
      </c>
      <c r="D2005" t="s">
        <v>679</v>
      </c>
      <c r="E2005">
        <v>5100751857</v>
      </c>
      <c r="F2005">
        <v>4262835296</v>
      </c>
      <c r="G2005">
        <v>3018069081</v>
      </c>
      <c r="H2005">
        <v>3117535661</v>
      </c>
      <c r="I2005">
        <v>2342625170</v>
      </c>
      <c r="J2005">
        <v>902128167</v>
      </c>
      <c r="K2005">
        <v>945524690</v>
      </c>
      <c r="L2005">
        <v>701031034</v>
      </c>
      <c r="P2005">
        <v>161</v>
      </c>
      <c r="Q2005" t="s">
        <v>4334</v>
      </c>
    </row>
    <row r="2006" spans="1:17" x14ac:dyDescent="0.3">
      <c r="A2006" t="s">
        <v>17</v>
      </c>
      <c r="B2006" t="str">
        <f>"600321"</f>
        <v>600321</v>
      </c>
      <c r="C2006" t="s">
        <v>4335</v>
      </c>
      <c r="D2006" t="s">
        <v>1418</v>
      </c>
      <c r="E2006">
        <v>5098645413</v>
      </c>
      <c r="F2006">
        <v>4635508049</v>
      </c>
      <c r="G2006">
        <v>4175623263</v>
      </c>
      <c r="H2006">
        <v>3463919981</v>
      </c>
      <c r="I2006">
        <v>3660554741</v>
      </c>
      <c r="J2006">
        <v>2923198438</v>
      </c>
      <c r="K2006">
        <v>3378204273</v>
      </c>
      <c r="L2006">
        <v>3770567531</v>
      </c>
      <c r="M2006">
        <v>3395100898</v>
      </c>
      <c r="N2006">
        <v>3335500273</v>
      </c>
      <c r="O2006">
        <v>3023115109</v>
      </c>
      <c r="P2006">
        <v>74</v>
      </c>
      <c r="Q2006" t="s">
        <v>4336</v>
      </c>
    </row>
    <row r="2007" spans="1:17" x14ac:dyDescent="0.3">
      <c r="A2007" t="s">
        <v>47</v>
      </c>
      <c r="B2007" t="str">
        <f>"002109"</f>
        <v>002109</v>
      </c>
      <c r="C2007" t="s">
        <v>4337</v>
      </c>
      <c r="D2007" t="s">
        <v>2874</v>
      </c>
      <c r="E2007">
        <v>5095128366</v>
      </c>
      <c r="F2007">
        <v>4291025399</v>
      </c>
      <c r="G2007">
        <v>4204140088</v>
      </c>
      <c r="H2007">
        <v>4179221424</v>
      </c>
      <c r="I2007">
        <v>4162835410</v>
      </c>
      <c r="J2007">
        <v>4489241340</v>
      </c>
      <c r="K2007">
        <v>1786107939</v>
      </c>
      <c r="L2007">
        <v>1944221802</v>
      </c>
      <c r="M2007">
        <v>1905192616</v>
      </c>
      <c r="N2007">
        <v>1749973306</v>
      </c>
      <c r="O2007">
        <v>1857900512</v>
      </c>
      <c r="P2007">
        <v>138</v>
      </c>
      <c r="Q2007" t="s">
        <v>4338</v>
      </c>
    </row>
    <row r="2008" spans="1:17" x14ac:dyDescent="0.3">
      <c r="A2008" t="s">
        <v>47</v>
      </c>
      <c r="B2008" t="str">
        <f>"300529"</f>
        <v>300529</v>
      </c>
      <c r="C2008" t="s">
        <v>4339</v>
      </c>
      <c r="D2008" t="s">
        <v>1650</v>
      </c>
      <c r="E2008">
        <v>5094847783</v>
      </c>
      <c r="F2008">
        <v>3509098387</v>
      </c>
      <c r="G2008">
        <v>2714021000</v>
      </c>
      <c r="H2008">
        <v>2184317327</v>
      </c>
      <c r="I2008">
        <v>1802421368</v>
      </c>
      <c r="J2008">
        <v>1494603456</v>
      </c>
      <c r="K2008">
        <v>723469171</v>
      </c>
      <c r="P2008">
        <v>5945</v>
      </c>
      <c r="Q2008" t="s">
        <v>4340</v>
      </c>
    </row>
    <row r="2009" spans="1:17" x14ac:dyDescent="0.3">
      <c r="A2009" t="s">
        <v>47</v>
      </c>
      <c r="B2009" t="str">
        <f>"000529"</f>
        <v>000529</v>
      </c>
      <c r="C2009" t="s">
        <v>4341</v>
      </c>
      <c r="D2009" t="s">
        <v>1352</v>
      </c>
      <c r="E2009">
        <v>5090177942</v>
      </c>
      <c r="F2009">
        <v>3951268979</v>
      </c>
      <c r="G2009">
        <v>2834097687</v>
      </c>
      <c r="H2009">
        <v>2235108691</v>
      </c>
      <c r="I2009">
        <v>1990975969</v>
      </c>
      <c r="J2009">
        <v>1716927317</v>
      </c>
      <c r="K2009">
        <v>1525844502</v>
      </c>
      <c r="L2009">
        <v>1438946109</v>
      </c>
      <c r="M2009">
        <v>1335761994</v>
      </c>
      <c r="N2009">
        <v>1159515732</v>
      </c>
      <c r="O2009">
        <v>1114465910</v>
      </c>
      <c r="P2009">
        <v>298</v>
      </c>
      <c r="Q2009" t="s">
        <v>4342</v>
      </c>
    </row>
    <row r="2010" spans="1:17" x14ac:dyDescent="0.3">
      <c r="A2010" t="s">
        <v>17</v>
      </c>
      <c r="B2010" t="str">
        <f>"603303"</f>
        <v>603303</v>
      </c>
      <c r="C2010" t="s">
        <v>4343</v>
      </c>
      <c r="D2010" t="s">
        <v>2170</v>
      </c>
      <c r="E2010">
        <v>5089203145</v>
      </c>
      <c r="F2010">
        <v>4412692660</v>
      </c>
      <c r="G2010">
        <v>3946068772</v>
      </c>
      <c r="H2010">
        <v>3700688189</v>
      </c>
      <c r="I2010">
        <v>3461312933</v>
      </c>
      <c r="J2010">
        <v>3427118560</v>
      </c>
      <c r="P2010">
        <v>180</v>
      </c>
      <c r="Q2010" t="s">
        <v>4344</v>
      </c>
    </row>
    <row r="2011" spans="1:17" x14ac:dyDescent="0.3">
      <c r="A2011" t="s">
        <v>47</v>
      </c>
      <c r="B2011" t="str">
        <f>"002510"</f>
        <v>002510</v>
      </c>
      <c r="C2011" t="s">
        <v>4345</v>
      </c>
      <c r="D2011" t="s">
        <v>1815</v>
      </c>
      <c r="E2011">
        <v>5088861018</v>
      </c>
      <c r="F2011">
        <v>5531522239</v>
      </c>
      <c r="G2011">
        <v>6060498655</v>
      </c>
      <c r="H2011">
        <v>5778051548</v>
      </c>
      <c r="I2011">
        <v>4802315161</v>
      </c>
      <c r="J2011">
        <v>4408088524</v>
      </c>
      <c r="K2011">
        <v>4024697079</v>
      </c>
      <c r="L2011">
        <v>3626780488</v>
      </c>
      <c r="M2011">
        <v>3048620002</v>
      </c>
      <c r="N2011">
        <v>2736786275</v>
      </c>
      <c r="O2011">
        <v>2209481072</v>
      </c>
      <c r="P2011">
        <v>208</v>
      </c>
      <c r="Q2011" t="s">
        <v>4346</v>
      </c>
    </row>
    <row r="2012" spans="1:17" x14ac:dyDescent="0.3">
      <c r="A2012" t="s">
        <v>17</v>
      </c>
      <c r="B2012" t="str">
        <f>"603507"</f>
        <v>603507</v>
      </c>
      <c r="C2012" t="s">
        <v>4347</v>
      </c>
      <c r="D2012" t="s">
        <v>2013</v>
      </c>
      <c r="E2012">
        <v>5080443948</v>
      </c>
      <c r="F2012">
        <v>3769194844</v>
      </c>
      <c r="G2012">
        <v>3464301221</v>
      </c>
      <c r="H2012">
        <v>2815153847</v>
      </c>
      <c r="I2012">
        <v>1909305836</v>
      </c>
      <c r="P2012">
        <v>135</v>
      </c>
      <c r="Q2012" t="s">
        <v>4348</v>
      </c>
    </row>
    <row r="2013" spans="1:17" x14ac:dyDescent="0.3">
      <c r="A2013" t="s">
        <v>17</v>
      </c>
      <c r="B2013" t="str">
        <f>"603010"</f>
        <v>603010</v>
      </c>
      <c r="C2013" t="s">
        <v>4349</v>
      </c>
      <c r="D2013" t="s">
        <v>3077</v>
      </c>
      <c r="E2013">
        <v>5080339698</v>
      </c>
      <c r="F2013">
        <v>2649289529</v>
      </c>
      <c r="G2013">
        <v>2004106537</v>
      </c>
      <c r="H2013">
        <v>2040286019</v>
      </c>
      <c r="I2013">
        <v>1809408765</v>
      </c>
      <c r="J2013">
        <v>1483924642</v>
      </c>
      <c r="K2013">
        <v>1138373408</v>
      </c>
      <c r="L2013">
        <v>706266184</v>
      </c>
      <c r="P2013">
        <v>279</v>
      </c>
      <c r="Q2013" t="s">
        <v>4350</v>
      </c>
    </row>
    <row r="2014" spans="1:17" x14ac:dyDescent="0.3">
      <c r="A2014" t="s">
        <v>17</v>
      </c>
      <c r="B2014" t="str">
        <f>"601188"</f>
        <v>601188</v>
      </c>
      <c r="C2014" t="s">
        <v>4351</v>
      </c>
      <c r="D2014" t="s">
        <v>471</v>
      </c>
      <c r="E2014">
        <v>5079735698</v>
      </c>
      <c r="F2014">
        <v>5181963495</v>
      </c>
      <c r="G2014">
        <v>5147683901</v>
      </c>
      <c r="H2014">
        <v>5220058905</v>
      </c>
      <c r="I2014">
        <v>4924718975</v>
      </c>
      <c r="J2014">
        <v>5599116373</v>
      </c>
      <c r="K2014">
        <v>4914327936</v>
      </c>
      <c r="L2014">
        <v>4295230707</v>
      </c>
      <c r="M2014">
        <v>4115361655</v>
      </c>
      <c r="N2014">
        <v>3734302240</v>
      </c>
      <c r="O2014">
        <v>2974995601</v>
      </c>
      <c r="P2014">
        <v>124</v>
      </c>
      <c r="Q2014" t="s">
        <v>4352</v>
      </c>
    </row>
    <row r="2015" spans="1:17" x14ac:dyDescent="0.3">
      <c r="A2015" t="s">
        <v>47</v>
      </c>
      <c r="B2015" t="str">
        <f>"300726"</f>
        <v>300726</v>
      </c>
      <c r="C2015" t="s">
        <v>4353</v>
      </c>
      <c r="D2015" t="s">
        <v>1385</v>
      </c>
      <c r="E2015">
        <v>5074592797</v>
      </c>
      <c r="F2015">
        <v>3090535395</v>
      </c>
      <c r="G2015">
        <v>1987319388</v>
      </c>
      <c r="H2015">
        <v>1765825340</v>
      </c>
      <c r="I2015">
        <v>1520913007</v>
      </c>
      <c r="P2015">
        <v>748</v>
      </c>
      <c r="Q2015" t="s">
        <v>4354</v>
      </c>
    </row>
    <row r="2016" spans="1:17" x14ac:dyDescent="0.3">
      <c r="A2016" t="s">
        <v>17</v>
      </c>
      <c r="B2016" t="str">
        <f>"600851"</f>
        <v>600851</v>
      </c>
      <c r="C2016" t="s">
        <v>4355</v>
      </c>
      <c r="D2016" t="s">
        <v>550</v>
      </c>
      <c r="E2016">
        <v>5058894880</v>
      </c>
      <c r="F2016">
        <v>5302010686</v>
      </c>
      <c r="G2016">
        <v>4948154793</v>
      </c>
      <c r="H2016">
        <v>5122280207</v>
      </c>
      <c r="I2016">
        <v>4805040747</v>
      </c>
      <c r="J2016">
        <v>5312340867</v>
      </c>
      <c r="K2016">
        <v>5537519696</v>
      </c>
      <c r="L2016">
        <v>6986493885</v>
      </c>
      <c r="M2016">
        <v>3969832402</v>
      </c>
      <c r="N2016">
        <v>4121414821</v>
      </c>
      <c r="O2016">
        <v>4205393802</v>
      </c>
      <c r="P2016">
        <v>98</v>
      </c>
      <c r="Q2016" t="s">
        <v>4356</v>
      </c>
    </row>
    <row r="2017" spans="1:17" x14ac:dyDescent="0.3">
      <c r="A2017" t="s">
        <v>17</v>
      </c>
      <c r="B2017" t="str">
        <f>"605007"</f>
        <v>605007</v>
      </c>
      <c r="C2017" t="s">
        <v>4357</v>
      </c>
      <c r="D2017" t="s">
        <v>2612</v>
      </c>
      <c r="E2017">
        <v>5053583653</v>
      </c>
      <c r="F2017">
        <v>3365740702</v>
      </c>
      <c r="P2017">
        <v>81</v>
      </c>
      <c r="Q2017" t="s">
        <v>4358</v>
      </c>
    </row>
    <row r="2018" spans="1:17" x14ac:dyDescent="0.3">
      <c r="A2018" t="s">
        <v>17</v>
      </c>
      <c r="B2018" t="str">
        <f>"603681"</f>
        <v>603681</v>
      </c>
      <c r="C2018" t="s">
        <v>4359</v>
      </c>
      <c r="D2018" t="s">
        <v>4360</v>
      </c>
      <c r="E2018">
        <v>5050235151</v>
      </c>
      <c r="F2018">
        <v>3397605988</v>
      </c>
      <c r="G2018">
        <v>1989648049</v>
      </c>
      <c r="H2018">
        <v>1696559684</v>
      </c>
      <c r="P2018">
        <v>113</v>
      </c>
      <c r="Q2018" t="s">
        <v>4361</v>
      </c>
    </row>
    <row r="2019" spans="1:17" x14ac:dyDescent="0.3">
      <c r="A2019" t="s">
        <v>17</v>
      </c>
      <c r="B2019" t="str">
        <f>"605577"</f>
        <v>605577</v>
      </c>
      <c r="C2019" t="s">
        <v>4362</v>
      </c>
      <c r="D2019" t="s">
        <v>1352</v>
      </c>
      <c r="E2019">
        <v>5049329597</v>
      </c>
      <c r="F2019">
        <v>4357463222</v>
      </c>
      <c r="P2019">
        <v>19</v>
      </c>
      <c r="Q2019" t="s">
        <v>4363</v>
      </c>
    </row>
    <row r="2020" spans="1:17" x14ac:dyDescent="0.3">
      <c r="A2020" t="s">
        <v>17</v>
      </c>
      <c r="B2020" t="str">
        <f>"601116"</f>
        <v>601116</v>
      </c>
      <c r="C2020" t="s">
        <v>4364</v>
      </c>
      <c r="D2020" t="s">
        <v>692</v>
      </c>
      <c r="E2020">
        <v>5048830506</v>
      </c>
      <c r="F2020">
        <v>5021408179</v>
      </c>
      <c r="G2020">
        <v>4646013591</v>
      </c>
      <c r="H2020">
        <v>4556821808</v>
      </c>
      <c r="I2020">
        <v>3110560316</v>
      </c>
      <c r="J2020">
        <v>2767333762</v>
      </c>
      <c r="K2020">
        <v>2807105295</v>
      </c>
      <c r="L2020">
        <v>2938561305</v>
      </c>
      <c r="M2020">
        <v>3061341557</v>
      </c>
      <c r="N2020">
        <v>3157408065</v>
      </c>
      <c r="O2020">
        <v>2900006315</v>
      </c>
      <c r="P2020">
        <v>124</v>
      </c>
      <c r="Q2020" t="s">
        <v>4365</v>
      </c>
    </row>
    <row r="2021" spans="1:17" x14ac:dyDescent="0.3">
      <c r="A2021" t="s">
        <v>17</v>
      </c>
      <c r="B2021" t="str">
        <f>"688158"</f>
        <v>688158</v>
      </c>
      <c r="C2021" t="s">
        <v>4366</v>
      </c>
      <c r="D2021" t="s">
        <v>700</v>
      </c>
      <c r="E2021">
        <v>5046713888</v>
      </c>
      <c r="F2021">
        <v>4367573377</v>
      </c>
      <c r="G2021">
        <v>4132149839</v>
      </c>
      <c r="P2021">
        <v>104</v>
      </c>
      <c r="Q2021" t="s">
        <v>4367</v>
      </c>
    </row>
    <row r="2022" spans="1:17" x14ac:dyDescent="0.3">
      <c r="A2022" t="s">
        <v>17</v>
      </c>
      <c r="B2022" t="str">
        <f>"600645"</f>
        <v>600645</v>
      </c>
      <c r="C2022" t="s">
        <v>4368</v>
      </c>
      <c r="D2022" t="s">
        <v>2322</v>
      </c>
      <c r="E2022">
        <v>5042570477</v>
      </c>
      <c r="F2022">
        <v>5126007662</v>
      </c>
      <c r="G2022">
        <v>4878884727</v>
      </c>
      <c r="H2022">
        <v>4445925648</v>
      </c>
      <c r="I2022">
        <v>3032917090</v>
      </c>
      <c r="J2022">
        <v>2932965276</v>
      </c>
      <c r="K2022">
        <v>2717056459</v>
      </c>
      <c r="L2022">
        <v>2633028659</v>
      </c>
      <c r="M2022">
        <v>1494319537</v>
      </c>
      <c r="N2022">
        <v>1221587472</v>
      </c>
      <c r="O2022">
        <v>1219912606</v>
      </c>
      <c r="P2022">
        <v>223</v>
      </c>
      <c r="Q2022" t="s">
        <v>4369</v>
      </c>
    </row>
    <row r="2023" spans="1:17" x14ac:dyDescent="0.3">
      <c r="A2023" t="s">
        <v>47</v>
      </c>
      <c r="B2023" t="str">
        <f>"002593"</f>
        <v>002593</v>
      </c>
      <c r="C2023" t="s">
        <v>4370</v>
      </c>
      <c r="D2023" t="s">
        <v>1764</v>
      </c>
      <c r="E2023">
        <v>5039682781</v>
      </c>
      <c r="F2023">
        <v>4395041111</v>
      </c>
      <c r="G2023">
        <v>4067019160</v>
      </c>
      <c r="H2023">
        <v>3891488726</v>
      </c>
      <c r="I2023">
        <v>3994333277</v>
      </c>
      <c r="J2023">
        <v>3573836038</v>
      </c>
      <c r="K2023">
        <v>3068370723</v>
      </c>
      <c r="L2023">
        <v>2832369366</v>
      </c>
      <c r="M2023">
        <v>2851883642</v>
      </c>
      <c r="N2023">
        <v>2355705387</v>
      </c>
      <c r="O2023">
        <v>2352320297</v>
      </c>
      <c r="P2023">
        <v>88</v>
      </c>
      <c r="Q2023" t="s">
        <v>4371</v>
      </c>
    </row>
    <row r="2024" spans="1:17" x14ac:dyDescent="0.3">
      <c r="A2024" t="s">
        <v>47</v>
      </c>
      <c r="B2024" t="str">
        <f>"002649"</f>
        <v>002649</v>
      </c>
      <c r="C2024" t="s">
        <v>4372</v>
      </c>
      <c r="D2024" t="s">
        <v>700</v>
      </c>
      <c r="E2024">
        <v>5035409134</v>
      </c>
      <c r="F2024">
        <v>4480623106</v>
      </c>
      <c r="G2024">
        <v>4290101357</v>
      </c>
      <c r="H2024">
        <v>3859388952</v>
      </c>
      <c r="I2024">
        <v>2943189877</v>
      </c>
      <c r="J2024">
        <v>2655351770</v>
      </c>
      <c r="K2024">
        <v>2486785665</v>
      </c>
      <c r="L2024">
        <v>2082769272</v>
      </c>
      <c r="M2024">
        <v>1705569339</v>
      </c>
      <c r="N2024">
        <v>1414297160</v>
      </c>
      <c r="O2024">
        <v>941844361</v>
      </c>
      <c r="P2024">
        <v>273</v>
      </c>
      <c r="Q2024" t="s">
        <v>4373</v>
      </c>
    </row>
    <row r="2025" spans="1:17" x14ac:dyDescent="0.3">
      <c r="A2025" t="s">
        <v>47</v>
      </c>
      <c r="B2025" t="str">
        <f>"002897"</f>
        <v>002897</v>
      </c>
      <c r="C2025" t="s">
        <v>4374</v>
      </c>
      <c r="D2025" t="s">
        <v>367</v>
      </c>
      <c r="E2025">
        <v>5033473798</v>
      </c>
      <c r="F2025">
        <v>3670613781</v>
      </c>
      <c r="G2025">
        <v>3018482417</v>
      </c>
      <c r="H2025">
        <v>1723420082</v>
      </c>
      <c r="I2025">
        <v>1464107269</v>
      </c>
      <c r="P2025">
        <v>234</v>
      </c>
      <c r="Q2025" t="s">
        <v>4375</v>
      </c>
    </row>
    <row r="2026" spans="1:17" x14ac:dyDescent="0.3">
      <c r="A2026" t="s">
        <v>17</v>
      </c>
      <c r="B2026" t="str">
        <f>"603000"</f>
        <v>603000</v>
      </c>
      <c r="C2026" t="s">
        <v>4376</v>
      </c>
      <c r="D2026" t="s">
        <v>4377</v>
      </c>
      <c r="E2026">
        <v>5028069784</v>
      </c>
      <c r="F2026">
        <v>5205403509</v>
      </c>
      <c r="G2026">
        <v>4445959616</v>
      </c>
      <c r="H2026">
        <v>3926425983</v>
      </c>
      <c r="I2026">
        <v>3534526913</v>
      </c>
      <c r="J2026">
        <v>3564748080</v>
      </c>
      <c r="K2026">
        <v>3539447295</v>
      </c>
      <c r="L2026">
        <v>3565506562</v>
      </c>
      <c r="M2026">
        <v>2847609991</v>
      </c>
      <c r="N2026">
        <v>2460953000</v>
      </c>
      <c r="P2026">
        <v>323</v>
      </c>
      <c r="Q2026" t="s">
        <v>4378</v>
      </c>
    </row>
    <row r="2027" spans="1:17" x14ac:dyDescent="0.3">
      <c r="A2027" t="s">
        <v>17</v>
      </c>
      <c r="B2027" t="str">
        <f>"688516"</f>
        <v>688516</v>
      </c>
      <c r="C2027" t="s">
        <v>4379</v>
      </c>
      <c r="D2027" t="s">
        <v>1789</v>
      </c>
      <c r="E2027">
        <v>5027113400</v>
      </c>
      <c r="F2027">
        <v>3163291652</v>
      </c>
      <c r="G2027">
        <v>1487914844</v>
      </c>
      <c r="P2027">
        <v>152</v>
      </c>
      <c r="Q2027" t="s">
        <v>4380</v>
      </c>
    </row>
    <row r="2028" spans="1:17" x14ac:dyDescent="0.3">
      <c r="A2028" t="s">
        <v>47</v>
      </c>
      <c r="B2028" t="str">
        <f>"200026"</f>
        <v>200026</v>
      </c>
      <c r="C2028" t="s">
        <v>4381</v>
      </c>
      <c r="E2028">
        <v>5026822406.1700001</v>
      </c>
      <c r="F2028">
        <v>5226091551.5839996</v>
      </c>
      <c r="G2028">
        <v>3990375589.2164998</v>
      </c>
      <c r="H2028">
        <v>4185362414.7279</v>
      </c>
      <c r="I2028">
        <v>4581887754.7930002</v>
      </c>
      <c r="J2028">
        <v>4390307055.7629995</v>
      </c>
      <c r="K2028">
        <v>4912664175.1384001</v>
      </c>
      <c r="L2028">
        <v>4921476163.75</v>
      </c>
      <c r="M2028">
        <v>4589386684.9052</v>
      </c>
      <c r="N2028">
        <v>4241067753.0707998</v>
      </c>
      <c r="O2028">
        <v>3923263879.4879999</v>
      </c>
      <c r="P2028">
        <v>52</v>
      </c>
      <c r="Q2028" t="s">
        <v>4382</v>
      </c>
    </row>
    <row r="2029" spans="1:17" x14ac:dyDescent="0.3">
      <c r="A2029" t="s">
        <v>17</v>
      </c>
      <c r="B2029" t="str">
        <f>"600382"</f>
        <v>600382</v>
      </c>
      <c r="C2029" t="s">
        <v>4383</v>
      </c>
      <c r="D2029" t="s">
        <v>810</v>
      </c>
      <c r="E2029">
        <v>5024197783</v>
      </c>
      <c r="F2029">
        <v>8217246325</v>
      </c>
      <c r="G2029">
        <v>8055860961</v>
      </c>
      <c r="H2029">
        <v>7111288145</v>
      </c>
      <c r="I2029">
        <v>6746814253</v>
      </c>
      <c r="J2029">
        <v>6405743365</v>
      </c>
      <c r="K2029">
        <v>3245590199</v>
      </c>
      <c r="L2029">
        <v>2914337105</v>
      </c>
      <c r="M2029">
        <v>1936983189</v>
      </c>
      <c r="N2029">
        <v>1651746425</v>
      </c>
      <c r="O2029">
        <v>1486057249</v>
      </c>
      <c r="P2029">
        <v>156</v>
      </c>
      <c r="Q2029" t="s">
        <v>4384</v>
      </c>
    </row>
    <row r="2030" spans="1:17" x14ac:dyDescent="0.3">
      <c r="A2030" t="s">
        <v>47</v>
      </c>
      <c r="B2030" t="str">
        <f>"002366"</f>
        <v>002366</v>
      </c>
      <c r="C2030" t="s">
        <v>4385</v>
      </c>
      <c r="D2030" t="s">
        <v>2256</v>
      </c>
      <c r="E2030">
        <v>5018207536</v>
      </c>
      <c r="F2030">
        <v>5698608274</v>
      </c>
      <c r="G2030">
        <v>6583893683</v>
      </c>
      <c r="H2030">
        <v>7090861290</v>
      </c>
      <c r="I2030">
        <v>7578458754</v>
      </c>
      <c r="J2030">
        <v>5419897491</v>
      </c>
      <c r="K2030">
        <v>4345004297</v>
      </c>
      <c r="L2030">
        <v>945226924</v>
      </c>
      <c r="M2030">
        <v>965213525</v>
      </c>
      <c r="N2030">
        <v>993854467</v>
      </c>
      <c r="O2030">
        <v>969535628</v>
      </c>
      <c r="P2030">
        <v>175</v>
      </c>
      <c r="Q2030" t="s">
        <v>4386</v>
      </c>
    </row>
    <row r="2031" spans="1:17" x14ac:dyDescent="0.3">
      <c r="A2031" t="s">
        <v>47</v>
      </c>
      <c r="B2031" t="str">
        <f>"002116"</f>
        <v>002116</v>
      </c>
      <c r="C2031" t="s">
        <v>4387</v>
      </c>
      <c r="D2031" t="s">
        <v>152</v>
      </c>
      <c r="E2031">
        <v>5017393455</v>
      </c>
      <c r="F2031">
        <v>4396713250</v>
      </c>
      <c r="G2031">
        <v>4607892996</v>
      </c>
      <c r="H2031">
        <v>4473123422</v>
      </c>
      <c r="I2031">
        <v>3887330061</v>
      </c>
      <c r="J2031">
        <v>3709459081</v>
      </c>
      <c r="K2031">
        <v>3513937793</v>
      </c>
      <c r="L2031">
        <v>3220962725</v>
      </c>
      <c r="M2031">
        <v>3283116576</v>
      </c>
      <c r="N2031">
        <v>2875364865</v>
      </c>
      <c r="O2031">
        <v>2517282276</v>
      </c>
      <c r="P2031">
        <v>176</v>
      </c>
      <c r="Q2031" t="s">
        <v>4388</v>
      </c>
    </row>
    <row r="2032" spans="1:17" x14ac:dyDescent="0.3">
      <c r="A2032" t="s">
        <v>47</v>
      </c>
      <c r="B2032" t="str">
        <f>"300196"</f>
        <v>300196</v>
      </c>
      <c r="C2032" t="s">
        <v>4389</v>
      </c>
      <c r="D2032" t="s">
        <v>923</v>
      </c>
      <c r="E2032">
        <v>5015570889</v>
      </c>
      <c r="F2032">
        <v>4003924722</v>
      </c>
      <c r="G2032">
        <v>3218363487</v>
      </c>
      <c r="H2032">
        <v>3267210582</v>
      </c>
      <c r="I2032">
        <v>3142268776</v>
      </c>
      <c r="J2032">
        <v>3054023897</v>
      </c>
      <c r="K2032">
        <v>2313512182</v>
      </c>
      <c r="L2032">
        <v>1612847605</v>
      </c>
      <c r="M2032">
        <v>1501197204</v>
      </c>
      <c r="N2032">
        <v>1321618116</v>
      </c>
      <c r="O2032">
        <v>958296975</v>
      </c>
      <c r="P2032">
        <v>232</v>
      </c>
      <c r="Q2032" t="s">
        <v>4390</v>
      </c>
    </row>
    <row r="2033" spans="1:17" x14ac:dyDescent="0.3">
      <c r="A2033" t="s">
        <v>47</v>
      </c>
      <c r="B2033" t="str">
        <f>"300502"</f>
        <v>300502</v>
      </c>
      <c r="C2033" t="s">
        <v>4391</v>
      </c>
      <c r="D2033" t="s">
        <v>367</v>
      </c>
      <c r="E2033">
        <v>5006577035</v>
      </c>
      <c r="F2033">
        <v>4272204171</v>
      </c>
      <c r="G2033">
        <v>1765623146</v>
      </c>
      <c r="H2033">
        <v>1414616559</v>
      </c>
      <c r="I2033">
        <v>1347872396</v>
      </c>
      <c r="J2033">
        <v>1246472188</v>
      </c>
      <c r="K2033">
        <v>1074205139</v>
      </c>
      <c r="P2033">
        <v>636</v>
      </c>
      <c r="Q2033" t="s">
        <v>4392</v>
      </c>
    </row>
    <row r="2034" spans="1:17" x14ac:dyDescent="0.3">
      <c r="A2034" t="s">
        <v>17</v>
      </c>
      <c r="B2034" t="str">
        <f>"688306"</f>
        <v>688306</v>
      </c>
      <c r="C2034" t="s">
        <v>4393</v>
      </c>
      <c r="E2034">
        <v>5000876505</v>
      </c>
      <c r="P2034">
        <v>3</v>
      </c>
      <c r="Q2034" t="s">
        <v>4394</v>
      </c>
    </row>
    <row r="2035" spans="1:17" x14ac:dyDescent="0.3">
      <c r="A2035" t="s">
        <v>17</v>
      </c>
      <c r="B2035" t="str">
        <f>"600207"</f>
        <v>600207</v>
      </c>
      <c r="C2035" t="s">
        <v>4395</v>
      </c>
      <c r="D2035" t="s">
        <v>1555</v>
      </c>
      <c r="E2035">
        <v>4999439838</v>
      </c>
      <c r="F2035">
        <v>2682855077</v>
      </c>
      <c r="G2035">
        <v>2333769049</v>
      </c>
      <c r="H2035">
        <v>1854909176</v>
      </c>
      <c r="I2035">
        <v>2274954414</v>
      </c>
      <c r="J2035">
        <v>2316736633</v>
      </c>
      <c r="K2035">
        <v>2228747760</v>
      </c>
      <c r="L2035">
        <v>3045945137</v>
      </c>
      <c r="M2035">
        <v>2803816880</v>
      </c>
      <c r="N2035">
        <v>2469096798</v>
      </c>
      <c r="O2035">
        <v>2558364524</v>
      </c>
      <c r="P2035">
        <v>146</v>
      </c>
      <c r="Q2035" t="s">
        <v>4396</v>
      </c>
    </row>
    <row r="2036" spans="1:17" x14ac:dyDescent="0.3">
      <c r="A2036" t="s">
        <v>17</v>
      </c>
      <c r="B2036" t="str">
        <f>"603817"</f>
        <v>603817</v>
      </c>
      <c r="C2036" t="s">
        <v>4397</v>
      </c>
      <c r="D2036" t="s">
        <v>520</v>
      </c>
      <c r="E2036">
        <v>4997252372</v>
      </c>
      <c r="F2036">
        <v>4508549479</v>
      </c>
      <c r="G2036">
        <v>4065146746</v>
      </c>
      <c r="H2036">
        <v>3279253973</v>
      </c>
      <c r="I2036">
        <v>2247519526</v>
      </c>
      <c r="J2036">
        <v>1890714901</v>
      </c>
      <c r="P2036">
        <v>121</v>
      </c>
      <c r="Q2036" t="s">
        <v>4398</v>
      </c>
    </row>
    <row r="2037" spans="1:17" x14ac:dyDescent="0.3">
      <c r="A2037" t="s">
        <v>47</v>
      </c>
      <c r="B2037" t="str">
        <f>"300258"</f>
        <v>300258</v>
      </c>
      <c r="C2037" t="s">
        <v>4399</v>
      </c>
      <c r="D2037" t="s">
        <v>274</v>
      </c>
      <c r="E2037">
        <v>4994783935</v>
      </c>
      <c r="F2037">
        <v>4310956261</v>
      </c>
      <c r="G2037">
        <v>3237713000</v>
      </c>
      <c r="H2037">
        <v>2932304451</v>
      </c>
      <c r="I2037">
        <v>2447637022</v>
      </c>
      <c r="J2037">
        <v>2099421374</v>
      </c>
      <c r="K2037">
        <v>1832499801</v>
      </c>
      <c r="L2037">
        <v>1693137379</v>
      </c>
      <c r="M2037">
        <v>1474441713</v>
      </c>
      <c r="N2037">
        <v>1178188336</v>
      </c>
      <c r="O2037">
        <v>1167634505</v>
      </c>
      <c r="P2037">
        <v>330</v>
      </c>
      <c r="Q2037" t="s">
        <v>4400</v>
      </c>
    </row>
    <row r="2038" spans="1:17" x14ac:dyDescent="0.3">
      <c r="A2038" t="s">
        <v>47</v>
      </c>
      <c r="B2038" t="str">
        <f>"002518"</f>
        <v>002518</v>
      </c>
      <c r="C2038" t="s">
        <v>4401</v>
      </c>
      <c r="D2038" t="s">
        <v>2256</v>
      </c>
      <c r="E2038">
        <v>4987802680</v>
      </c>
      <c r="F2038">
        <v>4214435253</v>
      </c>
      <c r="G2038">
        <v>3909698471</v>
      </c>
      <c r="H2038">
        <v>3707428693</v>
      </c>
      <c r="I2038">
        <v>3586764043</v>
      </c>
      <c r="J2038">
        <v>2867264396</v>
      </c>
      <c r="K2038">
        <v>2443915128</v>
      </c>
      <c r="L2038">
        <v>2121250844</v>
      </c>
      <c r="M2038">
        <v>1905759338</v>
      </c>
      <c r="N2038">
        <v>1603353505</v>
      </c>
      <c r="O2038">
        <v>1456815996</v>
      </c>
      <c r="P2038">
        <v>401</v>
      </c>
      <c r="Q2038" t="s">
        <v>4402</v>
      </c>
    </row>
    <row r="2039" spans="1:17" x14ac:dyDescent="0.3">
      <c r="A2039" t="s">
        <v>17</v>
      </c>
      <c r="B2039" t="str">
        <f>"600189"</f>
        <v>600189</v>
      </c>
      <c r="C2039" t="s">
        <v>4403</v>
      </c>
      <c r="D2039" t="s">
        <v>2157</v>
      </c>
      <c r="E2039">
        <v>4985661494</v>
      </c>
      <c r="F2039">
        <v>4863004827</v>
      </c>
      <c r="G2039">
        <v>6030150069</v>
      </c>
      <c r="H2039">
        <v>6619747098</v>
      </c>
      <c r="I2039">
        <v>6442418861</v>
      </c>
      <c r="J2039">
        <v>3928427633</v>
      </c>
      <c r="K2039">
        <v>4304472000</v>
      </c>
      <c r="L2039">
        <v>4304025045</v>
      </c>
      <c r="M2039">
        <v>3530663301</v>
      </c>
      <c r="N2039">
        <v>2948148292</v>
      </c>
      <c r="O2039">
        <v>2882611805</v>
      </c>
      <c r="P2039">
        <v>177</v>
      </c>
      <c r="Q2039" t="s">
        <v>4404</v>
      </c>
    </row>
    <row r="2040" spans="1:17" x14ac:dyDescent="0.3">
      <c r="A2040" t="s">
        <v>47</v>
      </c>
      <c r="B2040" t="str">
        <f>"000584"</f>
        <v>000584</v>
      </c>
      <c r="C2040" t="s">
        <v>4405</v>
      </c>
      <c r="D2040" t="s">
        <v>2592</v>
      </c>
      <c r="E2040">
        <v>4984414315</v>
      </c>
      <c r="F2040">
        <v>5036825282</v>
      </c>
      <c r="G2040">
        <v>5052870436</v>
      </c>
      <c r="H2040">
        <v>4578674702</v>
      </c>
      <c r="I2040">
        <v>3953434159</v>
      </c>
      <c r="J2040">
        <v>2188086711</v>
      </c>
      <c r="K2040">
        <v>2862474477</v>
      </c>
      <c r="L2040">
        <v>3232394848</v>
      </c>
      <c r="M2040">
        <v>3712531799</v>
      </c>
      <c r="N2040">
        <v>3374275959</v>
      </c>
      <c r="O2040">
        <v>3723293738</v>
      </c>
      <c r="P2040">
        <v>134</v>
      </c>
      <c r="Q2040" t="s">
        <v>4406</v>
      </c>
    </row>
    <row r="2041" spans="1:17" x14ac:dyDescent="0.3">
      <c r="A2041" t="s">
        <v>17</v>
      </c>
      <c r="B2041" t="str">
        <f>"600563"</f>
        <v>600563</v>
      </c>
      <c r="C2041" t="s">
        <v>4407</v>
      </c>
      <c r="D2041" t="s">
        <v>1808</v>
      </c>
      <c r="E2041">
        <v>4983076756</v>
      </c>
      <c r="F2041">
        <v>3806851727</v>
      </c>
      <c r="G2041">
        <v>3285842113</v>
      </c>
      <c r="H2041">
        <v>3057815879</v>
      </c>
      <c r="I2041">
        <v>2727059838</v>
      </c>
      <c r="J2041">
        <v>2504154620</v>
      </c>
      <c r="K2041">
        <v>2313798631</v>
      </c>
      <c r="L2041">
        <v>2060048148</v>
      </c>
      <c r="M2041">
        <v>1921159099</v>
      </c>
      <c r="N2041">
        <v>1745627775</v>
      </c>
      <c r="O2041">
        <v>1606053010</v>
      </c>
      <c r="P2041">
        <v>21656</v>
      </c>
      <c r="Q2041" t="s">
        <v>4408</v>
      </c>
    </row>
    <row r="2042" spans="1:17" x14ac:dyDescent="0.3">
      <c r="A2042" t="s">
        <v>17</v>
      </c>
      <c r="B2042" t="str">
        <f>"600054"</f>
        <v>600054</v>
      </c>
      <c r="C2042" t="s">
        <v>4409</v>
      </c>
      <c r="D2042" t="s">
        <v>4410</v>
      </c>
      <c r="E2042">
        <v>4982265571</v>
      </c>
      <c r="F2042">
        <v>5054790401</v>
      </c>
      <c r="G2042">
        <v>4793326908</v>
      </c>
      <c r="H2042">
        <v>4679492866</v>
      </c>
      <c r="I2042">
        <v>4691957564</v>
      </c>
      <c r="J2042">
        <v>5048844825</v>
      </c>
      <c r="K2042">
        <v>3948569016</v>
      </c>
      <c r="L2042">
        <v>3348242513</v>
      </c>
      <c r="M2042">
        <v>3226880704</v>
      </c>
      <c r="N2042">
        <v>3344300315</v>
      </c>
      <c r="O2042">
        <v>3177843588</v>
      </c>
      <c r="P2042">
        <v>380</v>
      </c>
      <c r="Q2042" t="s">
        <v>4411</v>
      </c>
    </row>
    <row r="2043" spans="1:17" x14ac:dyDescent="0.3">
      <c r="A2043" t="s">
        <v>17</v>
      </c>
      <c r="B2043" t="str">
        <f>"600055"</f>
        <v>600055</v>
      </c>
      <c r="C2043" t="s">
        <v>4412</v>
      </c>
      <c r="D2043" t="s">
        <v>1083</v>
      </c>
      <c r="E2043">
        <v>4980513009</v>
      </c>
      <c r="F2043">
        <v>2857658840</v>
      </c>
      <c r="G2043">
        <v>2760763909</v>
      </c>
      <c r="H2043">
        <v>2376558532</v>
      </c>
      <c r="I2043">
        <v>2236672316</v>
      </c>
      <c r="J2043">
        <v>2160244782</v>
      </c>
      <c r="K2043">
        <v>1881649416</v>
      </c>
      <c r="L2043">
        <v>1255571333</v>
      </c>
      <c r="M2043">
        <v>1078702236</v>
      </c>
      <c r="N2043">
        <v>1053948941</v>
      </c>
      <c r="O2043">
        <v>963776927</v>
      </c>
      <c r="P2043">
        <v>358</v>
      </c>
      <c r="Q2043" t="s">
        <v>4413</v>
      </c>
    </row>
    <row r="2044" spans="1:17" x14ac:dyDescent="0.3">
      <c r="A2044" t="s">
        <v>17</v>
      </c>
      <c r="B2044" t="str">
        <f>"603167"</f>
        <v>603167</v>
      </c>
      <c r="C2044" t="s">
        <v>4414</v>
      </c>
      <c r="D2044" t="s">
        <v>176</v>
      </c>
      <c r="E2044">
        <v>4977989249</v>
      </c>
      <c r="F2044">
        <v>5012604634</v>
      </c>
      <c r="G2044">
        <v>5363533084</v>
      </c>
      <c r="H2044">
        <v>5022976677</v>
      </c>
      <c r="I2044">
        <v>4501811408</v>
      </c>
      <c r="J2044">
        <v>3963098136</v>
      </c>
      <c r="K2044">
        <v>3853194858</v>
      </c>
      <c r="L2044">
        <v>3679878757</v>
      </c>
      <c r="M2044">
        <v>3243339060</v>
      </c>
      <c r="N2044">
        <v>2790077653</v>
      </c>
      <c r="P2044">
        <v>239</v>
      </c>
      <c r="Q2044" t="s">
        <v>4415</v>
      </c>
    </row>
    <row r="2045" spans="1:17" x14ac:dyDescent="0.3">
      <c r="A2045" t="s">
        <v>47</v>
      </c>
      <c r="B2045" t="str">
        <f>"002045"</f>
        <v>002045</v>
      </c>
      <c r="C2045" t="s">
        <v>4416</v>
      </c>
      <c r="D2045" t="s">
        <v>1238</v>
      </c>
      <c r="E2045">
        <v>4970955318</v>
      </c>
      <c r="F2045">
        <v>4548029757</v>
      </c>
      <c r="G2045">
        <v>3637796299</v>
      </c>
      <c r="H2045">
        <v>4759143139</v>
      </c>
      <c r="I2045">
        <v>4331308570</v>
      </c>
      <c r="J2045">
        <v>2839937932</v>
      </c>
      <c r="K2045">
        <v>2500790148</v>
      </c>
      <c r="L2045">
        <v>2524558759</v>
      </c>
      <c r="M2045">
        <v>2427769957</v>
      </c>
      <c r="N2045">
        <v>2416953089</v>
      </c>
      <c r="O2045">
        <v>2737456534</v>
      </c>
      <c r="P2045">
        <v>216</v>
      </c>
      <c r="Q2045" t="s">
        <v>4417</v>
      </c>
    </row>
    <row r="2046" spans="1:17" x14ac:dyDescent="0.3">
      <c r="A2046" t="s">
        <v>17</v>
      </c>
      <c r="B2046" t="str">
        <f>"603421"</f>
        <v>603421</v>
      </c>
      <c r="C2046" t="s">
        <v>4418</v>
      </c>
      <c r="D2046" t="s">
        <v>367</v>
      </c>
      <c r="E2046">
        <v>4969088808</v>
      </c>
      <c r="F2046">
        <v>3990408490</v>
      </c>
      <c r="G2046">
        <v>3597102042</v>
      </c>
      <c r="H2046">
        <v>3377364038</v>
      </c>
      <c r="I2046">
        <v>2597448116</v>
      </c>
      <c r="J2046">
        <v>2220666789</v>
      </c>
      <c r="P2046">
        <v>138</v>
      </c>
      <c r="Q2046" t="s">
        <v>4419</v>
      </c>
    </row>
    <row r="2047" spans="1:17" x14ac:dyDescent="0.3">
      <c r="A2047" t="s">
        <v>17</v>
      </c>
      <c r="B2047" t="str">
        <f>"688139"</f>
        <v>688139</v>
      </c>
      <c r="C2047" t="s">
        <v>4420</v>
      </c>
      <c r="D2047" t="s">
        <v>1083</v>
      </c>
      <c r="E2047">
        <v>4960054648</v>
      </c>
      <c r="F2047">
        <v>4551948541</v>
      </c>
      <c r="G2047">
        <v>3095967275</v>
      </c>
      <c r="H2047">
        <v>1720868833</v>
      </c>
      <c r="P2047">
        <v>349</v>
      </c>
      <c r="Q2047" t="s">
        <v>4421</v>
      </c>
    </row>
    <row r="2048" spans="1:17" x14ac:dyDescent="0.3">
      <c r="A2048" t="s">
        <v>47</v>
      </c>
      <c r="B2048" t="str">
        <f>"002057"</f>
        <v>002057</v>
      </c>
      <c r="C2048" t="s">
        <v>4422</v>
      </c>
      <c r="D2048" t="s">
        <v>2108</v>
      </c>
      <c r="E2048">
        <v>4958846038</v>
      </c>
      <c r="F2048">
        <v>4305779800</v>
      </c>
      <c r="G2048">
        <v>2083144486</v>
      </c>
      <c r="H2048">
        <v>1784382942</v>
      </c>
      <c r="I2048">
        <v>1669902869</v>
      </c>
      <c r="J2048">
        <v>681748715</v>
      </c>
      <c r="K2048">
        <v>586298722</v>
      </c>
      <c r="L2048">
        <v>597005150</v>
      </c>
      <c r="M2048">
        <v>581824946</v>
      </c>
      <c r="N2048">
        <v>596853959</v>
      </c>
      <c r="O2048">
        <v>475096063</v>
      </c>
      <c r="P2048">
        <v>126</v>
      </c>
      <c r="Q2048" t="s">
        <v>4423</v>
      </c>
    </row>
    <row r="2049" spans="1:17" x14ac:dyDescent="0.3">
      <c r="A2049" t="s">
        <v>47</v>
      </c>
      <c r="B2049" t="str">
        <f>"300415"</f>
        <v>300415</v>
      </c>
      <c r="C2049" t="s">
        <v>4424</v>
      </c>
      <c r="D2049" t="s">
        <v>1973</v>
      </c>
      <c r="E2049">
        <v>4957958767</v>
      </c>
      <c r="F2049">
        <v>3889723716</v>
      </c>
      <c r="G2049">
        <v>3240800030</v>
      </c>
      <c r="H2049">
        <v>2720453756</v>
      </c>
      <c r="I2049">
        <v>2574308340</v>
      </c>
      <c r="J2049">
        <v>1939719332</v>
      </c>
      <c r="K2049">
        <v>1487192335</v>
      </c>
      <c r="L2049">
        <v>1530678319</v>
      </c>
      <c r="P2049">
        <v>547</v>
      </c>
      <c r="Q2049" t="s">
        <v>4425</v>
      </c>
    </row>
    <row r="2050" spans="1:17" x14ac:dyDescent="0.3">
      <c r="A2050" t="s">
        <v>17</v>
      </c>
      <c r="B2050" t="str">
        <f>"603869"</f>
        <v>603869</v>
      </c>
      <c r="C2050" t="s">
        <v>4426</v>
      </c>
      <c r="D2050" t="s">
        <v>700</v>
      </c>
      <c r="E2050">
        <v>4956178593</v>
      </c>
      <c r="F2050">
        <v>6421004301</v>
      </c>
      <c r="G2050">
        <v>7269945633</v>
      </c>
      <c r="H2050">
        <v>7038878545</v>
      </c>
      <c r="I2050">
        <v>6345707105</v>
      </c>
      <c r="J2050">
        <v>5063160657</v>
      </c>
      <c r="K2050">
        <v>959410917</v>
      </c>
      <c r="L2050">
        <v>910174362</v>
      </c>
      <c r="P2050">
        <v>143</v>
      </c>
      <c r="Q2050" t="s">
        <v>4427</v>
      </c>
    </row>
    <row r="2051" spans="1:17" x14ac:dyDescent="0.3">
      <c r="A2051" t="s">
        <v>47</v>
      </c>
      <c r="B2051" t="str">
        <f>"300497"</f>
        <v>300497</v>
      </c>
      <c r="C2051" t="s">
        <v>4428</v>
      </c>
      <c r="D2051" t="s">
        <v>1112</v>
      </c>
      <c r="E2051">
        <v>4953639416</v>
      </c>
      <c r="F2051">
        <v>4239466343</v>
      </c>
      <c r="G2051">
        <v>2878808566</v>
      </c>
      <c r="H2051">
        <v>2527146198</v>
      </c>
      <c r="I2051">
        <v>1889252414</v>
      </c>
      <c r="J2051">
        <v>1501516654</v>
      </c>
      <c r="K2051">
        <v>1008034678</v>
      </c>
      <c r="L2051">
        <v>658445602</v>
      </c>
      <c r="P2051">
        <v>4722</v>
      </c>
      <c r="Q2051" t="s">
        <v>4429</v>
      </c>
    </row>
    <row r="2052" spans="1:17" x14ac:dyDescent="0.3">
      <c r="A2052" t="s">
        <v>17</v>
      </c>
      <c r="B2052" t="str">
        <f>"603801"</f>
        <v>603801</v>
      </c>
      <c r="C2052" t="s">
        <v>4430</v>
      </c>
      <c r="D2052" t="s">
        <v>1505</v>
      </c>
      <c r="E2052">
        <v>4943115550</v>
      </c>
      <c r="F2052">
        <v>4245793205</v>
      </c>
      <c r="G2052">
        <v>2963870735</v>
      </c>
      <c r="H2052">
        <v>2529444361</v>
      </c>
      <c r="I2052">
        <v>2320424629</v>
      </c>
      <c r="J2052">
        <v>1351339807</v>
      </c>
      <c r="P2052">
        <v>768</v>
      </c>
      <c r="Q2052" t="s">
        <v>4431</v>
      </c>
    </row>
    <row r="2053" spans="1:17" x14ac:dyDescent="0.3">
      <c r="A2053" t="s">
        <v>47</v>
      </c>
      <c r="B2053" t="str">
        <f>"300630"</f>
        <v>300630</v>
      </c>
      <c r="C2053" t="s">
        <v>4432</v>
      </c>
      <c r="D2053" t="s">
        <v>550</v>
      </c>
      <c r="E2053">
        <v>4939389762</v>
      </c>
      <c r="F2053">
        <v>3987868404</v>
      </c>
      <c r="G2053">
        <v>1911516393</v>
      </c>
      <c r="H2053">
        <v>1164293348</v>
      </c>
      <c r="I2053">
        <v>890059289</v>
      </c>
      <c r="J2053">
        <v>775056528</v>
      </c>
      <c r="P2053">
        <v>1261</v>
      </c>
      <c r="Q2053" t="s">
        <v>4433</v>
      </c>
    </row>
    <row r="2054" spans="1:17" x14ac:dyDescent="0.3">
      <c r="A2054" t="s">
        <v>47</v>
      </c>
      <c r="B2054" t="str">
        <f>"002490"</f>
        <v>002490</v>
      </c>
      <c r="C2054" t="s">
        <v>4434</v>
      </c>
      <c r="D2054" t="s">
        <v>607</v>
      </c>
      <c r="E2054">
        <v>4933487780</v>
      </c>
      <c r="F2054">
        <v>4945297224</v>
      </c>
      <c r="G2054">
        <v>5564065752</v>
      </c>
      <c r="H2054">
        <v>6575307765</v>
      </c>
      <c r="I2054">
        <v>6015350682</v>
      </c>
      <c r="J2054">
        <v>5509109481</v>
      </c>
      <c r="K2054">
        <v>6379084643</v>
      </c>
      <c r="L2054">
        <v>6237632024</v>
      </c>
      <c r="M2054">
        <v>6194155592</v>
      </c>
      <c r="N2054">
        <v>5804167985</v>
      </c>
      <c r="O2054">
        <v>5239847906</v>
      </c>
      <c r="P2054">
        <v>82</v>
      </c>
      <c r="Q2054" t="s">
        <v>4435</v>
      </c>
    </row>
    <row r="2055" spans="1:17" x14ac:dyDescent="0.3">
      <c r="A2055" t="s">
        <v>47</v>
      </c>
      <c r="B2055" t="str">
        <f>"002324"</f>
        <v>002324</v>
      </c>
      <c r="C2055" t="s">
        <v>4436</v>
      </c>
      <c r="D2055" t="s">
        <v>833</v>
      </c>
      <c r="E2055">
        <v>4933442831</v>
      </c>
      <c r="F2055">
        <v>4479947188</v>
      </c>
      <c r="G2055">
        <v>4094554972</v>
      </c>
      <c r="H2055">
        <v>3693371452</v>
      </c>
      <c r="I2055">
        <v>3812175134</v>
      </c>
      <c r="J2055">
        <v>3608357057</v>
      </c>
      <c r="K2055">
        <v>2996808408</v>
      </c>
      <c r="L2055">
        <v>2914391756</v>
      </c>
      <c r="M2055">
        <v>1987947069</v>
      </c>
      <c r="N2055">
        <v>1689899343</v>
      </c>
      <c r="O2055">
        <v>1328873224</v>
      </c>
      <c r="P2055">
        <v>212</v>
      </c>
      <c r="Q2055" t="s">
        <v>4437</v>
      </c>
    </row>
    <row r="2056" spans="1:17" x14ac:dyDescent="0.3">
      <c r="A2056" t="s">
        <v>47</v>
      </c>
      <c r="B2056" t="str">
        <f>"300303"</f>
        <v>300303</v>
      </c>
      <c r="C2056" t="s">
        <v>4438</v>
      </c>
      <c r="D2056" t="s">
        <v>862</v>
      </c>
      <c r="E2056">
        <v>4932168007</v>
      </c>
      <c r="F2056">
        <v>4966709589</v>
      </c>
      <c r="G2056">
        <v>3884833194</v>
      </c>
      <c r="H2056">
        <v>3341598241</v>
      </c>
      <c r="I2056">
        <v>3370950131</v>
      </c>
      <c r="J2056">
        <v>2999040929</v>
      </c>
      <c r="K2056">
        <v>2430621193</v>
      </c>
      <c r="L2056">
        <v>1441625862</v>
      </c>
      <c r="M2056">
        <v>1315161668</v>
      </c>
      <c r="N2056">
        <v>1017853001</v>
      </c>
      <c r="O2056">
        <v>904310165</v>
      </c>
      <c r="P2056">
        <v>256</v>
      </c>
      <c r="Q2056" t="s">
        <v>4439</v>
      </c>
    </row>
    <row r="2057" spans="1:17" x14ac:dyDescent="0.3">
      <c r="A2057" t="s">
        <v>17</v>
      </c>
      <c r="B2057" t="str">
        <f>"600826"</f>
        <v>600826</v>
      </c>
      <c r="C2057" t="s">
        <v>4440</v>
      </c>
      <c r="D2057" t="s">
        <v>4441</v>
      </c>
      <c r="E2057">
        <v>4930392989</v>
      </c>
      <c r="F2057">
        <v>5002040401</v>
      </c>
      <c r="G2057">
        <v>4263506425</v>
      </c>
      <c r="H2057">
        <v>4591854689</v>
      </c>
      <c r="I2057">
        <v>4466677036</v>
      </c>
      <c r="J2057">
        <v>4876160574</v>
      </c>
      <c r="K2057">
        <v>5058428791</v>
      </c>
      <c r="L2057">
        <v>5421691203</v>
      </c>
      <c r="M2057">
        <v>2660726796</v>
      </c>
      <c r="N2057">
        <v>2770260563</v>
      </c>
      <c r="O2057">
        <v>2534841010</v>
      </c>
      <c r="P2057">
        <v>145</v>
      </c>
      <c r="Q2057" t="s">
        <v>4442</v>
      </c>
    </row>
    <row r="2058" spans="1:17" x14ac:dyDescent="0.3">
      <c r="A2058" t="s">
        <v>17</v>
      </c>
      <c r="B2058" t="str">
        <f>"603587"</f>
        <v>603587</v>
      </c>
      <c r="C2058" t="s">
        <v>4443</v>
      </c>
      <c r="D2058" t="s">
        <v>628</v>
      </c>
      <c r="E2058">
        <v>4927858599</v>
      </c>
      <c r="F2058">
        <v>4557979585</v>
      </c>
      <c r="G2058">
        <v>4098907062</v>
      </c>
      <c r="H2058">
        <v>3722511297</v>
      </c>
      <c r="I2058">
        <v>1895831883</v>
      </c>
      <c r="P2058">
        <v>1011</v>
      </c>
      <c r="Q2058" t="s">
        <v>4444</v>
      </c>
    </row>
    <row r="2059" spans="1:17" x14ac:dyDescent="0.3">
      <c r="A2059" t="s">
        <v>47</v>
      </c>
      <c r="B2059" t="str">
        <f>"300953"</f>
        <v>300953</v>
      </c>
      <c r="C2059" t="s">
        <v>4445</v>
      </c>
      <c r="D2059" t="s">
        <v>401</v>
      </c>
      <c r="E2059">
        <v>4924902074</v>
      </c>
      <c r="F2059">
        <v>2878330075</v>
      </c>
      <c r="P2059">
        <v>84</v>
      </c>
      <c r="Q2059" t="s">
        <v>4446</v>
      </c>
    </row>
    <row r="2060" spans="1:17" x14ac:dyDescent="0.3">
      <c r="A2060" t="s">
        <v>47</v>
      </c>
      <c r="B2060" t="str">
        <f>"002383"</f>
        <v>002383</v>
      </c>
      <c r="C2060" t="s">
        <v>4447</v>
      </c>
      <c r="D2060" t="s">
        <v>1385</v>
      </c>
      <c r="E2060">
        <v>4923260578</v>
      </c>
      <c r="F2060">
        <v>7201031504</v>
      </c>
      <c r="G2060">
        <v>8185744003</v>
      </c>
      <c r="H2060">
        <v>9079966396</v>
      </c>
      <c r="I2060">
        <v>8702362137</v>
      </c>
      <c r="J2060">
        <v>4958667843</v>
      </c>
      <c r="K2060">
        <v>2582411840</v>
      </c>
      <c r="L2060">
        <v>1837334202</v>
      </c>
      <c r="M2060">
        <v>1702389736</v>
      </c>
      <c r="N2060">
        <v>1557956585</v>
      </c>
      <c r="O2060">
        <v>1619134721</v>
      </c>
      <c r="P2060">
        <v>211</v>
      </c>
      <c r="Q2060" t="s">
        <v>4448</v>
      </c>
    </row>
    <row r="2061" spans="1:17" x14ac:dyDescent="0.3">
      <c r="A2061" t="s">
        <v>17</v>
      </c>
      <c r="B2061" t="str">
        <f>"605006"</f>
        <v>605006</v>
      </c>
      <c r="C2061" t="s">
        <v>4449</v>
      </c>
      <c r="D2061" t="s">
        <v>923</v>
      </c>
      <c r="E2061">
        <v>4920440911</v>
      </c>
      <c r="F2061">
        <v>4823363885</v>
      </c>
      <c r="P2061">
        <v>121</v>
      </c>
      <c r="Q2061" t="s">
        <v>4450</v>
      </c>
    </row>
    <row r="2062" spans="1:17" x14ac:dyDescent="0.3">
      <c r="A2062" t="s">
        <v>17</v>
      </c>
      <c r="B2062" t="str">
        <f>"688101"</f>
        <v>688101</v>
      </c>
      <c r="C2062" t="s">
        <v>4451</v>
      </c>
      <c r="D2062" t="s">
        <v>520</v>
      </c>
      <c r="E2062">
        <v>4917615979</v>
      </c>
      <c r="F2062">
        <v>4531955562</v>
      </c>
      <c r="G2062">
        <v>4291978988</v>
      </c>
      <c r="P2062">
        <v>77</v>
      </c>
      <c r="Q2062" t="s">
        <v>4452</v>
      </c>
    </row>
    <row r="2063" spans="1:17" x14ac:dyDescent="0.3">
      <c r="A2063" t="s">
        <v>47</v>
      </c>
      <c r="B2063" t="str">
        <f>"000716"</f>
        <v>000716</v>
      </c>
      <c r="C2063" t="s">
        <v>4453</v>
      </c>
      <c r="D2063" t="s">
        <v>3790</v>
      </c>
      <c r="E2063">
        <v>4917047147</v>
      </c>
      <c r="F2063">
        <v>5243306208</v>
      </c>
      <c r="G2063">
        <v>5179612186</v>
      </c>
      <c r="H2063">
        <v>5181284948</v>
      </c>
      <c r="I2063">
        <v>4985644463</v>
      </c>
      <c r="J2063">
        <v>3209153942</v>
      </c>
      <c r="K2063">
        <v>2992041704</v>
      </c>
      <c r="L2063">
        <v>2369329613</v>
      </c>
      <c r="M2063">
        <v>1437264974</v>
      </c>
      <c r="N2063">
        <v>981009476</v>
      </c>
      <c r="O2063">
        <v>854107656</v>
      </c>
      <c r="P2063">
        <v>163</v>
      </c>
      <c r="Q2063" t="s">
        <v>4454</v>
      </c>
    </row>
    <row r="2064" spans="1:17" x14ac:dyDescent="0.3">
      <c r="A2064" t="s">
        <v>17</v>
      </c>
      <c r="B2064" t="str">
        <f>"603828"</f>
        <v>603828</v>
      </c>
      <c r="C2064" t="s">
        <v>4455</v>
      </c>
      <c r="D2064" t="s">
        <v>1163</v>
      </c>
      <c r="E2064">
        <v>4916609618</v>
      </c>
      <c r="F2064">
        <v>4697338420</v>
      </c>
      <c r="G2064">
        <v>3790646548</v>
      </c>
      <c r="H2064">
        <v>3267991449</v>
      </c>
      <c r="I2064">
        <v>3323246252</v>
      </c>
      <c r="J2064">
        <v>2766764389</v>
      </c>
      <c r="K2064">
        <v>2029930943</v>
      </c>
      <c r="L2064">
        <v>2029523281</v>
      </c>
      <c r="P2064">
        <v>66</v>
      </c>
      <c r="Q2064" t="s">
        <v>4456</v>
      </c>
    </row>
    <row r="2065" spans="1:17" x14ac:dyDescent="0.3">
      <c r="A2065" t="s">
        <v>17</v>
      </c>
      <c r="B2065" t="str">
        <f>"600128"</f>
        <v>600128</v>
      </c>
      <c r="C2065" t="s">
        <v>4457</v>
      </c>
      <c r="D2065" t="s">
        <v>768</v>
      </c>
      <c r="E2065">
        <v>4908530254</v>
      </c>
      <c r="F2065">
        <v>4336990295</v>
      </c>
      <c r="G2065">
        <v>3696660612</v>
      </c>
      <c r="H2065">
        <v>3332378595</v>
      </c>
      <c r="I2065">
        <v>2888277124</v>
      </c>
      <c r="J2065">
        <v>3021548119</v>
      </c>
      <c r="K2065">
        <v>2746665059</v>
      </c>
      <c r="L2065">
        <v>3288735478</v>
      </c>
      <c r="M2065">
        <v>3088199103</v>
      </c>
      <c r="N2065">
        <v>2755644942</v>
      </c>
      <c r="O2065">
        <v>2816930900</v>
      </c>
      <c r="P2065">
        <v>77</v>
      </c>
      <c r="Q2065" t="s">
        <v>4458</v>
      </c>
    </row>
    <row r="2066" spans="1:17" x14ac:dyDescent="0.3">
      <c r="A2066" t="s">
        <v>47</v>
      </c>
      <c r="B2066" t="str">
        <f>"300806"</f>
        <v>300806</v>
      </c>
      <c r="C2066" t="s">
        <v>4459</v>
      </c>
      <c r="D2066" t="s">
        <v>2485</v>
      </c>
      <c r="E2066">
        <v>4907816915</v>
      </c>
      <c r="F2066">
        <v>3476268846</v>
      </c>
      <c r="G2066">
        <v>2326184482</v>
      </c>
      <c r="P2066">
        <v>168</v>
      </c>
      <c r="Q2066" t="s">
        <v>4460</v>
      </c>
    </row>
    <row r="2067" spans="1:17" x14ac:dyDescent="0.3">
      <c r="A2067" t="s">
        <v>17</v>
      </c>
      <c r="B2067" t="str">
        <f>"688128"</f>
        <v>688128</v>
      </c>
      <c r="C2067" t="s">
        <v>4461</v>
      </c>
      <c r="D2067" t="s">
        <v>1973</v>
      </c>
      <c r="E2067">
        <v>4907529600</v>
      </c>
      <c r="F2067">
        <v>3942079500</v>
      </c>
      <c r="G2067">
        <v>3412854700</v>
      </c>
      <c r="H2067">
        <v>2555293154</v>
      </c>
      <c r="P2067">
        <v>68</v>
      </c>
      <c r="Q2067" t="s">
        <v>4462</v>
      </c>
    </row>
    <row r="2068" spans="1:17" x14ac:dyDescent="0.3">
      <c r="A2068" t="s">
        <v>17</v>
      </c>
      <c r="B2068" t="str">
        <f>"601020"</f>
        <v>601020</v>
      </c>
      <c r="C2068" t="s">
        <v>4463</v>
      </c>
      <c r="D2068" t="s">
        <v>600</v>
      </c>
      <c r="E2068">
        <v>4901451227</v>
      </c>
      <c r="F2068">
        <v>4815835119</v>
      </c>
      <c r="G2068">
        <v>4518510438</v>
      </c>
      <c r="H2068">
        <v>3856959188</v>
      </c>
      <c r="I2068">
        <v>3111108289</v>
      </c>
      <c r="J2068">
        <v>2666322442</v>
      </c>
      <c r="K2068">
        <v>2515017692</v>
      </c>
      <c r="P2068">
        <v>180</v>
      </c>
      <c r="Q2068" t="s">
        <v>4464</v>
      </c>
    </row>
    <row r="2069" spans="1:17" x14ac:dyDescent="0.3">
      <c r="A2069" t="s">
        <v>47</v>
      </c>
      <c r="B2069" t="str">
        <f>"002627"</f>
        <v>002627</v>
      </c>
      <c r="C2069" t="s">
        <v>4465</v>
      </c>
      <c r="D2069" t="s">
        <v>1773</v>
      </c>
      <c r="E2069">
        <v>4897535596</v>
      </c>
      <c r="F2069">
        <v>4191036744</v>
      </c>
      <c r="G2069">
        <v>4168986063</v>
      </c>
      <c r="H2069">
        <v>3757361368</v>
      </c>
      <c r="I2069">
        <v>3505956170</v>
      </c>
      <c r="J2069">
        <v>2190675945</v>
      </c>
      <c r="K2069">
        <v>2164361199</v>
      </c>
      <c r="L2069">
        <v>2020423848</v>
      </c>
      <c r="M2069">
        <v>1922240144</v>
      </c>
      <c r="N2069">
        <v>1578187038</v>
      </c>
      <c r="O2069">
        <v>1355930687</v>
      </c>
      <c r="P2069">
        <v>99</v>
      </c>
      <c r="Q2069" t="s">
        <v>4466</v>
      </c>
    </row>
    <row r="2070" spans="1:17" x14ac:dyDescent="0.3">
      <c r="A2070" t="s">
        <v>17</v>
      </c>
      <c r="B2070" t="str">
        <f>"600556"</f>
        <v>600556</v>
      </c>
      <c r="C2070" t="s">
        <v>4467</v>
      </c>
      <c r="D2070" t="s">
        <v>1824</v>
      </c>
      <c r="E2070">
        <v>4895014240</v>
      </c>
      <c r="F2070">
        <v>4190676431</v>
      </c>
      <c r="G2070">
        <v>1745576551</v>
      </c>
      <c r="H2070">
        <v>101332621</v>
      </c>
      <c r="I2070">
        <v>122316213</v>
      </c>
      <c r="J2070">
        <v>132108385</v>
      </c>
      <c r="K2070">
        <v>123046429</v>
      </c>
      <c r="L2070">
        <v>62267823</v>
      </c>
      <c r="M2070">
        <v>56696095</v>
      </c>
      <c r="N2070">
        <v>49982783</v>
      </c>
      <c r="O2070">
        <v>38025809</v>
      </c>
      <c r="P2070">
        <v>218</v>
      </c>
      <c r="Q2070" t="s">
        <v>4468</v>
      </c>
    </row>
    <row r="2071" spans="1:17" x14ac:dyDescent="0.3">
      <c r="A2071" t="s">
        <v>17</v>
      </c>
      <c r="B2071" t="str">
        <f>"605296"</f>
        <v>605296</v>
      </c>
      <c r="C2071" t="s">
        <v>4469</v>
      </c>
      <c r="D2071" t="s">
        <v>354</v>
      </c>
      <c r="E2071">
        <v>4889862631</v>
      </c>
      <c r="F2071">
        <v>3106634556</v>
      </c>
      <c r="P2071">
        <v>59</v>
      </c>
      <c r="Q2071" t="s">
        <v>4470</v>
      </c>
    </row>
    <row r="2072" spans="1:17" x14ac:dyDescent="0.3">
      <c r="A2072" t="s">
        <v>17</v>
      </c>
      <c r="B2072" t="str">
        <f>"603786"</f>
        <v>603786</v>
      </c>
      <c r="C2072" t="s">
        <v>4471</v>
      </c>
      <c r="D2072" t="s">
        <v>836</v>
      </c>
      <c r="E2072">
        <v>4881410690</v>
      </c>
      <c r="F2072">
        <v>4720300445</v>
      </c>
      <c r="G2072">
        <v>3926390026</v>
      </c>
      <c r="P2072">
        <v>345</v>
      </c>
      <c r="Q2072" t="s">
        <v>4472</v>
      </c>
    </row>
    <row r="2073" spans="1:17" x14ac:dyDescent="0.3">
      <c r="A2073" t="s">
        <v>17</v>
      </c>
      <c r="B2073" t="str">
        <f>"600197"</f>
        <v>600197</v>
      </c>
      <c r="C2073" t="s">
        <v>4473</v>
      </c>
      <c r="D2073" t="s">
        <v>286</v>
      </c>
      <c r="E2073">
        <v>4874906845</v>
      </c>
      <c r="F2073">
        <v>4564460072</v>
      </c>
      <c r="G2073">
        <v>4194916501</v>
      </c>
      <c r="H2073">
        <v>4186958832</v>
      </c>
      <c r="I2073">
        <v>3204000306</v>
      </c>
      <c r="J2073">
        <v>2591394782</v>
      </c>
      <c r="K2073">
        <v>2449563378</v>
      </c>
      <c r="L2073">
        <v>2203359683</v>
      </c>
      <c r="M2073">
        <v>2218803048</v>
      </c>
      <c r="N2073">
        <v>2768871874</v>
      </c>
      <c r="O2073">
        <v>2243485420</v>
      </c>
      <c r="P2073">
        <v>1080</v>
      </c>
      <c r="Q2073" t="s">
        <v>4474</v>
      </c>
    </row>
    <row r="2074" spans="1:17" x14ac:dyDescent="0.3">
      <c r="A2074" t="s">
        <v>47</v>
      </c>
      <c r="B2074" t="str">
        <f>"300340"</f>
        <v>300340</v>
      </c>
      <c r="C2074" t="s">
        <v>4475</v>
      </c>
      <c r="D2074" t="s">
        <v>1017</v>
      </c>
      <c r="E2074">
        <v>4873949113</v>
      </c>
      <c r="F2074">
        <v>2858830695</v>
      </c>
      <c r="G2074">
        <v>3227605795</v>
      </c>
      <c r="H2074">
        <v>3681067254</v>
      </c>
      <c r="I2074">
        <v>3748833633</v>
      </c>
      <c r="J2074">
        <v>2402579142</v>
      </c>
      <c r="K2074">
        <v>1034964115</v>
      </c>
      <c r="L2074">
        <v>1005752614</v>
      </c>
      <c r="M2074">
        <v>1110412554</v>
      </c>
      <c r="N2074">
        <v>1134272877</v>
      </c>
      <c r="P2074">
        <v>96</v>
      </c>
      <c r="Q2074" t="s">
        <v>4476</v>
      </c>
    </row>
    <row r="2075" spans="1:17" x14ac:dyDescent="0.3">
      <c r="A2075" t="s">
        <v>47</v>
      </c>
      <c r="B2075" t="str">
        <f>"002551"</f>
        <v>002551</v>
      </c>
      <c r="C2075" t="s">
        <v>4477</v>
      </c>
      <c r="D2075" t="s">
        <v>1650</v>
      </c>
      <c r="E2075">
        <v>4873573715</v>
      </c>
      <c r="F2075">
        <v>5161433961</v>
      </c>
      <c r="G2075">
        <v>4748103671</v>
      </c>
      <c r="H2075">
        <v>4789580963</v>
      </c>
      <c r="I2075">
        <v>4196188454</v>
      </c>
      <c r="J2075">
        <v>4184936536</v>
      </c>
      <c r="K2075">
        <v>3142079045</v>
      </c>
      <c r="L2075">
        <v>2677209930</v>
      </c>
      <c r="M2075">
        <v>2133880021</v>
      </c>
      <c r="N2075">
        <v>1551788257</v>
      </c>
      <c r="O2075">
        <v>1351057974</v>
      </c>
      <c r="P2075">
        <v>242</v>
      </c>
      <c r="Q2075" t="s">
        <v>4478</v>
      </c>
    </row>
    <row r="2076" spans="1:17" x14ac:dyDescent="0.3">
      <c r="A2076" t="s">
        <v>47</v>
      </c>
      <c r="B2076" t="str">
        <f>"002438"</f>
        <v>002438</v>
      </c>
      <c r="C2076" t="s">
        <v>4479</v>
      </c>
      <c r="D2076" t="s">
        <v>401</v>
      </c>
      <c r="E2076">
        <v>4871447344</v>
      </c>
      <c r="F2076">
        <v>3504148263</v>
      </c>
      <c r="G2076">
        <v>3418749757</v>
      </c>
      <c r="H2076">
        <v>3380083268</v>
      </c>
      <c r="I2076">
        <v>2961688541</v>
      </c>
      <c r="J2076">
        <v>2301810322</v>
      </c>
      <c r="K2076">
        <v>1814449185</v>
      </c>
      <c r="L2076">
        <v>1281574414</v>
      </c>
      <c r="M2076">
        <v>1226032991</v>
      </c>
      <c r="N2076">
        <v>1168934486</v>
      </c>
      <c r="O2076">
        <v>1082114097</v>
      </c>
      <c r="P2076">
        <v>185</v>
      </c>
      <c r="Q2076" t="s">
        <v>4480</v>
      </c>
    </row>
    <row r="2077" spans="1:17" x14ac:dyDescent="0.3">
      <c r="A2077" t="s">
        <v>17</v>
      </c>
      <c r="B2077" t="str">
        <f>"600897"</f>
        <v>600897</v>
      </c>
      <c r="C2077" t="s">
        <v>4481</v>
      </c>
      <c r="D2077" t="s">
        <v>873</v>
      </c>
      <c r="E2077">
        <v>4867590778</v>
      </c>
      <c r="F2077">
        <v>4758882651</v>
      </c>
      <c r="G2077">
        <v>4492611448</v>
      </c>
      <c r="H2077">
        <v>4610575150</v>
      </c>
      <c r="I2077">
        <v>4545123667</v>
      </c>
      <c r="J2077">
        <v>4337764544</v>
      </c>
      <c r="K2077">
        <v>4064216880</v>
      </c>
      <c r="L2077">
        <v>3846985975</v>
      </c>
      <c r="M2077">
        <v>3209890752</v>
      </c>
      <c r="N2077">
        <v>2811521360</v>
      </c>
      <c r="O2077">
        <v>2364727836</v>
      </c>
      <c r="P2077">
        <v>479</v>
      </c>
      <c r="Q2077" t="s">
        <v>4482</v>
      </c>
    </row>
    <row r="2078" spans="1:17" x14ac:dyDescent="0.3">
      <c r="A2078" t="s">
        <v>17</v>
      </c>
      <c r="B2078" t="str">
        <f>"688336"</f>
        <v>688336</v>
      </c>
      <c r="C2078" t="s">
        <v>4483</v>
      </c>
      <c r="D2078" t="s">
        <v>1480</v>
      </c>
      <c r="E2078">
        <v>4866668729</v>
      </c>
      <c r="F2078">
        <v>4823367322</v>
      </c>
      <c r="G2078">
        <v>3378363823</v>
      </c>
      <c r="P2078">
        <v>52</v>
      </c>
      <c r="Q2078" t="s">
        <v>4484</v>
      </c>
    </row>
    <row r="2079" spans="1:17" x14ac:dyDescent="0.3">
      <c r="A2079" t="s">
        <v>17</v>
      </c>
      <c r="B2079" t="str">
        <f>"603112"</f>
        <v>603112</v>
      </c>
      <c r="C2079" t="s">
        <v>4485</v>
      </c>
      <c r="D2079" t="s">
        <v>1511</v>
      </c>
      <c r="E2079">
        <v>4864965869</v>
      </c>
      <c r="F2079">
        <v>3153165970</v>
      </c>
      <c r="P2079">
        <v>48</v>
      </c>
      <c r="Q2079" t="s">
        <v>4486</v>
      </c>
    </row>
    <row r="2080" spans="1:17" x14ac:dyDescent="0.3">
      <c r="A2080" t="s">
        <v>47</v>
      </c>
      <c r="B2080" t="str">
        <f>"300315"</f>
        <v>300315</v>
      </c>
      <c r="C2080" t="s">
        <v>4487</v>
      </c>
      <c r="D2080" t="s">
        <v>1032</v>
      </c>
      <c r="E2080">
        <v>4862298835</v>
      </c>
      <c r="F2080">
        <v>6332711110</v>
      </c>
      <c r="G2080">
        <v>6213700306</v>
      </c>
      <c r="H2080">
        <v>6272919152</v>
      </c>
      <c r="I2080">
        <v>9807103689</v>
      </c>
      <c r="J2080">
        <v>10493919747</v>
      </c>
      <c r="K2080">
        <v>9249308782</v>
      </c>
      <c r="L2080">
        <v>5081212902</v>
      </c>
      <c r="M2080">
        <v>1980385089</v>
      </c>
      <c r="N2080">
        <v>924079689</v>
      </c>
      <c r="O2080">
        <v>245474540</v>
      </c>
      <c r="P2080">
        <v>456</v>
      </c>
      <c r="Q2080" t="s">
        <v>4488</v>
      </c>
    </row>
    <row r="2081" spans="1:17" x14ac:dyDescent="0.3">
      <c r="A2081" t="s">
        <v>47</v>
      </c>
      <c r="B2081" t="str">
        <f>"002521"</f>
        <v>002521</v>
      </c>
      <c r="C2081" t="s">
        <v>4489</v>
      </c>
      <c r="D2081" t="s">
        <v>2612</v>
      </c>
      <c r="E2081">
        <v>4856761980</v>
      </c>
      <c r="F2081">
        <v>5001950452</v>
      </c>
      <c r="G2081">
        <v>4607030757</v>
      </c>
      <c r="H2081">
        <v>4413321223</v>
      </c>
      <c r="I2081">
        <v>4333613217</v>
      </c>
      <c r="J2081">
        <v>4243177344</v>
      </c>
      <c r="K2081">
        <v>4147660674</v>
      </c>
      <c r="L2081">
        <v>3990509184</v>
      </c>
      <c r="M2081">
        <v>3442884179</v>
      </c>
      <c r="N2081">
        <v>3350935646</v>
      </c>
      <c r="O2081">
        <v>2688279095</v>
      </c>
      <c r="P2081">
        <v>132</v>
      </c>
      <c r="Q2081" t="s">
        <v>4490</v>
      </c>
    </row>
    <row r="2082" spans="1:17" x14ac:dyDescent="0.3">
      <c r="A2082" t="s">
        <v>47</v>
      </c>
      <c r="B2082" t="str">
        <f>"300038"</f>
        <v>300038</v>
      </c>
      <c r="C2082" t="s">
        <v>4491</v>
      </c>
      <c r="D2082" t="s">
        <v>1824</v>
      </c>
      <c r="E2082">
        <v>4855943835</v>
      </c>
      <c r="F2082">
        <v>5179119563</v>
      </c>
      <c r="G2082">
        <v>14738595334</v>
      </c>
      <c r="H2082">
        <v>13533113957</v>
      </c>
      <c r="I2082">
        <v>12256163421</v>
      </c>
      <c r="J2082">
        <v>10482836003</v>
      </c>
      <c r="K2082">
        <v>2991844166</v>
      </c>
      <c r="L2082">
        <v>2067532028</v>
      </c>
      <c r="M2082">
        <v>1590437289</v>
      </c>
      <c r="N2082">
        <v>1314173091</v>
      </c>
      <c r="O2082">
        <v>1073973360</v>
      </c>
      <c r="P2082">
        <v>263</v>
      </c>
      <c r="Q2082" t="s">
        <v>4492</v>
      </c>
    </row>
    <row r="2083" spans="1:17" x14ac:dyDescent="0.3">
      <c r="A2083" t="s">
        <v>17</v>
      </c>
      <c r="B2083" t="str">
        <f>"603605"</f>
        <v>603605</v>
      </c>
      <c r="C2083" t="s">
        <v>4493</v>
      </c>
      <c r="D2083" t="s">
        <v>2419</v>
      </c>
      <c r="E2083">
        <v>4845558050</v>
      </c>
      <c r="F2083">
        <v>3473279572</v>
      </c>
      <c r="G2083">
        <v>2763586897</v>
      </c>
      <c r="H2083">
        <v>2749038946</v>
      </c>
      <c r="I2083">
        <v>2410315184</v>
      </c>
      <c r="P2083">
        <v>1725</v>
      </c>
      <c r="Q2083" t="s">
        <v>4494</v>
      </c>
    </row>
    <row r="2084" spans="1:17" x14ac:dyDescent="0.3">
      <c r="A2084" t="s">
        <v>17</v>
      </c>
      <c r="B2084" t="str">
        <f>"603212"</f>
        <v>603212</v>
      </c>
      <c r="C2084" t="s">
        <v>4495</v>
      </c>
      <c r="D2084" t="s">
        <v>1555</v>
      </c>
      <c r="E2084">
        <v>4841970288</v>
      </c>
      <c r="F2084">
        <v>3651497704</v>
      </c>
      <c r="G2084">
        <v>2227925889</v>
      </c>
      <c r="P2084">
        <v>129</v>
      </c>
      <c r="Q2084" t="s">
        <v>4496</v>
      </c>
    </row>
    <row r="2085" spans="1:17" x14ac:dyDescent="0.3">
      <c r="A2085" t="s">
        <v>17</v>
      </c>
      <c r="B2085" t="str">
        <f>"688519"</f>
        <v>688519</v>
      </c>
      <c r="C2085" t="s">
        <v>4497</v>
      </c>
      <c r="D2085" t="s">
        <v>1115</v>
      </c>
      <c r="E2085">
        <v>4841947214</v>
      </c>
      <c r="F2085">
        <v>4030710936</v>
      </c>
      <c r="G2085">
        <v>1908932119</v>
      </c>
      <c r="P2085">
        <v>80</v>
      </c>
      <c r="Q2085" t="s">
        <v>4498</v>
      </c>
    </row>
    <row r="2086" spans="1:17" x14ac:dyDescent="0.3">
      <c r="A2086" t="s">
        <v>47</v>
      </c>
      <c r="B2086" t="str">
        <f>"000692"</f>
        <v>000692</v>
      </c>
      <c r="C2086" t="s">
        <v>4499</v>
      </c>
      <c r="D2086" t="s">
        <v>1293</v>
      </c>
      <c r="E2086">
        <v>4839450446</v>
      </c>
      <c r="F2086">
        <v>4592286723</v>
      </c>
      <c r="G2086">
        <v>5808888546</v>
      </c>
      <c r="H2086">
        <v>5707291810</v>
      </c>
      <c r="I2086">
        <v>5205022245</v>
      </c>
      <c r="J2086">
        <v>4852872506</v>
      </c>
      <c r="K2086">
        <v>4412171678</v>
      </c>
      <c r="L2086">
        <v>3980396054</v>
      </c>
      <c r="M2086">
        <v>3609526546</v>
      </c>
      <c r="N2086">
        <v>2893866335</v>
      </c>
      <c r="O2086">
        <v>3052855843</v>
      </c>
      <c r="P2086">
        <v>77</v>
      </c>
      <c r="Q2086" t="s">
        <v>4500</v>
      </c>
    </row>
    <row r="2087" spans="1:17" x14ac:dyDescent="0.3">
      <c r="A2087" t="s">
        <v>47</v>
      </c>
      <c r="B2087" t="str">
        <f>"000570"</f>
        <v>000570</v>
      </c>
      <c r="C2087" t="s">
        <v>4501</v>
      </c>
      <c r="D2087" t="s">
        <v>274</v>
      </c>
      <c r="E2087">
        <v>4838318261</v>
      </c>
      <c r="F2087">
        <v>4133968635</v>
      </c>
      <c r="G2087">
        <v>3474796946</v>
      </c>
      <c r="H2087">
        <v>3647312419</v>
      </c>
      <c r="I2087">
        <v>3703879135</v>
      </c>
      <c r="J2087">
        <v>3924083845</v>
      </c>
      <c r="K2087">
        <v>3197334507</v>
      </c>
      <c r="L2087">
        <v>3326512663</v>
      </c>
      <c r="M2087">
        <v>3092696636</v>
      </c>
      <c r="N2087">
        <v>3189117089</v>
      </c>
      <c r="O2087">
        <v>3017128191</v>
      </c>
      <c r="P2087">
        <v>81</v>
      </c>
      <c r="Q2087" t="s">
        <v>4502</v>
      </c>
    </row>
    <row r="2088" spans="1:17" x14ac:dyDescent="0.3">
      <c r="A2088" t="s">
        <v>47</v>
      </c>
      <c r="B2088" t="str">
        <f>"300861"</f>
        <v>300861</v>
      </c>
      <c r="C2088" t="s">
        <v>4503</v>
      </c>
      <c r="D2088" t="s">
        <v>2646</v>
      </c>
      <c r="E2088">
        <v>4837351611</v>
      </c>
      <c r="F2088">
        <v>3982888981</v>
      </c>
      <c r="P2088">
        <v>147</v>
      </c>
      <c r="Q2088" t="s">
        <v>4504</v>
      </c>
    </row>
    <row r="2089" spans="1:17" x14ac:dyDescent="0.3">
      <c r="A2089" t="s">
        <v>17</v>
      </c>
      <c r="B2089" t="str">
        <f>"688063"</f>
        <v>688063</v>
      </c>
      <c r="C2089" t="s">
        <v>4505</v>
      </c>
      <c r="D2089" t="s">
        <v>215</v>
      </c>
      <c r="E2089">
        <v>4836872961</v>
      </c>
      <c r="F2089">
        <v>3191412998</v>
      </c>
      <c r="P2089">
        <v>212</v>
      </c>
      <c r="Q2089" t="s">
        <v>4506</v>
      </c>
    </row>
    <row r="2090" spans="1:17" x14ac:dyDescent="0.3">
      <c r="A2090" t="s">
        <v>17</v>
      </c>
      <c r="B2090" t="str">
        <f>"688408"</f>
        <v>688408</v>
      </c>
      <c r="C2090" t="s">
        <v>4507</v>
      </c>
      <c r="D2090" t="s">
        <v>1555</v>
      </c>
      <c r="E2090">
        <v>4836116183</v>
      </c>
      <c r="F2090">
        <v>4273980549</v>
      </c>
      <c r="P2090">
        <v>114</v>
      </c>
      <c r="Q2090" t="s">
        <v>4508</v>
      </c>
    </row>
    <row r="2091" spans="1:17" x14ac:dyDescent="0.3">
      <c r="A2091" t="s">
        <v>47</v>
      </c>
      <c r="B2091" t="str">
        <f>"300078"</f>
        <v>300078</v>
      </c>
      <c r="C2091" t="s">
        <v>4509</v>
      </c>
      <c r="D2091" t="s">
        <v>700</v>
      </c>
      <c r="E2091">
        <v>4833304674</v>
      </c>
      <c r="F2091">
        <v>5360110615</v>
      </c>
      <c r="G2091">
        <v>4597650004</v>
      </c>
      <c r="H2091">
        <v>3345296623</v>
      </c>
      <c r="I2091">
        <v>2882304060</v>
      </c>
      <c r="J2091">
        <v>2705077570</v>
      </c>
      <c r="K2091">
        <v>2250325179</v>
      </c>
      <c r="L2091">
        <v>1288398029</v>
      </c>
      <c r="M2091">
        <v>1312590996</v>
      </c>
      <c r="N2091">
        <v>1243705742</v>
      </c>
      <c r="O2091">
        <v>1220793606</v>
      </c>
      <c r="P2091">
        <v>296</v>
      </c>
      <c r="Q2091" t="s">
        <v>4510</v>
      </c>
    </row>
    <row r="2092" spans="1:17" x14ac:dyDescent="0.3">
      <c r="A2092" t="s">
        <v>17</v>
      </c>
      <c r="B2092" t="str">
        <f>"603585"</f>
        <v>603585</v>
      </c>
      <c r="C2092" t="s">
        <v>4511</v>
      </c>
      <c r="D2092" t="s">
        <v>819</v>
      </c>
      <c r="E2092">
        <v>4819476289</v>
      </c>
      <c r="F2092">
        <v>3098436761</v>
      </c>
      <c r="G2092">
        <v>2906807658</v>
      </c>
      <c r="H2092">
        <v>2583562096</v>
      </c>
      <c r="I2092">
        <v>2140120850</v>
      </c>
      <c r="J2092">
        <v>1936901892</v>
      </c>
      <c r="P2092">
        <v>546</v>
      </c>
      <c r="Q2092" t="s">
        <v>4512</v>
      </c>
    </row>
    <row r="2093" spans="1:17" x14ac:dyDescent="0.3">
      <c r="A2093" t="s">
        <v>17</v>
      </c>
      <c r="B2093" t="str">
        <f>"605377"</f>
        <v>605377</v>
      </c>
      <c r="C2093" t="s">
        <v>4513</v>
      </c>
      <c r="D2093" t="s">
        <v>2612</v>
      </c>
      <c r="E2093">
        <v>4816505524</v>
      </c>
      <c r="F2093">
        <v>3355809687</v>
      </c>
      <c r="P2093">
        <v>59</v>
      </c>
      <c r="Q2093" t="s">
        <v>4514</v>
      </c>
    </row>
    <row r="2094" spans="1:17" x14ac:dyDescent="0.3">
      <c r="A2094" t="s">
        <v>47</v>
      </c>
      <c r="B2094" t="str">
        <f>"000676"</f>
        <v>000676</v>
      </c>
      <c r="C2094" t="s">
        <v>4515</v>
      </c>
      <c r="D2094" t="s">
        <v>1824</v>
      </c>
      <c r="E2094">
        <v>4814166076</v>
      </c>
      <c r="F2094">
        <v>5968057513</v>
      </c>
      <c r="G2094">
        <v>9992004944</v>
      </c>
      <c r="H2094">
        <v>8749887864</v>
      </c>
      <c r="I2094">
        <v>7347120699</v>
      </c>
      <c r="J2094">
        <v>6869067507</v>
      </c>
      <c r="K2094">
        <v>320325304</v>
      </c>
      <c r="L2094">
        <v>570771021</v>
      </c>
      <c r="M2094">
        <v>691653143</v>
      </c>
      <c r="N2094">
        <v>790956133</v>
      </c>
      <c r="O2094">
        <v>982798640</v>
      </c>
      <c r="P2094">
        <v>215</v>
      </c>
      <c r="Q2094" t="s">
        <v>4516</v>
      </c>
    </row>
    <row r="2095" spans="1:17" x14ac:dyDescent="0.3">
      <c r="A2095" t="s">
        <v>17</v>
      </c>
      <c r="B2095" t="str">
        <f>"688062"</f>
        <v>688062</v>
      </c>
      <c r="C2095" t="s">
        <v>4517</v>
      </c>
      <c r="D2095" t="s">
        <v>550</v>
      </c>
      <c r="E2095">
        <v>4811002593</v>
      </c>
      <c r="P2095">
        <v>14</v>
      </c>
      <c r="Q2095" t="s">
        <v>4518</v>
      </c>
    </row>
    <row r="2096" spans="1:17" x14ac:dyDescent="0.3">
      <c r="A2096" t="s">
        <v>17</v>
      </c>
      <c r="B2096" t="str">
        <f>"600220"</f>
        <v>600220</v>
      </c>
      <c r="C2096" t="s">
        <v>4519</v>
      </c>
      <c r="D2096" t="s">
        <v>3463</v>
      </c>
      <c r="E2096">
        <v>4806301822</v>
      </c>
      <c r="F2096">
        <v>4569318555</v>
      </c>
      <c r="G2096">
        <v>5083836894</v>
      </c>
      <c r="H2096">
        <v>4971560597</v>
      </c>
      <c r="I2096">
        <v>4796864636</v>
      </c>
      <c r="J2096">
        <v>4617580551</v>
      </c>
      <c r="K2096">
        <v>4451831278</v>
      </c>
      <c r="L2096">
        <v>3684787171</v>
      </c>
      <c r="M2096">
        <v>4009763183</v>
      </c>
      <c r="N2096">
        <v>4111211994</v>
      </c>
      <c r="O2096">
        <v>5630923103</v>
      </c>
      <c r="P2096">
        <v>118</v>
      </c>
      <c r="Q2096" t="s">
        <v>4520</v>
      </c>
    </row>
    <row r="2097" spans="1:17" x14ac:dyDescent="0.3">
      <c r="A2097" t="s">
        <v>47</v>
      </c>
      <c r="B2097" t="str">
        <f>"002193"</f>
        <v>002193</v>
      </c>
      <c r="C2097" t="s">
        <v>4521</v>
      </c>
      <c r="D2097" t="s">
        <v>3463</v>
      </c>
      <c r="E2097">
        <v>4791963927</v>
      </c>
      <c r="F2097">
        <v>4751780967</v>
      </c>
      <c r="G2097">
        <v>4961874684</v>
      </c>
      <c r="H2097">
        <v>4907818227</v>
      </c>
      <c r="I2097">
        <v>4586242355</v>
      </c>
      <c r="J2097">
        <v>4267510214</v>
      </c>
      <c r="K2097">
        <v>1866497045</v>
      </c>
      <c r="L2097">
        <v>1913051977</v>
      </c>
      <c r="M2097">
        <v>1851733345</v>
      </c>
      <c r="N2097">
        <v>1746418639</v>
      </c>
      <c r="O2097">
        <v>1836149455</v>
      </c>
      <c r="P2097">
        <v>93</v>
      </c>
      <c r="Q2097" t="s">
        <v>4522</v>
      </c>
    </row>
    <row r="2098" spans="1:17" x14ac:dyDescent="0.3">
      <c r="A2098" t="s">
        <v>17</v>
      </c>
      <c r="B2098" t="str">
        <f>"600187"</f>
        <v>600187</v>
      </c>
      <c r="C2098" t="s">
        <v>4523</v>
      </c>
      <c r="D2098" t="s">
        <v>520</v>
      </c>
      <c r="E2098">
        <v>4790318420</v>
      </c>
      <c r="F2098">
        <v>4677843934</v>
      </c>
      <c r="G2098">
        <v>4839513922</v>
      </c>
      <c r="H2098">
        <v>5086531607</v>
      </c>
      <c r="I2098">
        <v>5511714701</v>
      </c>
      <c r="J2098">
        <v>4910847593</v>
      </c>
      <c r="K2098">
        <v>3930658903</v>
      </c>
      <c r="L2098">
        <v>3995926897</v>
      </c>
      <c r="M2098">
        <v>3573068007</v>
      </c>
      <c r="N2098">
        <v>2262569398</v>
      </c>
      <c r="O2098">
        <v>1884885136</v>
      </c>
      <c r="P2098">
        <v>116</v>
      </c>
      <c r="Q2098" t="s">
        <v>4524</v>
      </c>
    </row>
    <row r="2099" spans="1:17" x14ac:dyDescent="0.3">
      <c r="A2099" t="s">
        <v>47</v>
      </c>
      <c r="B2099" t="str">
        <f>"300173"</f>
        <v>300173</v>
      </c>
      <c r="C2099" t="s">
        <v>4525</v>
      </c>
      <c r="D2099" t="s">
        <v>1360</v>
      </c>
      <c r="E2099">
        <v>4789753891</v>
      </c>
      <c r="F2099">
        <v>4048673851</v>
      </c>
      <c r="G2099">
        <v>1472125959</v>
      </c>
      <c r="H2099">
        <v>1748296310</v>
      </c>
      <c r="I2099">
        <v>2706215167</v>
      </c>
      <c r="J2099">
        <v>2415329783</v>
      </c>
      <c r="K2099">
        <v>2053446914</v>
      </c>
      <c r="L2099">
        <v>1986640123</v>
      </c>
      <c r="M2099">
        <v>783318509</v>
      </c>
      <c r="N2099">
        <v>780766977</v>
      </c>
      <c r="O2099">
        <v>793703661</v>
      </c>
      <c r="P2099">
        <v>61</v>
      </c>
      <c r="Q2099" t="s">
        <v>4526</v>
      </c>
    </row>
    <row r="2100" spans="1:17" x14ac:dyDescent="0.3">
      <c r="A2100" t="s">
        <v>17</v>
      </c>
      <c r="B2100" t="str">
        <f>"600227"</f>
        <v>600227</v>
      </c>
      <c r="C2100" t="s">
        <v>4527</v>
      </c>
      <c r="D2100" t="s">
        <v>550</v>
      </c>
      <c r="E2100">
        <v>4782384730</v>
      </c>
      <c r="F2100">
        <v>4736924175</v>
      </c>
      <c r="G2100">
        <v>4694086750</v>
      </c>
      <c r="H2100">
        <v>6656570830</v>
      </c>
      <c r="I2100">
        <v>6797944065</v>
      </c>
      <c r="J2100">
        <v>6969219531</v>
      </c>
      <c r="K2100">
        <v>7604057893</v>
      </c>
      <c r="L2100">
        <v>7233737037</v>
      </c>
      <c r="M2100">
        <v>7791129453</v>
      </c>
      <c r="N2100">
        <v>8275019819</v>
      </c>
      <c r="O2100">
        <v>10455250966</v>
      </c>
      <c r="P2100">
        <v>114</v>
      </c>
      <c r="Q2100" t="s">
        <v>4528</v>
      </c>
    </row>
    <row r="2101" spans="1:17" x14ac:dyDescent="0.3">
      <c r="A2101" t="s">
        <v>47</v>
      </c>
      <c r="B2101" t="str">
        <f>"300657"</f>
        <v>300657</v>
      </c>
      <c r="C2101" t="s">
        <v>4529</v>
      </c>
      <c r="D2101" t="s">
        <v>1115</v>
      </c>
      <c r="E2101">
        <v>4781820596</v>
      </c>
      <c r="F2101">
        <v>4964511183</v>
      </c>
      <c r="G2101">
        <v>3429422764</v>
      </c>
      <c r="H2101">
        <v>2557202421</v>
      </c>
      <c r="I2101">
        <v>1868017362</v>
      </c>
      <c r="J2101">
        <v>1585717382</v>
      </c>
      <c r="P2101">
        <v>257</v>
      </c>
      <c r="Q2101" t="s">
        <v>4530</v>
      </c>
    </row>
    <row r="2102" spans="1:17" x14ac:dyDescent="0.3">
      <c r="A2102" t="s">
        <v>47</v>
      </c>
      <c r="B2102" t="str">
        <f>"000909"</f>
        <v>000909</v>
      </c>
      <c r="C2102" t="s">
        <v>4531</v>
      </c>
      <c r="D2102" t="s">
        <v>76</v>
      </c>
      <c r="E2102">
        <v>4780488482</v>
      </c>
      <c r="F2102">
        <v>4391040626</v>
      </c>
      <c r="G2102">
        <v>3144887864</v>
      </c>
      <c r="H2102">
        <v>3469947073</v>
      </c>
      <c r="I2102">
        <v>3764387801</v>
      </c>
      <c r="J2102">
        <v>4885536853</v>
      </c>
      <c r="K2102">
        <v>4526670578</v>
      </c>
      <c r="L2102">
        <v>5058348844</v>
      </c>
      <c r="M2102">
        <v>4712454356</v>
      </c>
      <c r="N2102">
        <v>3455683675</v>
      </c>
      <c r="O2102">
        <v>3622761930</v>
      </c>
      <c r="P2102">
        <v>206</v>
      </c>
      <c r="Q2102" t="s">
        <v>4532</v>
      </c>
    </row>
    <row r="2103" spans="1:17" x14ac:dyDescent="0.3">
      <c r="A2103" t="s">
        <v>47</v>
      </c>
      <c r="B2103" t="str">
        <f>"002125"</f>
        <v>002125</v>
      </c>
      <c r="C2103" t="s">
        <v>4533</v>
      </c>
      <c r="D2103" t="s">
        <v>1930</v>
      </c>
      <c r="E2103">
        <v>4774135787</v>
      </c>
      <c r="F2103">
        <v>3899882783</v>
      </c>
      <c r="G2103">
        <v>3646576515</v>
      </c>
      <c r="H2103">
        <v>3380098235</v>
      </c>
      <c r="I2103">
        <v>2727674154</v>
      </c>
      <c r="J2103">
        <v>2299477383</v>
      </c>
      <c r="K2103">
        <v>2013330656</v>
      </c>
      <c r="L2103">
        <v>1906545688</v>
      </c>
      <c r="M2103">
        <v>1240797543</v>
      </c>
      <c r="N2103">
        <v>1267526594</v>
      </c>
      <c r="O2103">
        <v>1117385880</v>
      </c>
      <c r="P2103">
        <v>157</v>
      </c>
      <c r="Q2103" t="s">
        <v>4534</v>
      </c>
    </row>
    <row r="2104" spans="1:17" x14ac:dyDescent="0.3">
      <c r="A2104" t="s">
        <v>47</v>
      </c>
      <c r="B2104" t="str">
        <f>"002300"</f>
        <v>002300</v>
      </c>
      <c r="C2104" t="s">
        <v>4535</v>
      </c>
      <c r="D2104" t="s">
        <v>1616</v>
      </c>
      <c r="E2104">
        <v>4769349906</v>
      </c>
      <c r="F2104">
        <v>4032735959</v>
      </c>
      <c r="G2104">
        <v>3831148360</v>
      </c>
      <c r="H2104">
        <v>4056390215</v>
      </c>
      <c r="I2104">
        <v>3368376134</v>
      </c>
      <c r="J2104">
        <v>2981427491</v>
      </c>
      <c r="K2104">
        <v>2971601509</v>
      </c>
      <c r="L2104">
        <v>2904245077</v>
      </c>
      <c r="M2104">
        <v>2517339102</v>
      </c>
      <c r="N2104">
        <v>2583803462</v>
      </c>
      <c r="O2104">
        <v>2533038638</v>
      </c>
      <c r="P2104">
        <v>125</v>
      </c>
      <c r="Q2104" t="s">
        <v>4536</v>
      </c>
    </row>
    <row r="2105" spans="1:17" x14ac:dyDescent="0.3">
      <c r="A2105" t="s">
        <v>47</v>
      </c>
      <c r="B2105" t="str">
        <f>"300638"</f>
        <v>300638</v>
      </c>
      <c r="C2105" t="s">
        <v>4537</v>
      </c>
      <c r="D2105" t="s">
        <v>962</v>
      </c>
      <c r="E2105">
        <v>4768527982</v>
      </c>
      <c r="F2105">
        <v>3453540598</v>
      </c>
      <c r="G2105">
        <v>2381580141</v>
      </c>
      <c r="H2105">
        <v>1043076969</v>
      </c>
      <c r="I2105">
        <v>673313458</v>
      </c>
      <c r="J2105">
        <v>419622819</v>
      </c>
      <c r="P2105">
        <v>757</v>
      </c>
      <c r="Q2105" t="s">
        <v>4538</v>
      </c>
    </row>
    <row r="2106" spans="1:17" x14ac:dyDescent="0.3">
      <c r="A2106" t="s">
        <v>17</v>
      </c>
      <c r="B2106" t="str">
        <f>"603776"</f>
        <v>603776</v>
      </c>
      <c r="C2106" t="s">
        <v>4539</v>
      </c>
      <c r="D2106" t="s">
        <v>1847</v>
      </c>
      <c r="E2106">
        <v>4761898472</v>
      </c>
      <c r="F2106">
        <v>4856604112</v>
      </c>
      <c r="G2106">
        <v>3880958248</v>
      </c>
      <c r="H2106">
        <v>3508588671</v>
      </c>
      <c r="I2106">
        <v>2389911364</v>
      </c>
      <c r="J2106">
        <v>1362123300</v>
      </c>
      <c r="P2106">
        <v>189</v>
      </c>
      <c r="Q2106" t="s">
        <v>4540</v>
      </c>
    </row>
    <row r="2107" spans="1:17" x14ac:dyDescent="0.3">
      <c r="A2107" t="s">
        <v>17</v>
      </c>
      <c r="B2107" t="str">
        <f>"600171"</f>
        <v>600171</v>
      </c>
      <c r="C2107" t="s">
        <v>4541</v>
      </c>
      <c r="D2107" t="s">
        <v>2795</v>
      </c>
      <c r="E2107">
        <v>4760057604</v>
      </c>
      <c r="F2107">
        <v>4052757513</v>
      </c>
      <c r="G2107">
        <v>3440515657</v>
      </c>
      <c r="H2107">
        <v>2841682057</v>
      </c>
      <c r="I2107">
        <v>2670890059</v>
      </c>
      <c r="J2107">
        <v>2101403132</v>
      </c>
      <c r="K2107">
        <v>2071038197</v>
      </c>
      <c r="L2107">
        <v>1827290748</v>
      </c>
      <c r="M2107">
        <v>2071339712</v>
      </c>
      <c r="N2107">
        <v>2019614485</v>
      </c>
      <c r="O2107">
        <v>2009599154</v>
      </c>
      <c r="P2107">
        <v>574</v>
      </c>
      <c r="Q2107" t="s">
        <v>4542</v>
      </c>
    </row>
    <row r="2108" spans="1:17" x14ac:dyDescent="0.3">
      <c r="A2108" t="s">
        <v>17</v>
      </c>
      <c r="B2108" t="str">
        <f>"600300"</f>
        <v>600300</v>
      </c>
      <c r="C2108" t="s">
        <v>4543</v>
      </c>
      <c r="D2108" t="s">
        <v>2157</v>
      </c>
      <c r="E2108">
        <v>4756483951</v>
      </c>
      <c r="F2108">
        <v>6084880422</v>
      </c>
      <c r="G2108">
        <v>8155573354</v>
      </c>
      <c r="H2108">
        <v>7841568359</v>
      </c>
      <c r="I2108">
        <v>8108105542</v>
      </c>
      <c r="J2108">
        <v>8605863135</v>
      </c>
      <c r="K2108">
        <v>8252905773</v>
      </c>
      <c r="L2108">
        <v>7670285306</v>
      </c>
      <c r="M2108">
        <v>7624522317</v>
      </c>
      <c r="N2108">
        <v>8265714635</v>
      </c>
      <c r="O2108">
        <v>7256944541</v>
      </c>
      <c r="P2108">
        <v>209</v>
      </c>
      <c r="Q2108" t="s">
        <v>4544</v>
      </c>
    </row>
    <row r="2109" spans="1:17" x14ac:dyDescent="0.3">
      <c r="A2109" t="s">
        <v>17</v>
      </c>
      <c r="B2109" t="str">
        <f>"603043"</f>
        <v>603043</v>
      </c>
      <c r="C2109" t="s">
        <v>4545</v>
      </c>
      <c r="D2109" t="s">
        <v>3790</v>
      </c>
      <c r="E2109">
        <v>4751616913</v>
      </c>
      <c r="F2109">
        <v>3915152787</v>
      </c>
      <c r="G2109">
        <v>2896330984</v>
      </c>
      <c r="H2109">
        <v>2452308202</v>
      </c>
      <c r="I2109">
        <v>2085147861</v>
      </c>
      <c r="J2109">
        <v>1259668100</v>
      </c>
      <c r="P2109">
        <v>1509</v>
      </c>
      <c r="Q2109" t="s">
        <v>4546</v>
      </c>
    </row>
    <row r="2110" spans="1:17" x14ac:dyDescent="0.3">
      <c r="A2110" t="s">
        <v>47</v>
      </c>
      <c r="B2110" t="str">
        <f>"300511"</f>
        <v>300511</v>
      </c>
      <c r="C2110" t="s">
        <v>4547</v>
      </c>
      <c r="D2110" t="s">
        <v>3621</v>
      </c>
      <c r="E2110">
        <v>4747152356</v>
      </c>
      <c r="F2110">
        <v>4539961257</v>
      </c>
      <c r="G2110">
        <v>4118270236</v>
      </c>
      <c r="H2110">
        <v>3857678670</v>
      </c>
      <c r="I2110">
        <v>3784457607</v>
      </c>
      <c r="J2110">
        <v>2606721696</v>
      </c>
      <c r="K2110">
        <v>1788321760</v>
      </c>
      <c r="P2110">
        <v>301</v>
      </c>
      <c r="Q2110" t="s">
        <v>4548</v>
      </c>
    </row>
    <row r="2111" spans="1:17" x14ac:dyDescent="0.3">
      <c r="A2111" t="s">
        <v>47</v>
      </c>
      <c r="B2111" t="str">
        <f>"002158"</f>
        <v>002158</v>
      </c>
      <c r="C2111" t="s">
        <v>4549</v>
      </c>
      <c r="D2111" t="s">
        <v>2730</v>
      </c>
      <c r="E2111">
        <v>4744238610</v>
      </c>
      <c r="F2111">
        <v>4252615493</v>
      </c>
      <c r="G2111">
        <v>3527920623</v>
      </c>
      <c r="H2111">
        <v>3156522398</v>
      </c>
      <c r="I2111">
        <v>3118778468</v>
      </c>
      <c r="J2111">
        <v>2467023908</v>
      </c>
      <c r="K2111">
        <v>2255377758</v>
      </c>
      <c r="L2111">
        <v>1282981572</v>
      </c>
      <c r="M2111">
        <v>1166815737</v>
      </c>
      <c r="N2111">
        <v>1016975165</v>
      </c>
      <c r="O2111">
        <v>1007375019</v>
      </c>
      <c r="P2111">
        <v>478</v>
      </c>
      <c r="Q2111" t="s">
        <v>4550</v>
      </c>
    </row>
    <row r="2112" spans="1:17" x14ac:dyDescent="0.3">
      <c r="A2112" t="s">
        <v>47</v>
      </c>
      <c r="B2112" t="str">
        <f>"002374"</f>
        <v>002374</v>
      </c>
      <c r="C2112" t="s">
        <v>4551</v>
      </c>
      <c r="D2112" t="s">
        <v>1913</v>
      </c>
      <c r="E2112">
        <v>4733969059</v>
      </c>
      <c r="F2112">
        <v>5365683057</v>
      </c>
      <c r="G2112">
        <v>5878887740</v>
      </c>
      <c r="H2112">
        <v>5730013177</v>
      </c>
      <c r="I2112">
        <v>6289301970</v>
      </c>
      <c r="J2112">
        <v>5238209594</v>
      </c>
      <c r="K2112">
        <v>4052447517</v>
      </c>
      <c r="L2112">
        <v>2883128333</v>
      </c>
      <c r="M2112">
        <v>1239744189</v>
      </c>
      <c r="N2112">
        <v>1204779223</v>
      </c>
      <c r="O2112">
        <v>816899363</v>
      </c>
      <c r="P2112">
        <v>92</v>
      </c>
      <c r="Q2112" t="s">
        <v>4552</v>
      </c>
    </row>
    <row r="2113" spans="1:17" x14ac:dyDescent="0.3">
      <c r="A2113" t="s">
        <v>17</v>
      </c>
      <c r="B2113" t="str">
        <f>"600400"</f>
        <v>600400</v>
      </c>
      <c r="C2113" t="s">
        <v>4553</v>
      </c>
      <c r="D2113" t="s">
        <v>628</v>
      </c>
      <c r="E2113">
        <v>4731368152</v>
      </c>
      <c r="F2113">
        <v>4290160731</v>
      </c>
      <c r="G2113">
        <v>5312661368</v>
      </c>
      <c r="H2113">
        <v>5646764066</v>
      </c>
      <c r="I2113">
        <v>5467402708</v>
      </c>
      <c r="J2113">
        <v>11767166544</v>
      </c>
      <c r="K2113">
        <v>6668809048</v>
      </c>
      <c r="L2113">
        <v>5991718643</v>
      </c>
      <c r="M2113">
        <v>7025123861</v>
      </c>
      <c r="N2113">
        <v>6951569379</v>
      </c>
      <c r="O2113">
        <v>6189732573</v>
      </c>
      <c r="P2113">
        <v>165</v>
      </c>
      <c r="Q2113" t="s">
        <v>4554</v>
      </c>
    </row>
    <row r="2114" spans="1:17" x14ac:dyDescent="0.3">
      <c r="A2114" t="s">
        <v>47</v>
      </c>
      <c r="B2114" t="str">
        <f>"300036"</f>
        <v>300036</v>
      </c>
      <c r="C2114" t="s">
        <v>4555</v>
      </c>
      <c r="D2114" t="s">
        <v>1010</v>
      </c>
      <c r="E2114">
        <v>4724048899</v>
      </c>
      <c r="F2114">
        <v>3408437705</v>
      </c>
      <c r="G2114">
        <v>3126810545</v>
      </c>
      <c r="H2114">
        <v>2615051354</v>
      </c>
      <c r="I2114">
        <v>2519803747</v>
      </c>
      <c r="J2114">
        <v>2117710370</v>
      </c>
      <c r="K2114">
        <v>997199352</v>
      </c>
      <c r="L2114">
        <v>822730395</v>
      </c>
      <c r="M2114">
        <v>780532949</v>
      </c>
      <c r="N2114">
        <v>692699223</v>
      </c>
      <c r="O2114">
        <v>690724249</v>
      </c>
      <c r="P2114">
        <v>545</v>
      </c>
      <c r="Q2114" t="s">
        <v>4556</v>
      </c>
    </row>
    <row r="2115" spans="1:17" x14ac:dyDescent="0.3">
      <c r="A2115" t="s">
        <v>47</v>
      </c>
      <c r="B2115" t="str">
        <f>"300660"</f>
        <v>300660</v>
      </c>
      <c r="C2115" t="s">
        <v>4557</v>
      </c>
      <c r="D2115" t="s">
        <v>1594</v>
      </c>
      <c r="E2115">
        <v>4717218791</v>
      </c>
      <c r="F2115">
        <v>4113332565</v>
      </c>
      <c r="G2115">
        <v>3227044446</v>
      </c>
      <c r="H2115">
        <v>3045393567</v>
      </c>
      <c r="I2115">
        <v>2889511276</v>
      </c>
      <c r="J2115">
        <v>1589091095</v>
      </c>
      <c r="P2115">
        <v>108</v>
      </c>
      <c r="Q2115" t="s">
        <v>4558</v>
      </c>
    </row>
    <row r="2116" spans="1:17" x14ac:dyDescent="0.3">
      <c r="A2116" t="s">
        <v>47</v>
      </c>
      <c r="B2116" t="str">
        <f>"002623"</f>
        <v>002623</v>
      </c>
      <c r="C2116" t="s">
        <v>4559</v>
      </c>
      <c r="D2116" t="s">
        <v>1555</v>
      </c>
      <c r="E2116">
        <v>4714394019</v>
      </c>
      <c r="F2116">
        <v>4073522161</v>
      </c>
      <c r="G2116">
        <v>3813082598</v>
      </c>
      <c r="H2116">
        <v>4102481454</v>
      </c>
      <c r="I2116">
        <v>4946558068</v>
      </c>
      <c r="J2116">
        <v>4232762657</v>
      </c>
      <c r="K2116">
        <v>2864733332</v>
      </c>
      <c r="L2116">
        <v>2628614685</v>
      </c>
      <c r="M2116">
        <v>2329298279</v>
      </c>
      <c r="N2116">
        <v>2304996973</v>
      </c>
      <c r="O2116">
        <v>2151139826</v>
      </c>
      <c r="P2116">
        <v>172</v>
      </c>
      <c r="Q2116" t="s">
        <v>4560</v>
      </c>
    </row>
    <row r="2117" spans="1:17" x14ac:dyDescent="0.3">
      <c r="A2117" t="s">
        <v>17</v>
      </c>
      <c r="B2117" t="str">
        <f>"603711"</f>
        <v>603711</v>
      </c>
      <c r="C2117" t="s">
        <v>4561</v>
      </c>
      <c r="D2117" t="s">
        <v>2157</v>
      </c>
      <c r="E2117">
        <v>4711804251</v>
      </c>
      <c r="F2117">
        <v>4421533564</v>
      </c>
      <c r="G2117">
        <v>4088200120</v>
      </c>
      <c r="H2117">
        <v>3374282773</v>
      </c>
      <c r="I2117">
        <v>2481740158</v>
      </c>
      <c r="P2117">
        <v>392</v>
      </c>
      <c r="Q2117" t="s">
        <v>4562</v>
      </c>
    </row>
    <row r="2118" spans="1:17" x14ac:dyDescent="0.3">
      <c r="A2118" t="s">
        <v>47</v>
      </c>
      <c r="B2118" t="str">
        <f>"002264"</f>
        <v>002264</v>
      </c>
      <c r="C2118" t="s">
        <v>4563</v>
      </c>
      <c r="D2118" t="s">
        <v>692</v>
      </c>
      <c r="E2118">
        <v>4711302455</v>
      </c>
      <c r="F2118">
        <v>4685345558</v>
      </c>
      <c r="G2118">
        <v>3005741629</v>
      </c>
      <c r="H2118">
        <v>3528493746</v>
      </c>
      <c r="I2118">
        <v>3555524327</v>
      </c>
      <c r="J2118">
        <v>3474250332</v>
      </c>
      <c r="K2118">
        <v>4152773814</v>
      </c>
      <c r="L2118">
        <v>3709893700</v>
      </c>
      <c r="M2118">
        <v>3677561113</v>
      </c>
      <c r="N2118">
        <v>3576316017</v>
      </c>
      <c r="O2118">
        <v>2904679648</v>
      </c>
      <c r="P2118">
        <v>96</v>
      </c>
      <c r="Q2118" t="s">
        <v>4564</v>
      </c>
    </row>
    <row r="2119" spans="1:17" x14ac:dyDescent="0.3">
      <c r="A2119" t="s">
        <v>17</v>
      </c>
      <c r="B2119" t="str">
        <f>"600778"</f>
        <v>600778</v>
      </c>
      <c r="C2119" t="s">
        <v>4565</v>
      </c>
      <c r="D2119" t="s">
        <v>780</v>
      </c>
      <c r="E2119">
        <v>4699609842</v>
      </c>
      <c r="F2119">
        <v>5159324378</v>
      </c>
      <c r="G2119">
        <v>4921902624</v>
      </c>
      <c r="H2119">
        <v>4814613876</v>
      </c>
      <c r="I2119">
        <v>5103240037</v>
      </c>
      <c r="J2119">
        <v>5783348057</v>
      </c>
      <c r="K2119">
        <v>6530021059</v>
      </c>
      <c r="L2119">
        <v>7503183035</v>
      </c>
      <c r="M2119">
        <v>7254722791</v>
      </c>
      <c r="N2119">
        <v>8420286827</v>
      </c>
      <c r="O2119">
        <v>6486542155</v>
      </c>
      <c r="P2119">
        <v>82</v>
      </c>
      <c r="Q2119" t="s">
        <v>4566</v>
      </c>
    </row>
    <row r="2120" spans="1:17" x14ac:dyDescent="0.3">
      <c r="A2120" t="s">
        <v>47</v>
      </c>
      <c r="B2120" t="str">
        <f>"002584"</f>
        <v>002584</v>
      </c>
      <c r="C2120" t="s">
        <v>4567</v>
      </c>
      <c r="D2120" t="s">
        <v>3050</v>
      </c>
      <c r="E2120">
        <v>4696696553</v>
      </c>
      <c r="F2120">
        <v>4506314644</v>
      </c>
      <c r="G2120">
        <v>4563237515</v>
      </c>
      <c r="H2120">
        <v>3805509865</v>
      </c>
      <c r="I2120">
        <v>2619464883</v>
      </c>
      <c r="J2120">
        <v>2434781196</v>
      </c>
      <c r="K2120">
        <v>2366768654</v>
      </c>
      <c r="L2120">
        <v>1646468201</v>
      </c>
      <c r="M2120">
        <v>1560633525</v>
      </c>
      <c r="N2120">
        <v>1496195765</v>
      </c>
      <c r="O2120">
        <v>1181536946</v>
      </c>
      <c r="P2120">
        <v>119</v>
      </c>
      <c r="Q2120" t="s">
        <v>4568</v>
      </c>
    </row>
    <row r="2121" spans="1:17" x14ac:dyDescent="0.3">
      <c r="A2121" t="s">
        <v>47</v>
      </c>
      <c r="B2121" t="str">
        <f>"002684"</f>
        <v>002684</v>
      </c>
      <c r="C2121" t="s">
        <v>4569</v>
      </c>
      <c r="D2121" t="s">
        <v>3522</v>
      </c>
      <c r="E2121">
        <v>4695697625</v>
      </c>
      <c r="F2121">
        <v>6195958809</v>
      </c>
      <c r="G2121">
        <v>7670238710</v>
      </c>
      <c r="H2121">
        <v>7444348327</v>
      </c>
      <c r="I2121">
        <v>11047853767</v>
      </c>
      <c r="J2121">
        <v>7724455022</v>
      </c>
      <c r="K2121">
        <v>2916585103</v>
      </c>
      <c r="L2121">
        <v>1006338072</v>
      </c>
      <c r="M2121">
        <v>944631908</v>
      </c>
      <c r="N2121">
        <v>860048383</v>
      </c>
      <c r="O2121">
        <v>532296171</v>
      </c>
      <c r="P2121">
        <v>91</v>
      </c>
      <c r="Q2121" t="s">
        <v>4570</v>
      </c>
    </row>
    <row r="2122" spans="1:17" x14ac:dyDescent="0.3">
      <c r="A2122" t="s">
        <v>47</v>
      </c>
      <c r="B2122" t="str">
        <f>"000795"</f>
        <v>000795</v>
      </c>
      <c r="C2122" t="s">
        <v>4571</v>
      </c>
      <c r="D2122" t="s">
        <v>2108</v>
      </c>
      <c r="E2122">
        <v>4685341969</v>
      </c>
      <c r="F2122">
        <v>4058589809</v>
      </c>
      <c r="G2122">
        <v>3511766777</v>
      </c>
      <c r="H2122">
        <v>2785745024</v>
      </c>
      <c r="I2122">
        <v>2623442782</v>
      </c>
      <c r="J2122">
        <v>2504117550</v>
      </c>
      <c r="K2122">
        <v>1886687334</v>
      </c>
      <c r="L2122">
        <v>1392550814</v>
      </c>
      <c r="M2122">
        <v>1634634894</v>
      </c>
      <c r="N2122">
        <v>1845332808</v>
      </c>
      <c r="O2122">
        <v>1718731318</v>
      </c>
      <c r="P2122">
        <v>145</v>
      </c>
      <c r="Q2122" t="s">
        <v>4572</v>
      </c>
    </row>
    <row r="2123" spans="1:17" x14ac:dyDescent="0.3">
      <c r="A2123" t="s">
        <v>47</v>
      </c>
      <c r="B2123" t="str">
        <f>"300339"</f>
        <v>300339</v>
      </c>
      <c r="C2123" t="s">
        <v>4573</v>
      </c>
      <c r="D2123" t="s">
        <v>700</v>
      </c>
      <c r="E2123">
        <v>4685268849</v>
      </c>
      <c r="F2123">
        <v>4391237144</v>
      </c>
      <c r="G2123">
        <v>4487949871</v>
      </c>
      <c r="H2123">
        <v>6274988161</v>
      </c>
      <c r="I2123">
        <v>6310775227</v>
      </c>
      <c r="J2123">
        <v>4912717039</v>
      </c>
      <c r="K2123">
        <v>4899469312</v>
      </c>
      <c r="L2123">
        <v>2131443440</v>
      </c>
      <c r="M2123">
        <v>1209121605</v>
      </c>
      <c r="N2123">
        <v>814619513</v>
      </c>
      <c r="O2123">
        <v>392396434</v>
      </c>
      <c r="P2123">
        <v>332</v>
      </c>
      <c r="Q2123" t="s">
        <v>4574</v>
      </c>
    </row>
    <row r="2124" spans="1:17" x14ac:dyDescent="0.3">
      <c r="A2124" t="s">
        <v>47</v>
      </c>
      <c r="B2124" t="str">
        <f>"301015"</f>
        <v>301015</v>
      </c>
      <c r="C2124" t="s">
        <v>4575</v>
      </c>
      <c r="D2124" t="s">
        <v>362</v>
      </c>
      <c r="E2124">
        <v>4683012899</v>
      </c>
      <c r="F2124">
        <v>3996788878</v>
      </c>
      <c r="P2124">
        <v>45</v>
      </c>
      <c r="Q2124" t="s">
        <v>4576</v>
      </c>
    </row>
    <row r="2125" spans="1:17" x14ac:dyDescent="0.3">
      <c r="A2125" t="s">
        <v>17</v>
      </c>
      <c r="B2125" t="str">
        <f>"603897"</f>
        <v>603897</v>
      </c>
      <c r="C2125" t="s">
        <v>4577</v>
      </c>
      <c r="D2125" t="s">
        <v>1616</v>
      </c>
      <c r="E2125">
        <v>4672805908</v>
      </c>
      <c r="F2125">
        <v>3929723337</v>
      </c>
      <c r="G2125">
        <v>3169527417</v>
      </c>
      <c r="H2125">
        <v>2518471356</v>
      </c>
      <c r="I2125">
        <v>1387605729</v>
      </c>
      <c r="P2125">
        <v>137</v>
      </c>
      <c r="Q2125" t="s">
        <v>4578</v>
      </c>
    </row>
    <row r="2126" spans="1:17" x14ac:dyDescent="0.3">
      <c r="A2126" t="s">
        <v>17</v>
      </c>
      <c r="B2126" t="str">
        <f>"603901"</f>
        <v>603901</v>
      </c>
      <c r="C2126" t="s">
        <v>4579</v>
      </c>
      <c r="D2126" t="s">
        <v>3237</v>
      </c>
      <c r="E2126">
        <v>4671022182</v>
      </c>
      <c r="F2126">
        <v>3839825082</v>
      </c>
      <c r="G2126">
        <v>3363441301</v>
      </c>
      <c r="H2126">
        <v>3036343692</v>
      </c>
      <c r="I2126">
        <v>2322635080</v>
      </c>
      <c r="J2126">
        <v>1754588309</v>
      </c>
      <c r="K2126">
        <v>1262836183</v>
      </c>
      <c r="L2126">
        <v>1011630095</v>
      </c>
      <c r="P2126">
        <v>140</v>
      </c>
      <c r="Q2126" t="s">
        <v>4580</v>
      </c>
    </row>
    <row r="2127" spans="1:17" x14ac:dyDescent="0.3">
      <c r="A2127" t="s">
        <v>47</v>
      </c>
      <c r="B2127" t="str">
        <f>"002327"</f>
        <v>002327</v>
      </c>
      <c r="C2127" t="s">
        <v>4581</v>
      </c>
      <c r="D2127" t="s">
        <v>3807</v>
      </c>
      <c r="E2127">
        <v>4670890874</v>
      </c>
      <c r="F2127">
        <v>4679859643</v>
      </c>
      <c r="G2127">
        <v>4353919858</v>
      </c>
      <c r="H2127">
        <v>4467698177</v>
      </c>
      <c r="I2127">
        <v>4371027998</v>
      </c>
      <c r="J2127">
        <v>3519532641</v>
      </c>
      <c r="K2127">
        <v>2935014665</v>
      </c>
      <c r="L2127">
        <v>2804444374</v>
      </c>
      <c r="M2127">
        <v>2385038473</v>
      </c>
      <c r="N2127">
        <v>2107902264</v>
      </c>
      <c r="O2127">
        <v>1695558959</v>
      </c>
      <c r="P2127">
        <v>1306</v>
      </c>
      <c r="Q2127" t="s">
        <v>4582</v>
      </c>
    </row>
    <row r="2128" spans="1:17" x14ac:dyDescent="0.3">
      <c r="A2128" t="s">
        <v>17</v>
      </c>
      <c r="B2128" t="str">
        <f>"603888"</f>
        <v>603888</v>
      </c>
      <c r="C2128" t="s">
        <v>4583</v>
      </c>
      <c r="D2128" t="s">
        <v>4377</v>
      </c>
      <c r="E2128">
        <v>4668131594</v>
      </c>
      <c r="F2128">
        <v>4321438001</v>
      </c>
      <c r="G2128">
        <v>4023748848</v>
      </c>
      <c r="H2128">
        <v>3808463891</v>
      </c>
      <c r="I2128">
        <v>3637237819</v>
      </c>
      <c r="J2128">
        <v>3329155860</v>
      </c>
      <c r="P2128">
        <v>227</v>
      </c>
      <c r="Q2128" t="s">
        <v>4584</v>
      </c>
    </row>
    <row r="2129" spans="1:17" x14ac:dyDescent="0.3">
      <c r="A2129" t="s">
        <v>47</v>
      </c>
      <c r="B2129" t="str">
        <f>"002094"</f>
        <v>002094</v>
      </c>
      <c r="C2129" t="s">
        <v>4585</v>
      </c>
      <c r="D2129" t="s">
        <v>2302</v>
      </c>
      <c r="E2129">
        <v>4665812660</v>
      </c>
      <c r="F2129">
        <v>5085835437</v>
      </c>
      <c r="G2129">
        <v>5574310961</v>
      </c>
      <c r="H2129">
        <v>6448654429</v>
      </c>
      <c r="I2129">
        <v>5188159687</v>
      </c>
      <c r="J2129">
        <v>3386184803</v>
      </c>
      <c r="K2129">
        <v>2073209157</v>
      </c>
      <c r="L2129">
        <v>1452780769</v>
      </c>
      <c r="M2129">
        <v>1193115769</v>
      </c>
      <c r="N2129">
        <v>1214934793</v>
      </c>
      <c r="O2129">
        <v>1135686016</v>
      </c>
      <c r="P2129">
        <v>183</v>
      </c>
      <c r="Q2129" t="s">
        <v>4586</v>
      </c>
    </row>
    <row r="2130" spans="1:17" x14ac:dyDescent="0.3">
      <c r="A2130" t="s">
        <v>47</v>
      </c>
      <c r="B2130" t="str">
        <f>"002026"</f>
        <v>002026</v>
      </c>
      <c r="C2130" t="s">
        <v>4587</v>
      </c>
      <c r="D2130" t="s">
        <v>401</v>
      </c>
      <c r="E2130">
        <v>4660693045</v>
      </c>
      <c r="F2130">
        <v>3375795674</v>
      </c>
      <c r="G2130">
        <v>2925341752</v>
      </c>
      <c r="H2130">
        <v>3049582570</v>
      </c>
      <c r="I2130">
        <v>3018616243</v>
      </c>
      <c r="J2130">
        <v>2755943868</v>
      </c>
      <c r="K2130">
        <v>1990997268</v>
      </c>
      <c r="L2130">
        <v>1925850708</v>
      </c>
      <c r="M2130">
        <v>1131655104</v>
      </c>
      <c r="N2130">
        <v>931214553</v>
      </c>
      <c r="O2130">
        <v>819170369</v>
      </c>
      <c r="P2130">
        <v>208</v>
      </c>
      <c r="Q2130" t="s">
        <v>4588</v>
      </c>
    </row>
    <row r="2131" spans="1:17" x14ac:dyDescent="0.3">
      <c r="A2131" t="s">
        <v>47</v>
      </c>
      <c r="B2131" t="str">
        <f>"002662"</f>
        <v>002662</v>
      </c>
      <c r="C2131" t="s">
        <v>4589</v>
      </c>
      <c r="D2131" t="s">
        <v>416</v>
      </c>
      <c r="E2131">
        <v>4656837919</v>
      </c>
      <c r="F2131">
        <v>4978353793</v>
      </c>
      <c r="G2131">
        <v>5612014843</v>
      </c>
      <c r="H2131">
        <v>8285442860</v>
      </c>
      <c r="I2131">
        <v>11184768305</v>
      </c>
      <c r="J2131">
        <v>9274366510</v>
      </c>
      <c r="K2131">
        <v>6878232239</v>
      </c>
      <c r="L2131">
        <v>4963714809</v>
      </c>
      <c r="M2131">
        <v>3098231855</v>
      </c>
      <c r="N2131">
        <v>2924161405</v>
      </c>
      <c r="O2131">
        <v>2707918658</v>
      </c>
      <c r="P2131">
        <v>140</v>
      </c>
      <c r="Q2131" t="s">
        <v>4590</v>
      </c>
    </row>
    <row r="2132" spans="1:17" x14ac:dyDescent="0.3">
      <c r="A2132" t="s">
        <v>47</v>
      </c>
      <c r="B2132" t="str">
        <f>"002620"</f>
        <v>002620</v>
      </c>
      <c r="C2132" t="s">
        <v>4591</v>
      </c>
      <c r="D2132" t="s">
        <v>1163</v>
      </c>
      <c r="E2132">
        <v>4656528403</v>
      </c>
      <c r="F2132">
        <v>6160747358</v>
      </c>
      <c r="G2132">
        <v>5447344109</v>
      </c>
      <c r="H2132">
        <v>5361308496</v>
      </c>
      <c r="I2132">
        <v>4205809661</v>
      </c>
      <c r="J2132">
        <v>3771540836</v>
      </c>
      <c r="K2132">
        <v>2350588988</v>
      </c>
      <c r="L2132">
        <v>2023209509</v>
      </c>
      <c r="M2132">
        <v>1956269669</v>
      </c>
      <c r="N2132">
        <v>1653223576</v>
      </c>
      <c r="O2132">
        <v>1530548985</v>
      </c>
      <c r="P2132">
        <v>90</v>
      </c>
      <c r="Q2132" t="s">
        <v>4592</v>
      </c>
    </row>
    <row r="2133" spans="1:17" x14ac:dyDescent="0.3">
      <c r="A2133" t="s">
        <v>47</v>
      </c>
      <c r="B2133" t="str">
        <f>"300473"</f>
        <v>300473</v>
      </c>
      <c r="C2133" t="s">
        <v>4593</v>
      </c>
      <c r="D2133" t="s">
        <v>1815</v>
      </c>
      <c r="E2133">
        <v>4655301821</v>
      </c>
      <c r="F2133">
        <v>4897978305</v>
      </c>
      <c r="G2133">
        <v>4996311371</v>
      </c>
      <c r="H2133">
        <v>4693787442</v>
      </c>
      <c r="I2133">
        <v>4428604695</v>
      </c>
      <c r="J2133">
        <v>2194953668</v>
      </c>
      <c r="K2133">
        <v>1941746250</v>
      </c>
      <c r="L2133">
        <v>1095797700</v>
      </c>
      <c r="P2133">
        <v>142</v>
      </c>
      <c r="Q2133" t="s">
        <v>4594</v>
      </c>
    </row>
    <row r="2134" spans="1:17" x14ac:dyDescent="0.3">
      <c r="A2134" t="s">
        <v>17</v>
      </c>
      <c r="B2134" t="str">
        <f>"688385"</f>
        <v>688385</v>
      </c>
      <c r="C2134" t="s">
        <v>4595</v>
      </c>
      <c r="D2134" t="s">
        <v>967</v>
      </c>
      <c r="E2134">
        <v>4653692698</v>
      </c>
      <c r="F2134">
        <v>2814577329</v>
      </c>
      <c r="P2134">
        <v>47</v>
      </c>
      <c r="Q2134" t="s">
        <v>4596</v>
      </c>
    </row>
    <row r="2135" spans="1:17" x14ac:dyDescent="0.3">
      <c r="A2135" t="s">
        <v>47</v>
      </c>
      <c r="B2135" t="str">
        <f>"002040"</f>
        <v>002040</v>
      </c>
      <c r="C2135" t="s">
        <v>4597</v>
      </c>
      <c r="D2135" t="s">
        <v>357</v>
      </c>
      <c r="E2135">
        <v>4649082817</v>
      </c>
      <c r="F2135">
        <v>4614389275</v>
      </c>
      <c r="G2135">
        <v>4587940411</v>
      </c>
      <c r="H2135">
        <v>4829033586</v>
      </c>
      <c r="I2135">
        <v>4687816003</v>
      </c>
      <c r="J2135">
        <v>4754781621</v>
      </c>
      <c r="K2135">
        <v>1097404142</v>
      </c>
      <c r="L2135">
        <v>1053109393</v>
      </c>
      <c r="M2135">
        <v>1053848569</v>
      </c>
      <c r="N2135">
        <v>1061458822</v>
      </c>
      <c r="O2135">
        <v>963170009</v>
      </c>
      <c r="P2135">
        <v>100</v>
      </c>
      <c r="Q2135" t="s">
        <v>4598</v>
      </c>
    </row>
    <row r="2136" spans="1:17" x14ac:dyDescent="0.3">
      <c r="A2136" t="s">
        <v>47</v>
      </c>
      <c r="B2136" t="str">
        <f>"300079"</f>
        <v>300079</v>
      </c>
      <c r="C2136" t="s">
        <v>4599</v>
      </c>
      <c r="D2136" t="s">
        <v>700</v>
      </c>
      <c r="E2136">
        <v>4646278731</v>
      </c>
      <c r="F2136">
        <v>4621295321</v>
      </c>
      <c r="G2136">
        <v>4461322756</v>
      </c>
      <c r="H2136">
        <v>4577779646</v>
      </c>
      <c r="I2136">
        <v>4300729858</v>
      </c>
      <c r="J2136">
        <v>4107824514</v>
      </c>
      <c r="K2136">
        <v>4133894071</v>
      </c>
      <c r="L2136">
        <v>3441993883</v>
      </c>
      <c r="M2136">
        <v>2870933506</v>
      </c>
      <c r="N2136">
        <v>2709766624</v>
      </c>
      <c r="O2136">
        <v>2396882537</v>
      </c>
      <c r="P2136">
        <v>261</v>
      </c>
      <c r="Q2136" t="s">
        <v>4600</v>
      </c>
    </row>
    <row r="2137" spans="1:17" x14ac:dyDescent="0.3">
      <c r="A2137" t="s">
        <v>17</v>
      </c>
      <c r="B2137" t="str">
        <f>"603871"</f>
        <v>603871</v>
      </c>
      <c r="C2137" t="s">
        <v>4601</v>
      </c>
      <c r="D2137" t="s">
        <v>618</v>
      </c>
      <c r="E2137">
        <v>4642957348</v>
      </c>
      <c r="F2137">
        <v>3555885615</v>
      </c>
      <c r="G2137">
        <v>2420205269</v>
      </c>
      <c r="H2137">
        <v>2247431473</v>
      </c>
      <c r="I2137">
        <v>1940537054</v>
      </c>
      <c r="P2137">
        <v>324</v>
      </c>
      <c r="Q2137" t="s">
        <v>4602</v>
      </c>
    </row>
    <row r="2138" spans="1:17" x14ac:dyDescent="0.3">
      <c r="A2138" t="s">
        <v>47</v>
      </c>
      <c r="B2138" t="str">
        <f>"300729"</f>
        <v>300729</v>
      </c>
      <c r="C2138" t="s">
        <v>4603</v>
      </c>
      <c r="D2138" t="s">
        <v>2016</v>
      </c>
      <c r="E2138">
        <v>4641217164</v>
      </c>
      <c r="F2138">
        <v>3014589389</v>
      </c>
      <c r="G2138">
        <v>1570625315</v>
      </c>
      <c r="H2138">
        <v>1227573628</v>
      </c>
      <c r="I2138">
        <v>1027431886</v>
      </c>
      <c r="P2138">
        <v>219</v>
      </c>
      <c r="Q2138" t="s">
        <v>4604</v>
      </c>
    </row>
    <row r="2139" spans="1:17" x14ac:dyDescent="0.3">
      <c r="A2139" t="s">
        <v>47</v>
      </c>
      <c r="B2139" t="str">
        <f>"000766"</f>
        <v>000766</v>
      </c>
      <c r="C2139" t="s">
        <v>4605</v>
      </c>
      <c r="D2139" t="s">
        <v>550</v>
      </c>
      <c r="E2139">
        <v>4634838733</v>
      </c>
      <c r="F2139">
        <v>5006237379</v>
      </c>
      <c r="G2139">
        <v>5658224363</v>
      </c>
      <c r="H2139">
        <v>5915441089</v>
      </c>
      <c r="I2139">
        <v>5829379289</v>
      </c>
      <c r="J2139">
        <v>5306058694</v>
      </c>
      <c r="K2139">
        <v>4603656862</v>
      </c>
      <c r="L2139">
        <v>1880662819</v>
      </c>
      <c r="M2139">
        <v>1145637182</v>
      </c>
      <c r="N2139">
        <v>943011125</v>
      </c>
      <c r="O2139">
        <v>887089007</v>
      </c>
      <c r="P2139">
        <v>146</v>
      </c>
      <c r="Q2139" t="s">
        <v>4606</v>
      </c>
    </row>
    <row r="2140" spans="1:17" x14ac:dyDescent="0.3">
      <c r="A2140" t="s">
        <v>47</v>
      </c>
      <c r="B2140" t="str">
        <f>"000731"</f>
        <v>000731</v>
      </c>
      <c r="C2140" t="s">
        <v>4607</v>
      </c>
      <c r="D2140" t="s">
        <v>1538</v>
      </c>
      <c r="E2140">
        <v>4634827698</v>
      </c>
      <c r="F2140">
        <v>3890262698</v>
      </c>
      <c r="G2140">
        <v>3689223167</v>
      </c>
      <c r="H2140">
        <v>4034862515</v>
      </c>
      <c r="I2140">
        <v>4209022784</v>
      </c>
      <c r="J2140">
        <v>4215996214</v>
      </c>
      <c r="K2140">
        <v>4985253038</v>
      </c>
      <c r="L2140">
        <v>4653704065</v>
      </c>
      <c r="M2140">
        <v>4616327950</v>
      </c>
      <c r="N2140">
        <v>4371690779</v>
      </c>
      <c r="O2140">
        <v>3917754292</v>
      </c>
      <c r="P2140">
        <v>127</v>
      </c>
      <c r="Q2140" t="s">
        <v>4608</v>
      </c>
    </row>
    <row r="2141" spans="1:17" x14ac:dyDescent="0.3">
      <c r="A2141" t="s">
        <v>47</v>
      </c>
      <c r="B2141" t="str">
        <f>"002059"</f>
        <v>002059</v>
      </c>
      <c r="C2141" t="s">
        <v>4609</v>
      </c>
      <c r="D2141" t="s">
        <v>1942</v>
      </c>
      <c r="E2141">
        <v>4634550847</v>
      </c>
      <c r="F2141">
        <v>5358359421</v>
      </c>
      <c r="G2141">
        <v>5662970797</v>
      </c>
      <c r="H2141">
        <v>4228865862</v>
      </c>
      <c r="I2141">
        <v>4798368133</v>
      </c>
      <c r="J2141">
        <v>3939116170</v>
      </c>
      <c r="K2141">
        <v>3900280274</v>
      </c>
      <c r="L2141">
        <v>3582672512</v>
      </c>
      <c r="M2141">
        <v>2079046649</v>
      </c>
      <c r="N2141">
        <v>1126258758</v>
      </c>
      <c r="O2141">
        <v>1157643689</v>
      </c>
      <c r="P2141">
        <v>160</v>
      </c>
      <c r="Q2141" t="s">
        <v>4610</v>
      </c>
    </row>
    <row r="2142" spans="1:17" x14ac:dyDescent="0.3">
      <c r="A2142" t="s">
        <v>47</v>
      </c>
      <c r="B2142" t="str">
        <f>"002639"</f>
        <v>002639</v>
      </c>
      <c r="C2142" t="s">
        <v>4611</v>
      </c>
      <c r="D2142" t="s">
        <v>2730</v>
      </c>
      <c r="E2142">
        <v>4632646008</v>
      </c>
      <c r="F2142">
        <v>3878941474</v>
      </c>
      <c r="G2142">
        <v>3965345211</v>
      </c>
      <c r="H2142">
        <v>3975536893</v>
      </c>
      <c r="I2142">
        <v>3526746017</v>
      </c>
      <c r="J2142">
        <v>3387024424</v>
      </c>
      <c r="K2142">
        <v>2419476466</v>
      </c>
      <c r="L2142">
        <v>1934120016</v>
      </c>
      <c r="M2142">
        <v>1419382183</v>
      </c>
      <c r="N2142">
        <v>1221164822</v>
      </c>
      <c r="O2142">
        <v>1176942132</v>
      </c>
      <c r="P2142">
        <v>228</v>
      </c>
      <c r="Q2142" t="s">
        <v>4612</v>
      </c>
    </row>
    <row r="2143" spans="1:17" x14ac:dyDescent="0.3">
      <c r="A2143" t="s">
        <v>47</v>
      </c>
      <c r="B2143" t="str">
        <f>"002378"</f>
        <v>002378</v>
      </c>
      <c r="C2143" t="s">
        <v>4613</v>
      </c>
      <c r="D2143" t="s">
        <v>1097</v>
      </c>
      <c r="E2143">
        <v>4625098973</v>
      </c>
      <c r="F2143">
        <v>4212324241</v>
      </c>
      <c r="G2143">
        <v>3656072964</v>
      </c>
      <c r="H2143">
        <v>4000464510</v>
      </c>
      <c r="I2143">
        <v>3611365073</v>
      </c>
      <c r="J2143">
        <v>3403272863</v>
      </c>
      <c r="K2143">
        <v>3067015925</v>
      </c>
      <c r="L2143">
        <v>3226017676</v>
      </c>
      <c r="M2143">
        <v>2995981986</v>
      </c>
      <c r="N2143">
        <v>2743266512</v>
      </c>
      <c r="O2143">
        <v>2646696373</v>
      </c>
      <c r="P2143">
        <v>128</v>
      </c>
      <c r="Q2143" t="s">
        <v>4614</v>
      </c>
    </row>
    <row r="2144" spans="1:17" x14ac:dyDescent="0.3">
      <c r="A2144" t="s">
        <v>17</v>
      </c>
      <c r="B2144" t="str">
        <f>"603508"</f>
        <v>603508</v>
      </c>
      <c r="C2144" t="s">
        <v>4615</v>
      </c>
      <c r="D2144" t="s">
        <v>523</v>
      </c>
      <c r="E2144">
        <v>4622278205</v>
      </c>
      <c r="F2144">
        <v>4373307946</v>
      </c>
      <c r="G2144">
        <v>5027018804</v>
      </c>
      <c r="H2144">
        <v>4867565353</v>
      </c>
      <c r="I2144">
        <v>2804446749</v>
      </c>
      <c r="J2144">
        <v>2670573431</v>
      </c>
      <c r="K2144">
        <v>2534890327</v>
      </c>
      <c r="L2144">
        <v>964250326</v>
      </c>
      <c r="P2144">
        <v>219</v>
      </c>
      <c r="Q2144" t="s">
        <v>4616</v>
      </c>
    </row>
    <row r="2145" spans="1:17" x14ac:dyDescent="0.3">
      <c r="A2145" t="s">
        <v>17</v>
      </c>
      <c r="B2145" t="str">
        <f>"605069"</f>
        <v>605069</v>
      </c>
      <c r="C2145" t="s">
        <v>4617</v>
      </c>
      <c r="D2145" t="s">
        <v>1269</v>
      </c>
      <c r="E2145">
        <v>4620139849</v>
      </c>
      <c r="P2145">
        <v>16</v>
      </c>
      <c r="Q2145" t="s">
        <v>4618</v>
      </c>
    </row>
    <row r="2146" spans="1:17" x14ac:dyDescent="0.3">
      <c r="A2146" t="s">
        <v>17</v>
      </c>
      <c r="B2146" t="str">
        <f>"600387"</f>
        <v>600387</v>
      </c>
      <c r="C2146" t="s">
        <v>4619</v>
      </c>
      <c r="D2146" t="s">
        <v>731</v>
      </c>
      <c r="E2146">
        <v>4616772820</v>
      </c>
      <c r="F2146">
        <v>4337465960</v>
      </c>
      <c r="G2146">
        <v>4618455635</v>
      </c>
      <c r="H2146">
        <v>9723116590</v>
      </c>
      <c r="I2146">
        <v>10653376584</v>
      </c>
      <c r="J2146">
        <v>8270700172</v>
      </c>
      <c r="K2146">
        <v>8455723954</v>
      </c>
      <c r="L2146">
        <v>9502777713</v>
      </c>
      <c r="M2146">
        <v>7463578021</v>
      </c>
      <c r="N2146">
        <v>3666349846</v>
      </c>
      <c r="O2146">
        <v>2332890461</v>
      </c>
      <c r="P2146">
        <v>116</v>
      </c>
      <c r="Q2146" t="s">
        <v>4620</v>
      </c>
    </row>
    <row r="2147" spans="1:17" x14ac:dyDescent="0.3">
      <c r="A2147" t="s">
        <v>47</v>
      </c>
      <c r="B2147" t="str">
        <f>"002261"</f>
        <v>002261</v>
      </c>
      <c r="C2147" t="s">
        <v>4621</v>
      </c>
      <c r="D2147" t="s">
        <v>2006</v>
      </c>
      <c r="E2147">
        <v>4615957035</v>
      </c>
      <c r="F2147">
        <v>3369795386</v>
      </c>
      <c r="G2147">
        <v>3006897576</v>
      </c>
      <c r="H2147">
        <v>3119986425</v>
      </c>
      <c r="I2147">
        <v>4347449005</v>
      </c>
      <c r="J2147">
        <v>4307364000</v>
      </c>
      <c r="K2147">
        <v>4083680178</v>
      </c>
      <c r="L2147">
        <v>2180757916</v>
      </c>
      <c r="M2147">
        <v>1087148818</v>
      </c>
      <c r="N2147">
        <v>956540340</v>
      </c>
      <c r="O2147">
        <v>981387666</v>
      </c>
      <c r="P2147">
        <v>299</v>
      </c>
      <c r="Q2147" t="s">
        <v>4622</v>
      </c>
    </row>
    <row r="2148" spans="1:17" x14ac:dyDescent="0.3">
      <c r="A2148" t="s">
        <v>17</v>
      </c>
      <c r="B2148" t="str">
        <f>"600817"</f>
        <v>600817</v>
      </c>
      <c r="C2148" t="s">
        <v>4623</v>
      </c>
      <c r="D2148" t="s">
        <v>429</v>
      </c>
      <c r="E2148">
        <v>4614953988</v>
      </c>
      <c r="F2148">
        <v>4269622407</v>
      </c>
      <c r="G2148">
        <v>208665460</v>
      </c>
      <c r="H2148">
        <v>180632192</v>
      </c>
      <c r="I2148">
        <v>170786560</v>
      </c>
      <c r="J2148">
        <v>169105039</v>
      </c>
      <c r="K2148">
        <v>347220398</v>
      </c>
      <c r="L2148">
        <v>448592800</v>
      </c>
      <c r="M2148">
        <v>725494320</v>
      </c>
      <c r="N2148">
        <v>766408140</v>
      </c>
      <c r="O2148">
        <v>99599397</v>
      </c>
      <c r="P2148">
        <v>102</v>
      </c>
      <c r="Q2148" t="s">
        <v>4624</v>
      </c>
    </row>
    <row r="2149" spans="1:17" x14ac:dyDescent="0.3">
      <c r="A2149" t="s">
        <v>17</v>
      </c>
      <c r="B2149" t="str">
        <f>"603466"</f>
        <v>603466</v>
      </c>
      <c r="C2149" t="s">
        <v>4625</v>
      </c>
      <c r="D2149" t="s">
        <v>4626</v>
      </c>
      <c r="E2149">
        <v>4613559027</v>
      </c>
      <c r="F2149">
        <v>4101599774</v>
      </c>
      <c r="G2149">
        <v>3641749766</v>
      </c>
      <c r="H2149">
        <v>3315995835</v>
      </c>
      <c r="I2149">
        <v>2810947696</v>
      </c>
      <c r="P2149">
        <v>406</v>
      </c>
      <c r="Q2149" t="s">
        <v>4627</v>
      </c>
    </row>
    <row r="2150" spans="1:17" x14ac:dyDescent="0.3">
      <c r="A2150" t="s">
        <v>17</v>
      </c>
      <c r="B2150" t="str">
        <f>"600802"</f>
        <v>600802</v>
      </c>
      <c r="C2150" t="s">
        <v>4628</v>
      </c>
      <c r="D2150" t="s">
        <v>253</v>
      </c>
      <c r="E2150">
        <v>4611850143</v>
      </c>
      <c r="F2150">
        <v>4604109771</v>
      </c>
      <c r="G2150">
        <v>3881685172</v>
      </c>
      <c r="H2150">
        <v>4035846631</v>
      </c>
      <c r="I2150">
        <v>3911814534</v>
      </c>
      <c r="J2150">
        <v>4241469329</v>
      </c>
      <c r="K2150">
        <v>4783429203</v>
      </c>
      <c r="L2150">
        <v>5473968222</v>
      </c>
      <c r="M2150">
        <v>4494701538</v>
      </c>
      <c r="N2150">
        <v>4273704057</v>
      </c>
      <c r="O2150">
        <v>3636620592</v>
      </c>
      <c r="P2150">
        <v>248</v>
      </c>
      <c r="Q2150" t="s">
        <v>4629</v>
      </c>
    </row>
    <row r="2151" spans="1:17" x14ac:dyDescent="0.3">
      <c r="A2151" t="s">
        <v>47</v>
      </c>
      <c r="B2151" t="str">
        <f>"000880"</f>
        <v>000880</v>
      </c>
      <c r="C2151" t="s">
        <v>4630</v>
      </c>
      <c r="D2151" t="s">
        <v>274</v>
      </c>
      <c r="E2151">
        <v>4609217208</v>
      </c>
      <c r="F2151">
        <v>4620668809</v>
      </c>
      <c r="G2151">
        <v>4212612193</v>
      </c>
      <c r="H2151">
        <v>4052843064</v>
      </c>
      <c r="I2151">
        <v>3754935936</v>
      </c>
      <c r="J2151">
        <v>3263282318</v>
      </c>
      <c r="K2151">
        <v>3381704950</v>
      </c>
      <c r="L2151">
        <v>3454970890</v>
      </c>
      <c r="M2151">
        <v>3218627164</v>
      </c>
      <c r="N2151">
        <v>2854069992</v>
      </c>
      <c r="O2151">
        <v>2812730439</v>
      </c>
      <c r="P2151">
        <v>102</v>
      </c>
      <c r="Q2151" t="s">
        <v>4631</v>
      </c>
    </row>
    <row r="2152" spans="1:17" x14ac:dyDescent="0.3">
      <c r="A2152" t="s">
        <v>17</v>
      </c>
      <c r="B2152" t="str">
        <f>"603610"</f>
        <v>603610</v>
      </c>
      <c r="C2152" t="s">
        <v>4632</v>
      </c>
      <c r="D2152" t="s">
        <v>2082</v>
      </c>
      <c r="E2152">
        <v>4606046527</v>
      </c>
      <c r="F2152">
        <v>3577748964</v>
      </c>
      <c r="G2152">
        <v>3416209859</v>
      </c>
      <c r="H2152">
        <v>1494576511</v>
      </c>
      <c r="P2152">
        <v>230</v>
      </c>
      <c r="Q2152" t="s">
        <v>4633</v>
      </c>
    </row>
    <row r="2153" spans="1:17" x14ac:dyDescent="0.3">
      <c r="A2153" t="s">
        <v>17</v>
      </c>
      <c r="B2153" t="str">
        <f>"603267"</f>
        <v>603267</v>
      </c>
      <c r="C2153" t="s">
        <v>4634</v>
      </c>
      <c r="D2153" t="s">
        <v>1385</v>
      </c>
      <c r="E2153">
        <v>4594805944</v>
      </c>
      <c r="F2153">
        <v>3347052378</v>
      </c>
      <c r="G2153">
        <v>2391793229</v>
      </c>
      <c r="H2153">
        <v>1498516398</v>
      </c>
      <c r="P2153">
        <v>469</v>
      </c>
      <c r="Q2153" t="s">
        <v>4635</v>
      </c>
    </row>
    <row r="2154" spans="1:17" x14ac:dyDescent="0.3">
      <c r="A2154" t="s">
        <v>47</v>
      </c>
      <c r="B2154" t="str">
        <f>"002887"</f>
        <v>002887</v>
      </c>
      <c r="C2154" t="s">
        <v>4636</v>
      </c>
      <c r="D2154" t="s">
        <v>1269</v>
      </c>
      <c r="E2154">
        <v>4592897776</v>
      </c>
      <c r="F2154">
        <v>3628620670</v>
      </c>
      <c r="G2154">
        <v>3173720762</v>
      </c>
      <c r="H2154">
        <v>2209238734</v>
      </c>
      <c r="I2154">
        <v>2102498825</v>
      </c>
      <c r="J2154">
        <v>1171865646</v>
      </c>
      <c r="P2154">
        <v>167</v>
      </c>
      <c r="Q2154" t="s">
        <v>4637</v>
      </c>
    </row>
    <row r="2155" spans="1:17" x14ac:dyDescent="0.3">
      <c r="A2155" t="s">
        <v>17</v>
      </c>
      <c r="B2155" t="str">
        <f>"688326"</f>
        <v>688326</v>
      </c>
      <c r="C2155" t="s">
        <v>4638</v>
      </c>
      <c r="E2155">
        <v>4581409982</v>
      </c>
      <c r="P2155">
        <v>3</v>
      </c>
      <c r="Q2155" t="s">
        <v>4639</v>
      </c>
    </row>
    <row r="2156" spans="1:17" x14ac:dyDescent="0.3">
      <c r="A2156" t="s">
        <v>47</v>
      </c>
      <c r="B2156" t="str">
        <f>"301116"</f>
        <v>301116</v>
      </c>
      <c r="C2156" t="s">
        <v>4640</v>
      </c>
      <c r="D2156" t="s">
        <v>1805</v>
      </c>
      <c r="E2156">
        <v>4576501190</v>
      </c>
      <c r="P2156">
        <v>11</v>
      </c>
      <c r="Q2156" t="s">
        <v>4641</v>
      </c>
    </row>
    <row r="2157" spans="1:17" x14ac:dyDescent="0.3">
      <c r="A2157" t="s">
        <v>17</v>
      </c>
      <c r="B2157" t="str">
        <f>"603698"</f>
        <v>603698</v>
      </c>
      <c r="C2157" t="s">
        <v>4642</v>
      </c>
      <c r="D2157" t="s">
        <v>607</v>
      </c>
      <c r="E2157">
        <v>4575141809</v>
      </c>
      <c r="F2157">
        <v>4234252695</v>
      </c>
      <c r="G2157">
        <v>3881016217</v>
      </c>
      <c r="H2157">
        <v>3859608208</v>
      </c>
      <c r="I2157">
        <v>3680364671</v>
      </c>
      <c r="J2157">
        <v>3637949429</v>
      </c>
      <c r="K2157">
        <v>4148542867</v>
      </c>
      <c r="L2157">
        <v>3745542449</v>
      </c>
      <c r="P2157">
        <v>108</v>
      </c>
      <c r="Q2157" t="s">
        <v>4643</v>
      </c>
    </row>
    <row r="2158" spans="1:17" x14ac:dyDescent="0.3">
      <c r="A2158" t="s">
        <v>17</v>
      </c>
      <c r="B2158" t="str">
        <f>"603116"</f>
        <v>603116</v>
      </c>
      <c r="C2158" t="s">
        <v>4644</v>
      </c>
      <c r="D2158" t="s">
        <v>4276</v>
      </c>
      <c r="E2158">
        <v>4574358642</v>
      </c>
      <c r="F2158">
        <v>4558161950</v>
      </c>
      <c r="G2158">
        <v>4494887674</v>
      </c>
      <c r="H2158">
        <v>4493021163</v>
      </c>
      <c r="I2158">
        <v>4601142265</v>
      </c>
      <c r="J2158">
        <v>4220827688</v>
      </c>
      <c r="K2158">
        <v>3927770022</v>
      </c>
      <c r="L2158">
        <v>2565516721</v>
      </c>
      <c r="P2158">
        <v>102</v>
      </c>
      <c r="Q2158" t="s">
        <v>4645</v>
      </c>
    </row>
    <row r="2159" spans="1:17" x14ac:dyDescent="0.3">
      <c r="A2159" t="s">
        <v>47</v>
      </c>
      <c r="B2159" t="str">
        <f>"002084"</f>
        <v>002084</v>
      </c>
      <c r="C2159" t="s">
        <v>4646</v>
      </c>
      <c r="D2159" t="s">
        <v>3842</v>
      </c>
      <c r="E2159">
        <v>4571308670</v>
      </c>
      <c r="F2159">
        <v>4239202363</v>
      </c>
      <c r="G2159">
        <v>3033494881</v>
      </c>
      <c r="H2159">
        <v>2714238130</v>
      </c>
      <c r="I2159">
        <v>2475139096</v>
      </c>
      <c r="J2159">
        <v>1859257382</v>
      </c>
      <c r="K2159">
        <v>1920899216</v>
      </c>
      <c r="L2159">
        <v>1655989530</v>
      </c>
      <c r="M2159">
        <v>1637211181</v>
      </c>
      <c r="N2159">
        <v>1665229789</v>
      </c>
      <c r="O2159">
        <v>1582972046</v>
      </c>
      <c r="P2159">
        <v>148</v>
      </c>
      <c r="Q2159" t="s">
        <v>4647</v>
      </c>
    </row>
    <row r="2160" spans="1:17" x14ac:dyDescent="0.3">
      <c r="A2160" t="s">
        <v>17</v>
      </c>
      <c r="B2160" t="str">
        <f>"603719"</f>
        <v>603719</v>
      </c>
      <c r="C2160" t="s">
        <v>4648</v>
      </c>
      <c r="D2160" t="s">
        <v>3331</v>
      </c>
      <c r="E2160">
        <v>4570761280</v>
      </c>
      <c r="F2160">
        <v>4483391585</v>
      </c>
      <c r="G2160">
        <v>3725050916</v>
      </c>
      <c r="P2160">
        <v>715</v>
      </c>
      <c r="Q2160" t="s">
        <v>4649</v>
      </c>
    </row>
    <row r="2161" spans="1:17" x14ac:dyDescent="0.3">
      <c r="A2161" t="s">
        <v>47</v>
      </c>
      <c r="B2161" t="str">
        <f>"300043"</f>
        <v>300043</v>
      </c>
      <c r="C2161" t="s">
        <v>4650</v>
      </c>
      <c r="D2161" t="s">
        <v>1032</v>
      </c>
      <c r="E2161">
        <v>4570393285</v>
      </c>
      <c r="F2161">
        <v>5179497210</v>
      </c>
      <c r="G2161">
        <v>5911117911</v>
      </c>
      <c r="H2161">
        <v>5912934672</v>
      </c>
      <c r="I2161">
        <v>5986901365</v>
      </c>
      <c r="J2161">
        <v>5861816244</v>
      </c>
      <c r="K2161">
        <v>4692818922</v>
      </c>
      <c r="L2161">
        <v>3620426334</v>
      </c>
      <c r="M2161">
        <v>3166708050</v>
      </c>
      <c r="N2161">
        <v>1584852469</v>
      </c>
      <c r="O2161">
        <v>954551683</v>
      </c>
      <c r="P2161">
        <v>183</v>
      </c>
      <c r="Q2161" t="s">
        <v>4651</v>
      </c>
    </row>
    <row r="2162" spans="1:17" x14ac:dyDescent="0.3">
      <c r="A2162" t="s">
        <v>47</v>
      </c>
      <c r="B2162" t="str">
        <f>"300381"</f>
        <v>300381</v>
      </c>
      <c r="C2162" t="s">
        <v>4652</v>
      </c>
      <c r="D2162" t="s">
        <v>1112</v>
      </c>
      <c r="E2162">
        <v>4559922469</v>
      </c>
      <c r="F2162">
        <v>4680943537</v>
      </c>
      <c r="G2162">
        <v>4746030011</v>
      </c>
      <c r="H2162">
        <v>4382095150</v>
      </c>
      <c r="I2162">
        <v>4050592098</v>
      </c>
      <c r="J2162">
        <v>3398859774</v>
      </c>
      <c r="K2162">
        <v>2558446145</v>
      </c>
      <c r="L2162">
        <v>940309778</v>
      </c>
      <c r="M2162">
        <v>531407153</v>
      </c>
      <c r="P2162">
        <v>160</v>
      </c>
      <c r="Q2162" t="s">
        <v>4653</v>
      </c>
    </row>
    <row r="2163" spans="1:17" x14ac:dyDescent="0.3">
      <c r="A2163" t="s">
        <v>17</v>
      </c>
      <c r="B2163" t="str">
        <f>"603638"</f>
        <v>603638</v>
      </c>
      <c r="C2163" t="s">
        <v>4654</v>
      </c>
      <c r="D2163" t="s">
        <v>2395</v>
      </c>
      <c r="E2163">
        <v>4552055721</v>
      </c>
      <c r="F2163">
        <v>4192249447</v>
      </c>
      <c r="G2163">
        <v>2986594775</v>
      </c>
      <c r="H2163">
        <v>1939280877</v>
      </c>
      <c r="I2163">
        <v>1113916654</v>
      </c>
      <c r="J2163">
        <v>943358702</v>
      </c>
      <c r="P2163">
        <v>665</v>
      </c>
      <c r="Q2163" t="s">
        <v>4655</v>
      </c>
    </row>
    <row r="2164" spans="1:17" x14ac:dyDescent="0.3">
      <c r="A2164" t="s">
        <v>17</v>
      </c>
      <c r="B2164" t="str">
        <f>"600192"</f>
        <v>600192</v>
      </c>
      <c r="C2164" t="s">
        <v>4656</v>
      </c>
      <c r="D2164" t="s">
        <v>459</v>
      </c>
      <c r="E2164">
        <v>4551319330</v>
      </c>
      <c r="F2164">
        <v>4784299430</v>
      </c>
      <c r="G2164">
        <v>4739850670</v>
      </c>
      <c r="H2164">
        <v>4563831041</v>
      </c>
      <c r="I2164">
        <v>4584392204</v>
      </c>
      <c r="J2164">
        <v>4715339415</v>
      </c>
      <c r="K2164">
        <v>4540029233</v>
      </c>
      <c r="L2164">
        <v>4286396574</v>
      </c>
      <c r="M2164">
        <v>3822054216</v>
      </c>
      <c r="N2164">
        <v>3207285679</v>
      </c>
      <c r="O2164">
        <v>2916326586</v>
      </c>
      <c r="P2164">
        <v>76</v>
      </c>
      <c r="Q2164" t="s">
        <v>4657</v>
      </c>
    </row>
    <row r="2165" spans="1:17" x14ac:dyDescent="0.3">
      <c r="A2165" t="s">
        <v>47</v>
      </c>
      <c r="B2165" t="str">
        <f>"300041"</f>
        <v>300041</v>
      </c>
      <c r="C2165" t="s">
        <v>4658</v>
      </c>
      <c r="D2165" t="s">
        <v>1833</v>
      </c>
      <c r="E2165">
        <v>4550589963</v>
      </c>
      <c r="F2165">
        <v>3629878091</v>
      </c>
      <c r="G2165">
        <v>2857621531</v>
      </c>
      <c r="H2165">
        <v>2547048381</v>
      </c>
      <c r="I2165">
        <v>2605533701</v>
      </c>
      <c r="J2165">
        <v>1902136371</v>
      </c>
      <c r="K2165">
        <v>1836935633</v>
      </c>
      <c r="L2165">
        <v>1392251834</v>
      </c>
      <c r="M2165">
        <v>1187434710</v>
      </c>
      <c r="N2165">
        <v>1060205460</v>
      </c>
      <c r="O2165">
        <v>987555844</v>
      </c>
      <c r="P2165">
        <v>253</v>
      </c>
      <c r="Q2165" t="s">
        <v>4659</v>
      </c>
    </row>
    <row r="2166" spans="1:17" x14ac:dyDescent="0.3">
      <c r="A2166" t="s">
        <v>17</v>
      </c>
      <c r="B2166" t="str">
        <f>"688317"</f>
        <v>688317</v>
      </c>
      <c r="C2166" t="s">
        <v>4660</v>
      </c>
      <c r="D2166" t="s">
        <v>2322</v>
      </c>
      <c r="E2166">
        <v>4549113092</v>
      </c>
      <c r="F2166">
        <v>4174307923</v>
      </c>
      <c r="G2166">
        <v>793943870</v>
      </c>
      <c r="P2166">
        <v>120</v>
      </c>
      <c r="Q2166" t="s">
        <v>4661</v>
      </c>
    </row>
    <row r="2167" spans="1:17" x14ac:dyDescent="0.3">
      <c r="A2167" t="s">
        <v>17</v>
      </c>
      <c r="B2167" t="str">
        <f>"688518"</f>
        <v>688518</v>
      </c>
      <c r="C2167" t="s">
        <v>4662</v>
      </c>
      <c r="D2167" t="s">
        <v>1296</v>
      </c>
      <c r="E2167">
        <v>4538478032</v>
      </c>
      <c r="F2167">
        <v>2931221282</v>
      </c>
      <c r="G2167">
        <v>1531338373</v>
      </c>
      <c r="P2167">
        <v>65</v>
      </c>
      <c r="Q2167" t="s">
        <v>4663</v>
      </c>
    </row>
    <row r="2168" spans="1:17" x14ac:dyDescent="0.3">
      <c r="A2168" t="s">
        <v>17</v>
      </c>
      <c r="B2168" t="str">
        <f>"605001"</f>
        <v>605001</v>
      </c>
      <c r="C2168" t="s">
        <v>4664</v>
      </c>
      <c r="D2168" t="s">
        <v>193</v>
      </c>
      <c r="E2168">
        <v>4534060386</v>
      </c>
      <c r="F2168">
        <v>4687022635</v>
      </c>
      <c r="G2168">
        <v>2998246568</v>
      </c>
      <c r="P2168">
        <v>48</v>
      </c>
      <c r="Q2168" t="s">
        <v>4665</v>
      </c>
    </row>
    <row r="2169" spans="1:17" x14ac:dyDescent="0.3">
      <c r="A2169" t="s">
        <v>47</v>
      </c>
      <c r="B2169" t="str">
        <f>"002437"</f>
        <v>002437</v>
      </c>
      <c r="C2169" t="s">
        <v>4666</v>
      </c>
      <c r="D2169" t="s">
        <v>550</v>
      </c>
      <c r="E2169">
        <v>4533272451</v>
      </c>
      <c r="F2169">
        <v>4870118686</v>
      </c>
      <c r="G2169">
        <v>5776069854</v>
      </c>
      <c r="H2169">
        <v>9365599710</v>
      </c>
      <c r="I2169">
        <v>9331811405</v>
      </c>
      <c r="J2169">
        <v>8679597642</v>
      </c>
      <c r="K2169">
        <v>8149002067</v>
      </c>
      <c r="L2169">
        <v>7036280513</v>
      </c>
      <c r="M2169">
        <v>3652891052</v>
      </c>
      <c r="N2169">
        <v>2712747378</v>
      </c>
      <c r="O2169">
        <v>2355319898</v>
      </c>
      <c r="P2169">
        <v>189</v>
      </c>
      <c r="Q2169" t="s">
        <v>4667</v>
      </c>
    </row>
    <row r="2170" spans="1:17" x14ac:dyDescent="0.3">
      <c r="A2170" t="s">
        <v>47</v>
      </c>
      <c r="B2170" t="str">
        <f>"002852"</f>
        <v>002852</v>
      </c>
      <c r="C2170" t="s">
        <v>4668</v>
      </c>
      <c r="D2170" t="s">
        <v>320</v>
      </c>
      <c r="E2170">
        <v>4529007111</v>
      </c>
      <c r="F2170">
        <v>3525079199</v>
      </c>
      <c r="G2170">
        <v>2597113790</v>
      </c>
      <c r="H2170">
        <v>2710079027</v>
      </c>
      <c r="I2170">
        <v>2368214508</v>
      </c>
      <c r="J2170">
        <v>2306607269</v>
      </c>
      <c r="P2170">
        <v>141</v>
      </c>
      <c r="Q2170" t="s">
        <v>4669</v>
      </c>
    </row>
    <row r="2171" spans="1:17" x14ac:dyDescent="0.3">
      <c r="A2171" t="s">
        <v>47</v>
      </c>
      <c r="B2171" t="str">
        <f>"300369"</f>
        <v>300369</v>
      </c>
      <c r="C2171" t="s">
        <v>4670</v>
      </c>
      <c r="D2171" t="s">
        <v>1010</v>
      </c>
      <c r="E2171">
        <v>4522743567</v>
      </c>
      <c r="F2171">
        <v>3919484950</v>
      </c>
      <c r="G2171">
        <v>3893208389</v>
      </c>
      <c r="H2171">
        <v>3619979324</v>
      </c>
      <c r="I2171">
        <v>3645245949</v>
      </c>
      <c r="J2171">
        <v>3355806360</v>
      </c>
      <c r="K2171">
        <v>2060602670</v>
      </c>
      <c r="L2171">
        <v>1800280064</v>
      </c>
      <c r="M2171">
        <v>1092123149</v>
      </c>
      <c r="P2171">
        <v>418</v>
      </c>
      <c r="Q2171" t="s">
        <v>4671</v>
      </c>
    </row>
    <row r="2172" spans="1:17" x14ac:dyDescent="0.3">
      <c r="A2172" t="s">
        <v>47</v>
      </c>
      <c r="B2172" t="str">
        <f>"300132"</f>
        <v>300132</v>
      </c>
      <c r="C2172" t="s">
        <v>4672</v>
      </c>
      <c r="D2172" t="s">
        <v>2302</v>
      </c>
      <c r="E2172">
        <v>4521474053</v>
      </c>
      <c r="F2172">
        <v>4871790305</v>
      </c>
      <c r="G2172">
        <v>4509854625</v>
      </c>
      <c r="H2172">
        <v>1509220663</v>
      </c>
      <c r="I2172">
        <v>1045925992</v>
      </c>
      <c r="J2172">
        <v>738994645</v>
      </c>
      <c r="K2172">
        <v>691398458</v>
      </c>
      <c r="L2172">
        <v>1059427798</v>
      </c>
      <c r="M2172">
        <v>1161308396</v>
      </c>
      <c r="N2172">
        <v>1090758115</v>
      </c>
      <c r="O2172">
        <v>913392754</v>
      </c>
      <c r="P2172">
        <v>399</v>
      </c>
      <c r="Q2172" t="s">
        <v>4673</v>
      </c>
    </row>
    <row r="2173" spans="1:17" x14ac:dyDescent="0.3">
      <c r="A2173" t="s">
        <v>17</v>
      </c>
      <c r="B2173" t="str">
        <f>"603005"</f>
        <v>603005</v>
      </c>
      <c r="C2173" t="s">
        <v>4674</v>
      </c>
      <c r="D2173" t="s">
        <v>1109</v>
      </c>
      <c r="E2173">
        <v>4512373407</v>
      </c>
      <c r="F2173">
        <v>3827998513</v>
      </c>
      <c r="G2173">
        <v>2351583473</v>
      </c>
      <c r="H2173">
        <v>2189935368</v>
      </c>
      <c r="I2173">
        <v>2093783489</v>
      </c>
      <c r="J2173">
        <v>1938532042</v>
      </c>
      <c r="K2173">
        <v>1972017506</v>
      </c>
      <c r="L2173">
        <v>1975442521</v>
      </c>
      <c r="M2173">
        <v>2054772254</v>
      </c>
      <c r="P2173">
        <v>3661</v>
      </c>
      <c r="Q2173" t="s">
        <v>4675</v>
      </c>
    </row>
    <row r="2174" spans="1:17" x14ac:dyDescent="0.3">
      <c r="A2174" t="s">
        <v>17</v>
      </c>
      <c r="B2174" t="str">
        <f>"601177"</f>
        <v>601177</v>
      </c>
      <c r="C2174" t="s">
        <v>4676</v>
      </c>
      <c r="D2174" t="s">
        <v>401</v>
      </c>
      <c r="E2174">
        <v>4507077020</v>
      </c>
      <c r="F2174">
        <v>4102835372</v>
      </c>
      <c r="G2174">
        <v>3859414134</v>
      </c>
      <c r="H2174">
        <v>3873525470</v>
      </c>
      <c r="I2174">
        <v>3831778217</v>
      </c>
      <c r="J2174">
        <v>3788183692</v>
      </c>
      <c r="K2174">
        <v>3900175603</v>
      </c>
      <c r="L2174">
        <v>4045502063</v>
      </c>
      <c r="M2174">
        <v>3729943268</v>
      </c>
      <c r="N2174">
        <v>3297999385</v>
      </c>
      <c r="O2174">
        <v>3363228962</v>
      </c>
      <c r="P2174">
        <v>74</v>
      </c>
      <c r="Q2174" t="s">
        <v>4677</v>
      </c>
    </row>
    <row r="2175" spans="1:17" x14ac:dyDescent="0.3">
      <c r="A2175" t="s">
        <v>47</v>
      </c>
      <c r="B2175" t="str">
        <f>"002031"</f>
        <v>002031</v>
      </c>
      <c r="C2175" t="s">
        <v>4678</v>
      </c>
      <c r="D2175" t="s">
        <v>1973</v>
      </c>
      <c r="E2175">
        <v>4505475500</v>
      </c>
      <c r="F2175">
        <v>6086361228</v>
      </c>
      <c r="G2175">
        <v>5674191774</v>
      </c>
      <c r="H2175">
        <v>6235909659</v>
      </c>
      <c r="I2175">
        <v>7245017594</v>
      </c>
      <c r="J2175">
        <v>5555881019</v>
      </c>
      <c r="K2175">
        <v>4722255740</v>
      </c>
      <c r="L2175">
        <v>3855009203</v>
      </c>
      <c r="M2175">
        <v>3217721137</v>
      </c>
      <c r="N2175">
        <v>2837955505</v>
      </c>
      <c r="O2175">
        <v>2540745150</v>
      </c>
      <c r="P2175">
        <v>137</v>
      </c>
      <c r="Q2175" t="s">
        <v>4679</v>
      </c>
    </row>
    <row r="2176" spans="1:17" x14ac:dyDescent="0.3">
      <c r="A2176" t="s">
        <v>17</v>
      </c>
      <c r="B2176" t="str">
        <f>"605196"</f>
        <v>605196</v>
      </c>
      <c r="C2176" t="s">
        <v>4680</v>
      </c>
      <c r="D2176" t="s">
        <v>1616</v>
      </c>
      <c r="E2176">
        <v>4503649294</v>
      </c>
      <c r="F2176">
        <v>3012472933</v>
      </c>
      <c r="P2176">
        <v>27</v>
      </c>
      <c r="Q2176" t="s">
        <v>4681</v>
      </c>
    </row>
    <row r="2177" spans="1:17" x14ac:dyDescent="0.3">
      <c r="A2177" t="s">
        <v>17</v>
      </c>
      <c r="B2177" t="str">
        <f>"603915"</f>
        <v>603915</v>
      </c>
      <c r="C2177" t="s">
        <v>4682</v>
      </c>
      <c r="D2177" t="s">
        <v>401</v>
      </c>
      <c r="E2177">
        <v>4493094312</v>
      </c>
      <c r="F2177">
        <v>4199345966</v>
      </c>
      <c r="G2177">
        <v>3258859464</v>
      </c>
      <c r="H2177">
        <v>2041462300</v>
      </c>
      <c r="P2177">
        <v>160</v>
      </c>
      <c r="Q2177" t="s">
        <v>4683</v>
      </c>
    </row>
    <row r="2178" spans="1:17" x14ac:dyDescent="0.3">
      <c r="A2178" t="s">
        <v>17</v>
      </c>
      <c r="B2178" t="str">
        <f>"603716"</f>
        <v>603716</v>
      </c>
      <c r="C2178" t="s">
        <v>4684</v>
      </c>
      <c r="D2178" t="s">
        <v>362</v>
      </c>
      <c r="E2178">
        <v>4489441503</v>
      </c>
      <c r="F2178">
        <v>4028170359</v>
      </c>
      <c r="G2178">
        <v>3208848946</v>
      </c>
      <c r="H2178">
        <v>2797259704</v>
      </c>
      <c r="I2178">
        <v>1656941489</v>
      </c>
      <c r="J2178">
        <v>1097197496</v>
      </c>
      <c r="P2178">
        <v>137</v>
      </c>
      <c r="Q2178" t="s">
        <v>4685</v>
      </c>
    </row>
    <row r="2179" spans="1:17" x14ac:dyDescent="0.3">
      <c r="A2179" t="s">
        <v>47</v>
      </c>
      <c r="B2179" t="str">
        <f>"300219"</f>
        <v>300219</v>
      </c>
      <c r="C2179" t="s">
        <v>4686</v>
      </c>
      <c r="D2179" t="s">
        <v>862</v>
      </c>
      <c r="E2179">
        <v>4484325650</v>
      </c>
      <c r="F2179">
        <v>4192013646</v>
      </c>
      <c r="G2179">
        <v>3557370434</v>
      </c>
      <c r="H2179">
        <v>4897805255</v>
      </c>
      <c r="I2179">
        <v>5105360873</v>
      </c>
      <c r="J2179">
        <v>3552948207</v>
      </c>
      <c r="K2179">
        <v>2116374826</v>
      </c>
      <c r="L2179">
        <v>1565231995</v>
      </c>
      <c r="M2179">
        <v>1066757910</v>
      </c>
      <c r="N2179">
        <v>967689841</v>
      </c>
      <c r="O2179">
        <v>903713750</v>
      </c>
      <c r="P2179">
        <v>135</v>
      </c>
      <c r="Q2179" t="s">
        <v>4687</v>
      </c>
    </row>
    <row r="2180" spans="1:17" x14ac:dyDescent="0.3">
      <c r="A2180" t="s">
        <v>17</v>
      </c>
      <c r="B2180" t="str">
        <f>"688798"</f>
        <v>688798</v>
      </c>
      <c r="C2180" t="s">
        <v>4688</v>
      </c>
      <c r="D2180" t="s">
        <v>2795</v>
      </c>
      <c r="E2180">
        <v>4484195045</v>
      </c>
      <c r="F2180">
        <v>1203316461</v>
      </c>
      <c r="P2180">
        <v>67</v>
      </c>
      <c r="Q2180" t="s">
        <v>4689</v>
      </c>
    </row>
    <row r="2181" spans="1:17" x14ac:dyDescent="0.3">
      <c r="A2181" t="s">
        <v>47</v>
      </c>
      <c r="B2181" t="str">
        <f>"002765"</f>
        <v>002765</v>
      </c>
      <c r="C2181" t="s">
        <v>4690</v>
      </c>
      <c r="D2181" t="s">
        <v>181</v>
      </c>
      <c r="E2181">
        <v>4480928591</v>
      </c>
      <c r="F2181">
        <v>4142861108</v>
      </c>
      <c r="G2181">
        <v>3478271315</v>
      </c>
      <c r="H2181">
        <v>2462921849</v>
      </c>
      <c r="I2181">
        <v>2530018700</v>
      </c>
      <c r="J2181">
        <v>2335374970</v>
      </c>
      <c r="K2181">
        <v>1566073030</v>
      </c>
      <c r="L2181">
        <v>1148853300</v>
      </c>
      <c r="P2181">
        <v>118</v>
      </c>
      <c r="Q2181" t="s">
        <v>4691</v>
      </c>
    </row>
    <row r="2182" spans="1:17" x14ac:dyDescent="0.3">
      <c r="A2182" t="s">
        <v>47</v>
      </c>
      <c r="B2182" t="str">
        <f>"002443"</f>
        <v>002443</v>
      </c>
      <c r="C2182" t="s">
        <v>4692</v>
      </c>
      <c r="D2182" t="s">
        <v>555</v>
      </c>
      <c r="E2182">
        <v>4480127943</v>
      </c>
      <c r="F2182">
        <v>4086456762</v>
      </c>
      <c r="G2182">
        <v>3681406695</v>
      </c>
      <c r="H2182">
        <v>3578933265</v>
      </c>
      <c r="I2182">
        <v>3401834179</v>
      </c>
      <c r="J2182">
        <v>3361287524</v>
      </c>
      <c r="K2182">
        <v>2816502941</v>
      </c>
      <c r="L2182">
        <v>2524796175</v>
      </c>
      <c r="M2182">
        <v>2799986458</v>
      </c>
      <c r="N2182">
        <v>2599507750</v>
      </c>
      <c r="O2182">
        <v>2247291203</v>
      </c>
      <c r="P2182">
        <v>257</v>
      </c>
      <c r="Q2182" t="s">
        <v>4693</v>
      </c>
    </row>
    <row r="2183" spans="1:17" x14ac:dyDescent="0.3">
      <c r="A2183" t="s">
        <v>47</v>
      </c>
      <c r="B2183" t="str">
        <f>"002969"</f>
        <v>002969</v>
      </c>
      <c r="C2183" t="s">
        <v>4694</v>
      </c>
      <c r="D2183" t="s">
        <v>1913</v>
      </c>
      <c r="E2183">
        <v>4477639294</v>
      </c>
      <c r="F2183">
        <v>3590147884</v>
      </c>
      <c r="G2183">
        <v>3509185582</v>
      </c>
      <c r="P2183">
        <v>78</v>
      </c>
      <c r="Q2183" t="s">
        <v>4695</v>
      </c>
    </row>
    <row r="2184" spans="1:17" x14ac:dyDescent="0.3">
      <c r="A2184" t="s">
        <v>17</v>
      </c>
      <c r="B2184" t="str">
        <f>"688023"</f>
        <v>688023</v>
      </c>
      <c r="C2184" t="s">
        <v>4696</v>
      </c>
      <c r="D2184" t="s">
        <v>1010</v>
      </c>
      <c r="E2184">
        <v>4477420041</v>
      </c>
      <c r="F2184">
        <v>2160368535</v>
      </c>
      <c r="G2184">
        <v>1943055000</v>
      </c>
      <c r="H2184">
        <v>804518500</v>
      </c>
      <c r="P2184">
        <v>249</v>
      </c>
      <c r="Q2184" t="s">
        <v>4697</v>
      </c>
    </row>
    <row r="2185" spans="1:17" x14ac:dyDescent="0.3">
      <c r="A2185" t="s">
        <v>47</v>
      </c>
      <c r="B2185" t="str">
        <f>"002246"</f>
        <v>002246</v>
      </c>
      <c r="C2185" t="s">
        <v>4698</v>
      </c>
      <c r="D2185" t="s">
        <v>1995</v>
      </c>
      <c r="E2185">
        <v>4476856147</v>
      </c>
      <c r="F2185">
        <v>4276884708</v>
      </c>
      <c r="G2185">
        <v>3957442109</v>
      </c>
      <c r="H2185">
        <v>3652961528</v>
      </c>
      <c r="I2185">
        <v>3455900873</v>
      </c>
      <c r="J2185">
        <v>1736267292</v>
      </c>
      <c r="K2185">
        <v>1592426777</v>
      </c>
      <c r="L2185">
        <v>1625578457</v>
      </c>
      <c r="M2185">
        <v>1663260868</v>
      </c>
      <c r="N2185">
        <v>741993326</v>
      </c>
      <c r="O2185">
        <v>705108221</v>
      </c>
      <c r="P2185">
        <v>117</v>
      </c>
      <c r="Q2185" t="s">
        <v>4699</v>
      </c>
    </row>
    <row r="2186" spans="1:17" x14ac:dyDescent="0.3">
      <c r="A2186" t="s">
        <v>17</v>
      </c>
      <c r="B2186" t="str">
        <f>"601579"</f>
        <v>601579</v>
      </c>
      <c r="C2186" t="s">
        <v>4700</v>
      </c>
      <c r="D2186" t="s">
        <v>2319</v>
      </c>
      <c r="E2186">
        <v>4463821138</v>
      </c>
      <c r="F2186">
        <v>4444207264</v>
      </c>
      <c r="G2186">
        <v>4375227400</v>
      </c>
      <c r="H2186">
        <v>4285837092</v>
      </c>
      <c r="I2186">
        <v>3994123457</v>
      </c>
      <c r="J2186">
        <v>3633432183</v>
      </c>
      <c r="K2186">
        <v>2447897743</v>
      </c>
      <c r="L2186">
        <v>2169906968</v>
      </c>
      <c r="M2186">
        <v>1975401717</v>
      </c>
      <c r="P2186">
        <v>186</v>
      </c>
      <c r="Q2186" t="s">
        <v>4701</v>
      </c>
    </row>
    <row r="2187" spans="1:17" x14ac:dyDescent="0.3">
      <c r="A2187" t="s">
        <v>17</v>
      </c>
      <c r="B2187" t="str">
        <f>"688680"</f>
        <v>688680</v>
      </c>
      <c r="C2187" t="s">
        <v>4702</v>
      </c>
      <c r="D2187" t="s">
        <v>1555</v>
      </c>
      <c r="E2187">
        <v>4462952892</v>
      </c>
      <c r="F2187">
        <v>2895704990</v>
      </c>
      <c r="H2187">
        <v>731007092</v>
      </c>
      <c r="I2187">
        <v>622100191</v>
      </c>
      <c r="P2187">
        <v>79</v>
      </c>
      <c r="Q2187" t="s">
        <v>4703</v>
      </c>
    </row>
    <row r="2188" spans="1:17" x14ac:dyDescent="0.3">
      <c r="A2188" t="s">
        <v>17</v>
      </c>
      <c r="B2188" t="str">
        <f>"600784"</f>
        <v>600784</v>
      </c>
      <c r="C2188" t="s">
        <v>4704</v>
      </c>
      <c r="D2188" t="s">
        <v>810</v>
      </c>
      <c r="E2188">
        <v>4461944171</v>
      </c>
      <c r="F2188">
        <v>4631200251</v>
      </c>
      <c r="G2188">
        <v>5371657541</v>
      </c>
      <c r="H2188">
        <v>5976145977</v>
      </c>
      <c r="I2188">
        <v>3809950158</v>
      </c>
      <c r="J2188">
        <v>4525126764</v>
      </c>
      <c r="K2188">
        <v>5317540865</v>
      </c>
      <c r="L2188">
        <v>5448974087</v>
      </c>
      <c r="M2188">
        <v>5299729686</v>
      </c>
      <c r="N2188">
        <v>4401477991</v>
      </c>
      <c r="O2188">
        <v>3516492348</v>
      </c>
      <c r="P2188">
        <v>75</v>
      </c>
      <c r="Q2188" t="s">
        <v>4705</v>
      </c>
    </row>
    <row r="2189" spans="1:17" x14ac:dyDescent="0.3">
      <c r="A2189" t="s">
        <v>17</v>
      </c>
      <c r="B2189" t="str">
        <f>"603836"</f>
        <v>603836</v>
      </c>
      <c r="C2189" t="s">
        <v>4706</v>
      </c>
      <c r="D2189" t="s">
        <v>618</v>
      </c>
      <c r="E2189">
        <v>4461322943</v>
      </c>
      <c r="F2189">
        <v>2133099232</v>
      </c>
      <c r="P2189">
        <v>29</v>
      </c>
      <c r="Q2189" t="s">
        <v>4707</v>
      </c>
    </row>
    <row r="2190" spans="1:17" x14ac:dyDescent="0.3">
      <c r="A2190" t="s">
        <v>17</v>
      </c>
      <c r="B2190" t="str">
        <f>"605117"</f>
        <v>605117</v>
      </c>
      <c r="C2190" t="s">
        <v>4708</v>
      </c>
      <c r="D2190" t="s">
        <v>1511</v>
      </c>
      <c r="E2190">
        <v>4457490123</v>
      </c>
      <c r="F2190">
        <v>1803511475</v>
      </c>
      <c r="P2190">
        <v>141</v>
      </c>
      <c r="Q2190" t="s">
        <v>4709</v>
      </c>
    </row>
    <row r="2191" spans="1:17" x14ac:dyDescent="0.3">
      <c r="A2191" t="s">
        <v>47</v>
      </c>
      <c r="B2191" t="str">
        <f>"002775"</f>
        <v>002775</v>
      </c>
      <c r="C2191" t="s">
        <v>4710</v>
      </c>
      <c r="D2191" t="s">
        <v>952</v>
      </c>
      <c r="E2191">
        <v>4454403414</v>
      </c>
      <c r="F2191">
        <v>5721911536</v>
      </c>
      <c r="G2191">
        <v>4489186263</v>
      </c>
      <c r="H2191">
        <v>3851282655</v>
      </c>
      <c r="I2191">
        <v>2963188439</v>
      </c>
      <c r="J2191">
        <v>2385840450</v>
      </c>
      <c r="K2191">
        <v>1870926313</v>
      </c>
      <c r="L2191">
        <v>1198320800</v>
      </c>
      <c r="P2191">
        <v>218</v>
      </c>
      <c r="Q2191" t="s">
        <v>4711</v>
      </c>
    </row>
    <row r="2192" spans="1:17" x14ac:dyDescent="0.3">
      <c r="A2192" t="s">
        <v>47</v>
      </c>
      <c r="B2192" t="str">
        <f>"002955"</f>
        <v>002955</v>
      </c>
      <c r="C2192" t="s">
        <v>4712</v>
      </c>
      <c r="D2192" t="s">
        <v>181</v>
      </c>
      <c r="E2192">
        <v>4448909051</v>
      </c>
      <c r="F2192">
        <v>4073594311</v>
      </c>
      <c r="G2192">
        <v>3623813209</v>
      </c>
      <c r="H2192">
        <v>1852970507</v>
      </c>
      <c r="P2192">
        <v>167</v>
      </c>
      <c r="Q2192" t="s">
        <v>4713</v>
      </c>
    </row>
    <row r="2193" spans="1:17" x14ac:dyDescent="0.3">
      <c r="A2193" t="s">
        <v>47</v>
      </c>
      <c r="B2193" t="str">
        <f>"002269"</f>
        <v>002269</v>
      </c>
      <c r="C2193" t="s">
        <v>4714</v>
      </c>
      <c r="D2193" t="s">
        <v>628</v>
      </c>
      <c r="E2193">
        <v>4448280986</v>
      </c>
      <c r="F2193">
        <v>5759569002</v>
      </c>
      <c r="G2193">
        <v>5987845442</v>
      </c>
      <c r="H2193">
        <v>7138133152</v>
      </c>
      <c r="I2193">
        <v>6417314890</v>
      </c>
      <c r="J2193">
        <v>5655846080</v>
      </c>
      <c r="K2193">
        <v>6822333629</v>
      </c>
      <c r="L2193">
        <v>7100847829</v>
      </c>
      <c r="M2193">
        <v>6846988616</v>
      </c>
      <c r="N2193">
        <v>7335613542</v>
      </c>
      <c r="O2193">
        <v>9620877882</v>
      </c>
      <c r="P2193">
        <v>143</v>
      </c>
      <c r="Q2193" t="s">
        <v>4715</v>
      </c>
    </row>
    <row r="2194" spans="1:17" x14ac:dyDescent="0.3">
      <c r="A2194" t="s">
        <v>17</v>
      </c>
      <c r="B2194" t="str">
        <f>"603808"</f>
        <v>603808</v>
      </c>
      <c r="C2194" t="s">
        <v>4716</v>
      </c>
      <c r="D2194" t="s">
        <v>628</v>
      </c>
      <c r="E2194">
        <v>4441336525</v>
      </c>
      <c r="F2194">
        <v>3837268003</v>
      </c>
      <c r="G2194">
        <v>3403652473</v>
      </c>
      <c r="H2194">
        <v>3554859057</v>
      </c>
      <c r="I2194">
        <v>3604779397</v>
      </c>
      <c r="J2194">
        <v>2553361960</v>
      </c>
      <c r="K2194">
        <v>1853804020</v>
      </c>
      <c r="L2194">
        <v>852978497</v>
      </c>
      <c r="P2194">
        <v>479</v>
      </c>
      <c r="Q2194" t="s">
        <v>4717</v>
      </c>
    </row>
    <row r="2195" spans="1:17" x14ac:dyDescent="0.3">
      <c r="A2195" t="s">
        <v>47</v>
      </c>
      <c r="B2195" t="str">
        <f>"000919"</f>
        <v>000919</v>
      </c>
      <c r="C2195" t="s">
        <v>4718</v>
      </c>
      <c r="D2195" t="s">
        <v>695</v>
      </c>
      <c r="E2195">
        <v>4440343154</v>
      </c>
      <c r="F2195">
        <v>4301707213</v>
      </c>
      <c r="G2195">
        <v>4071374972</v>
      </c>
      <c r="H2195">
        <v>4191943625</v>
      </c>
      <c r="I2195">
        <v>3937110424</v>
      </c>
      <c r="J2195">
        <v>3901804307</v>
      </c>
      <c r="K2195">
        <v>3851603170</v>
      </c>
      <c r="L2195">
        <v>3597515419</v>
      </c>
      <c r="M2195">
        <v>3322080729</v>
      </c>
      <c r="N2195">
        <v>3244086875</v>
      </c>
      <c r="O2195">
        <v>2943118073</v>
      </c>
      <c r="P2195">
        <v>179</v>
      </c>
      <c r="Q2195" t="s">
        <v>4719</v>
      </c>
    </row>
    <row r="2196" spans="1:17" x14ac:dyDescent="0.3">
      <c r="A2196" t="s">
        <v>47</v>
      </c>
      <c r="B2196" t="str">
        <f>"300571"</f>
        <v>300571</v>
      </c>
      <c r="C2196" t="s">
        <v>4720</v>
      </c>
      <c r="D2196" t="s">
        <v>3761</v>
      </c>
      <c r="E2196">
        <v>4439332071</v>
      </c>
      <c r="F2196">
        <v>2870600686</v>
      </c>
      <c r="G2196">
        <v>2179168409</v>
      </c>
      <c r="H2196">
        <v>1073597103</v>
      </c>
      <c r="I2196">
        <v>686950651</v>
      </c>
      <c r="J2196">
        <v>357117208</v>
      </c>
      <c r="P2196">
        <v>2111</v>
      </c>
      <c r="Q2196" t="s">
        <v>4721</v>
      </c>
    </row>
    <row r="2197" spans="1:17" x14ac:dyDescent="0.3">
      <c r="A2197" t="s">
        <v>47</v>
      </c>
      <c r="B2197" t="str">
        <f>"300117"</f>
        <v>300117</v>
      </c>
      <c r="C2197" t="s">
        <v>4722</v>
      </c>
      <c r="D2197" t="s">
        <v>152</v>
      </c>
      <c r="E2197">
        <v>4439303465</v>
      </c>
      <c r="F2197">
        <v>5000813945</v>
      </c>
      <c r="G2197">
        <v>6067389595</v>
      </c>
      <c r="H2197">
        <v>6739939174</v>
      </c>
      <c r="I2197">
        <v>5820384266</v>
      </c>
      <c r="J2197">
        <v>4552607139</v>
      </c>
      <c r="K2197">
        <v>4005495014</v>
      </c>
      <c r="L2197">
        <v>3775959171</v>
      </c>
      <c r="M2197">
        <v>2874215040</v>
      </c>
      <c r="N2197">
        <v>2218262764</v>
      </c>
      <c r="O2197">
        <v>1796661192</v>
      </c>
      <c r="P2197">
        <v>179</v>
      </c>
      <c r="Q2197" t="s">
        <v>4723</v>
      </c>
    </row>
    <row r="2198" spans="1:17" x14ac:dyDescent="0.3">
      <c r="A2198" t="s">
        <v>47</v>
      </c>
      <c r="B2198" t="str">
        <f>"002666"</f>
        <v>002666</v>
      </c>
      <c r="C2198" t="s">
        <v>4724</v>
      </c>
      <c r="D2198" t="s">
        <v>710</v>
      </c>
      <c r="E2198">
        <v>4436816591</v>
      </c>
      <c r="F2198">
        <v>4182960282</v>
      </c>
      <c r="G2198">
        <v>3927671479</v>
      </c>
      <c r="H2198">
        <v>3847382757</v>
      </c>
      <c r="I2198">
        <v>3533879089</v>
      </c>
      <c r="J2198">
        <v>3627704837</v>
      </c>
      <c r="K2198">
        <v>3306770030</v>
      </c>
      <c r="L2198">
        <v>2908677761</v>
      </c>
      <c r="M2198">
        <v>1807352280</v>
      </c>
      <c r="N2198">
        <v>1535930411</v>
      </c>
      <c r="O2198">
        <v>1580088712</v>
      </c>
      <c r="P2198">
        <v>110</v>
      </c>
      <c r="Q2198" t="s">
        <v>4725</v>
      </c>
    </row>
    <row r="2199" spans="1:17" x14ac:dyDescent="0.3">
      <c r="A2199" t="s">
        <v>47</v>
      </c>
      <c r="B2199" t="str">
        <f>"301051"</f>
        <v>301051</v>
      </c>
      <c r="C2199" t="s">
        <v>4726</v>
      </c>
      <c r="D2199" t="s">
        <v>283</v>
      </c>
      <c r="E2199">
        <v>4433627999</v>
      </c>
      <c r="P2199">
        <v>18</v>
      </c>
      <c r="Q2199" t="s">
        <v>4727</v>
      </c>
    </row>
    <row r="2200" spans="1:17" x14ac:dyDescent="0.3">
      <c r="A2200" t="s">
        <v>47</v>
      </c>
      <c r="B2200" t="str">
        <f>"300188"</f>
        <v>300188</v>
      </c>
      <c r="C2200" t="s">
        <v>4728</v>
      </c>
      <c r="D2200" t="s">
        <v>1859</v>
      </c>
      <c r="E2200">
        <v>4432203747</v>
      </c>
      <c r="F2200">
        <v>4204283942</v>
      </c>
      <c r="G2200">
        <v>3757365910</v>
      </c>
      <c r="H2200">
        <v>3285900763</v>
      </c>
      <c r="I2200">
        <v>2905346564</v>
      </c>
      <c r="J2200">
        <v>2499362990</v>
      </c>
      <c r="K2200">
        <v>2124890852</v>
      </c>
      <c r="L2200">
        <v>1197650728</v>
      </c>
      <c r="M2200">
        <v>993580375</v>
      </c>
      <c r="N2200">
        <v>881358644</v>
      </c>
      <c r="O2200">
        <v>784768683</v>
      </c>
      <c r="P2200">
        <v>557</v>
      </c>
      <c r="Q2200" t="s">
        <v>4729</v>
      </c>
    </row>
    <row r="2201" spans="1:17" x14ac:dyDescent="0.3">
      <c r="A2201" t="s">
        <v>47</v>
      </c>
      <c r="B2201" t="str">
        <f>"002536"</f>
        <v>002536</v>
      </c>
      <c r="C2201" t="s">
        <v>4730</v>
      </c>
      <c r="D2201" t="s">
        <v>274</v>
      </c>
      <c r="E2201">
        <v>4432045780</v>
      </c>
      <c r="F2201">
        <v>4071377128</v>
      </c>
      <c r="G2201">
        <v>3838702436</v>
      </c>
      <c r="H2201">
        <v>3854020894</v>
      </c>
      <c r="I2201">
        <v>3292607483</v>
      </c>
      <c r="J2201">
        <v>2923507878</v>
      </c>
      <c r="K2201">
        <v>2884401671</v>
      </c>
      <c r="L2201">
        <v>2726891730</v>
      </c>
      <c r="M2201">
        <v>2358279934</v>
      </c>
      <c r="N2201">
        <v>2047829219</v>
      </c>
      <c r="O2201">
        <v>1679237766</v>
      </c>
      <c r="P2201">
        <v>254</v>
      </c>
      <c r="Q2201" t="s">
        <v>4731</v>
      </c>
    </row>
    <row r="2202" spans="1:17" x14ac:dyDescent="0.3">
      <c r="A2202" t="s">
        <v>17</v>
      </c>
      <c r="B2202" t="str">
        <f>"603126"</f>
        <v>603126</v>
      </c>
      <c r="C2202" t="s">
        <v>4732</v>
      </c>
      <c r="D2202" t="s">
        <v>1310</v>
      </c>
      <c r="E2202">
        <v>4431070711</v>
      </c>
      <c r="F2202">
        <v>4145157140</v>
      </c>
      <c r="G2202">
        <v>3794281361</v>
      </c>
      <c r="H2202">
        <v>3348189570</v>
      </c>
      <c r="I2202">
        <v>3275942252</v>
      </c>
      <c r="J2202">
        <v>3303789729</v>
      </c>
      <c r="K2202">
        <v>3022454493</v>
      </c>
      <c r="L2202">
        <v>2994782222</v>
      </c>
      <c r="M2202">
        <v>2036172533</v>
      </c>
      <c r="P2202">
        <v>196</v>
      </c>
      <c r="Q2202" t="s">
        <v>4733</v>
      </c>
    </row>
    <row r="2203" spans="1:17" x14ac:dyDescent="0.3">
      <c r="A2203" t="s">
        <v>47</v>
      </c>
      <c r="B2203" t="str">
        <f>"300775"</f>
        <v>300775</v>
      </c>
      <c r="C2203" t="s">
        <v>4734</v>
      </c>
      <c r="D2203" t="s">
        <v>570</v>
      </c>
      <c r="E2203">
        <v>4427624676</v>
      </c>
      <c r="F2203">
        <v>2600031273</v>
      </c>
      <c r="G2203">
        <v>2295609195</v>
      </c>
      <c r="H2203">
        <v>1757304418</v>
      </c>
      <c r="P2203">
        <v>186</v>
      </c>
      <c r="Q2203" t="s">
        <v>4735</v>
      </c>
    </row>
    <row r="2204" spans="1:17" x14ac:dyDescent="0.3">
      <c r="A2204" t="s">
        <v>17</v>
      </c>
      <c r="B2204" t="str">
        <f>"600318"</f>
        <v>600318</v>
      </c>
      <c r="C2204" t="s">
        <v>4736</v>
      </c>
      <c r="D2204" t="s">
        <v>109</v>
      </c>
      <c r="E2204">
        <v>4421224964</v>
      </c>
      <c r="F2204">
        <v>5183958922</v>
      </c>
      <c r="G2204">
        <v>5862870680</v>
      </c>
      <c r="H2204">
        <v>5547420871</v>
      </c>
      <c r="I2204">
        <v>6239322808</v>
      </c>
      <c r="J2204">
        <v>6488398741</v>
      </c>
      <c r="K2204">
        <v>6569194185</v>
      </c>
      <c r="L2204">
        <v>2072102764</v>
      </c>
      <c r="M2204">
        <v>2014050202</v>
      </c>
      <c r="N2204">
        <v>2070933878</v>
      </c>
      <c r="O2204">
        <v>2014990826</v>
      </c>
      <c r="P2204">
        <v>104</v>
      </c>
      <c r="Q2204" t="s">
        <v>4737</v>
      </c>
    </row>
    <row r="2205" spans="1:17" x14ac:dyDescent="0.3">
      <c r="A2205" t="s">
        <v>47</v>
      </c>
      <c r="B2205" t="str">
        <f>"002406"</f>
        <v>002406</v>
      </c>
      <c r="C2205" t="s">
        <v>4738</v>
      </c>
      <c r="D2205" t="s">
        <v>274</v>
      </c>
      <c r="E2205">
        <v>4419890075</v>
      </c>
      <c r="F2205">
        <v>4455761238</v>
      </c>
      <c r="G2205">
        <v>4070271330</v>
      </c>
      <c r="H2205">
        <v>2968891715</v>
      </c>
      <c r="I2205">
        <v>2772160390</v>
      </c>
      <c r="J2205">
        <v>2584232442</v>
      </c>
      <c r="K2205">
        <v>2511139342</v>
      </c>
      <c r="L2205">
        <v>2410803837</v>
      </c>
      <c r="M2205">
        <v>2379236709</v>
      </c>
      <c r="N2205">
        <v>2266360440</v>
      </c>
      <c r="O2205">
        <v>2150415160</v>
      </c>
      <c r="P2205">
        <v>272</v>
      </c>
      <c r="Q2205" t="s">
        <v>4739</v>
      </c>
    </row>
    <row r="2206" spans="1:17" x14ac:dyDescent="0.3">
      <c r="A2206" t="s">
        <v>47</v>
      </c>
      <c r="B2206" t="str">
        <f>"000993"</f>
        <v>000993</v>
      </c>
      <c r="C2206" t="s">
        <v>4740</v>
      </c>
      <c r="D2206" t="s">
        <v>238</v>
      </c>
      <c r="E2206">
        <v>4416281359</v>
      </c>
      <c r="F2206">
        <v>4233199421</v>
      </c>
      <c r="G2206">
        <v>3782682123</v>
      </c>
      <c r="H2206">
        <v>3940106018</v>
      </c>
      <c r="I2206">
        <v>3999156608</v>
      </c>
      <c r="J2206">
        <v>3773084056</v>
      </c>
      <c r="K2206">
        <v>3771412679</v>
      </c>
      <c r="L2206">
        <v>3577936667</v>
      </c>
      <c r="M2206">
        <v>4250160855</v>
      </c>
      <c r="N2206">
        <v>4045800174</v>
      </c>
      <c r="O2206">
        <v>2860407942</v>
      </c>
      <c r="P2206">
        <v>163</v>
      </c>
      <c r="Q2206" t="s">
        <v>4741</v>
      </c>
    </row>
    <row r="2207" spans="1:17" x14ac:dyDescent="0.3">
      <c r="A2207" t="s">
        <v>17</v>
      </c>
      <c r="B2207" t="str">
        <f>"600184"</f>
        <v>600184</v>
      </c>
      <c r="C2207" t="s">
        <v>4742</v>
      </c>
      <c r="D2207" t="s">
        <v>1344</v>
      </c>
      <c r="E2207">
        <v>4412384480</v>
      </c>
      <c r="F2207">
        <v>4980434533</v>
      </c>
      <c r="G2207">
        <v>3776720737</v>
      </c>
      <c r="H2207">
        <v>3424554036</v>
      </c>
      <c r="I2207">
        <v>3878524624</v>
      </c>
      <c r="J2207">
        <v>3796237296</v>
      </c>
      <c r="K2207">
        <v>3903362603</v>
      </c>
      <c r="L2207">
        <v>2877404290</v>
      </c>
      <c r="M2207">
        <v>2314170846</v>
      </c>
      <c r="N2207">
        <v>2958721544</v>
      </c>
      <c r="O2207">
        <v>3027132245</v>
      </c>
      <c r="P2207">
        <v>143</v>
      </c>
      <c r="Q2207" t="s">
        <v>4743</v>
      </c>
    </row>
    <row r="2208" spans="1:17" x14ac:dyDescent="0.3">
      <c r="A2208" t="s">
        <v>17</v>
      </c>
      <c r="B2208" t="str">
        <f>"600303"</f>
        <v>600303</v>
      </c>
      <c r="C2208" t="s">
        <v>4744</v>
      </c>
      <c r="D2208" t="s">
        <v>1329</v>
      </c>
      <c r="E2208">
        <v>4406859083</v>
      </c>
      <c r="F2208">
        <v>5122065440</v>
      </c>
      <c r="G2208">
        <v>5850693484</v>
      </c>
      <c r="H2208">
        <v>6269685338</v>
      </c>
      <c r="I2208">
        <v>7576135285</v>
      </c>
      <c r="J2208">
        <v>9321946881</v>
      </c>
      <c r="K2208">
        <v>10016701133</v>
      </c>
      <c r="L2208">
        <v>8559037775</v>
      </c>
      <c r="M2208">
        <v>7998347052</v>
      </c>
      <c r="N2208">
        <v>7779157470</v>
      </c>
      <c r="O2208">
        <v>7846897302</v>
      </c>
      <c r="P2208">
        <v>131</v>
      </c>
      <c r="Q2208" t="s">
        <v>4745</v>
      </c>
    </row>
    <row r="2209" spans="1:17" x14ac:dyDescent="0.3">
      <c r="A2209" t="s">
        <v>17</v>
      </c>
      <c r="B2209" t="str">
        <f>"688399"</f>
        <v>688399</v>
      </c>
      <c r="C2209" t="s">
        <v>4746</v>
      </c>
      <c r="D2209" t="s">
        <v>2322</v>
      </c>
      <c r="E2209">
        <v>4405110023</v>
      </c>
      <c r="F2209">
        <v>2650255833</v>
      </c>
      <c r="G2209">
        <v>1319233645</v>
      </c>
      <c r="P2209">
        <v>373</v>
      </c>
      <c r="Q2209" t="s">
        <v>4747</v>
      </c>
    </row>
    <row r="2210" spans="1:17" x14ac:dyDescent="0.3">
      <c r="A2210" t="s">
        <v>47</v>
      </c>
      <c r="B2210" t="str">
        <f>"002077"</f>
        <v>002077</v>
      </c>
      <c r="C2210" t="s">
        <v>4748</v>
      </c>
      <c r="D2210" t="s">
        <v>1109</v>
      </c>
      <c r="E2210">
        <v>4402957513</v>
      </c>
      <c r="F2210">
        <v>4528532619</v>
      </c>
      <c r="G2210">
        <v>5415231933</v>
      </c>
      <c r="H2210">
        <v>6980333923</v>
      </c>
      <c r="I2210">
        <v>7655282962</v>
      </c>
      <c r="J2210">
        <v>7087177730</v>
      </c>
      <c r="K2210">
        <v>5119939354</v>
      </c>
      <c r="L2210">
        <v>5580992839</v>
      </c>
      <c r="M2210">
        <v>6112960108</v>
      </c>
      <c r="N2210">
        <v>5588520581</v>
      </c>
      <c r="O2210">
        <v>4545683225</v>
      </c>
      <c r="P2210">
        <v>125</v>
      </c>
      <c r="Q2210" t="s">
        <v>4749</v>
      </c>
    </row>
    <row r="2211" spans="1:17" x14ac:dyDescent="0.3">
      <c r="A2211" t="s">
        <v>17</v>
      </c>
      <c r="B2211" t="str">
        <f>"600568"</f>
        <v>600568</v>
      </c>
      <c r="C2211" t="s">
        <v>4750</v>
      </c>
      <c r="D2211" t="s">
        <v>1585</v>
      </c>
      <c r="E2211">
        <v>4402604124</v>
      </c>
      <c r="F2211">
        <v>4760205084</v>
      </c>
      <c r="G2211">
        <v>4740579253</v>
      </c>
      <c r="H2211">
        <v>5666335479</v>
      </c>
      <c r="I2211">
        <v>7365262897</v>
      </c>
      <c r="J2211">
        <v>7014176302</v>
      </c>
      <c r="K2211">
        <v>6606979179</v>
      </c>
      <c r="L2211">
        <v>4516457926</v>
      </c>
      <c r="M2211">
        <v>2849967621</v>
      </c>
      <c r="N2211">
        <v>2356675568</v>
      </c>
      <c r="O2211">
        <v>2213929340</v>
      </c>
      <c r="P2211">
        <v>98</v>
      </c>
      <c r="Q2211" t="s">
        <v>4751</v>
      </c>
    </row>
    <row r="2212" spans="1:17" x14ac:dyDescent="0.3">
      <c r="A2212" t="s">
        <v>47</v>
      </c>
      <c r="B2212" t="str">
        <f>"003039"</f>
        <v>003039</v>
      </c>
      <c r="C2212" t="s">
        <v>4752</v>
      </c>
      <c r="D2212" t="s">
        <v>520</v>
      </c>
      <c r="E2212">
        <v>4395089428</v>
      </c>
      <c r="F2212">
        <v>4445066606</v>
      </c>
      <c r="P2212">
        <v>64</v>
      </c>
      <c r="Q2212" t="s">
        <v>4753</v>
      </c>
    </row>
    <row r="2213" spans="1:17" x14ac:dyDescent="0.3">
      <c r="A2213" t="s">
        <v>47</v>
      </c>
      <c r="B2213" t="str">
        <f>"002681"</f>
        <v>002681</v>
      </c>
      <c r="C2213" t="s">
        <v>4754</v>
      </c>
      <c r="D2213" t="s">
        <v>283</v>
      </c>
      <c r="E2213">
        <v>4386500213</v>
      </c>
      <c r="F2213">
        <v>4955471404</v>
      </c>
      <c r="G2213">
        <v>4934816430</v>
      </c>
      <c r="H2213">
        <v>7836027441</v>
      </c>
      <c r="I2213">
        <v>8580334992</v>
      </c>
      <c r="J2213">
        <v>4079289827</v>
      </c>
      <c r="K2213">
        <v>3025434004</v>
      </c>
      <c r="L2213">
        <v>2830922103</v>
      </c>
      <c r="M2213">
        <v>1165748258</v>
      </c>
      <c r="N2213">
        <v>1093544880</v>
      </c>
      <c r="O2213">
        <v>637603272</v>
      </c>
      <c r="P2213">
        <v>216</v>
      </c>
      <c r="Q2213" t="s">
        <v>4755</v>
      </c>
    </row>
    <row r="2214" spans="1:17" x14ac:dyDescent="0.3">
      <c r="A2214" t="s">
        <v>17</v>
      </c>
      <c r="B2214" t="str">
        <f>"603667"</f>
        <v>603667</v>
      </c>
      <c r="C2214" t="s">
        <v>4756</v>
      </c>
      <c r="D2214" t="s">
        <v>401</v>
      </c>
      <c r="E2214">
        <v>4385348890</v>
      </c>
      <c r="F2214">
        <v>3713180202</v>
      </c>
      <c r="G2214">
        <v>3473989794</v>
      </c>
      <c r="H2214">
        <v>3036305264</v>
      </c>
      <c r="I2214">
        <v>1751973053</v>
      </c>
      <c r="J2214">
        <v>1650595513</v>
      </c>
      <c r="P2214">
        <v>115</v>
      </c>
      <c r="Q2214" t="s">
        <v>4757</v>
      </c>
    </row>
    <row r="2215" spans="1:17" x14ac:dyDescent="0.3">
      <c r="A2215" t="s">
        <v>17</v>
      </c>
      <c r="B2215" t="str">
        <f>"603002"</f>
        <v>603002</v>
      </c>
      <c r="C2215" t="s">
        <v>4758</v>
      </c>
      <c r="D2215" t="s">
        <v>3050</v>
      </c>
      <c r="E2215">
        <v>4384274584</v>
      </c>
      <c r="F2215">
        <v>3576044252</v>
      </c>
      <c r="G2215">
        <v>1640996136</v>
      </c>
      <c r="H2215">
        <v>1802057860</v>
      </c>
      <c r="I2215">
        <v>1709398867</v>
      </c>
      <c r="J2215">
        <v>1576326321</v>
      </c>
      <c r="K2215">
        <v>1357610709</v>
      </c>
      <c r="L2215">
        <v>1373908397</v>
      </c>
      <c r="M2215">
        <v>1353393296</v>
      </c>
      <c r="N2215">
        <v>1347225026</v>
      </c>
      <c r="P2215">
        <v>117</v>
      </c>
      <c r="Q2215" t="s">
        <v>4759</v>
      </c>
    </row>
    <row r="2216" spans="1:17" x14ac:dyDescent="0.3">
      <c r="A2216" t="s">
        <v>17</v>
      </c>
      <c r="B2216" t="str">
        <f>"603317"</f>
        <v>603317</v>
      </c>
      <c r="C2216" t="s">
        <v>4760</v>
      </c>
      <c r="D2216" t="s">
        <v>1241</v>
      </c>
      <c r="E2216">
        <v>4382959587</v>
      </c>
      <c r="F2216">
        <v>4361605366</v>
      </c>
      <c r="G2216">
        <v>2317140714</v>
      </c>
      <c r="H2216">
        <v>1446517088</v>
      </c>
      <c r="P2216">
        <v>1436</v>
      </c>
      <c r="Q2216" t="s">
        <v>4761</v>
      </c>
    </row>
    <row r="2217" spans="1:17" x14ac:dyDescent="0.3">
      <c r="A2217" t="s">
        <v>17</v>
      </c>
      <c r="B2217" t="str">
        <f>"600724"</f>
        <v>600724</v>
      </c>
      <c r="C2217" t="s">
        <v>4762</v>
      </c>
      <c r="D2217" t="s">
        <v>253</v>
      </c>
      <c r="E2217">
        <v>4382521352</v>
      </c>
      <c r="F2217">
        <v>4169077380</v>
      </c>
      <c r="G2217">
        <v>4192053108</v>
      </c>
      <c r="H2217">
        <v>6700802750</v>
      </c>
      <c r="I2217">
        <v>13917659287</v>
      </c>
      <c r="J2217">
        <v>15334120821</v>
      </c>
      <c r="K2217">
        <v>16926784581</v>
      </c>
      <c r="L2217">
        <v>19041732224</v>
      </c>
      <c r="M2217">
        <v>19749953079</v>
      </c>
      <c r="N2217">
        <v>21768613463</v>
      </c>
      <c r="O2217">
        <v>20789325385</v>
      </c>
      <c r="P2217">
        <v>169</v>
      </c>
      <c r="Q2217" t="s">
        <v>4763</v>
      </c>
    </row>
    <row r="2218" spans="1:17" x14ac:dyDescent="0.3">
      <c r="A2218" t="s">
        <v>47</v>
      </c>
      <c r="B2218" t="str">
        <f>"002270"</f>
        <v>002270</v>
      </c>
      <c r="C2218" t="s">
        <v>4764</v>
      </c>
      <c r="D2218" t="s">
        <v>459</v>
      </c>
      <c r="E2218">
        <v>4378206165</v>
      </c>
      <c r="F2218">
        <v>4249363603</v>
      </c>
      <c r="G2218">
        <v>4205807628</v>
      </c>
      <c r="H2218">
        <v>4063169092</v>
      </c>
      <c r="I2218">
        <v>3033634416</v>
      </c>
      <c r="J2218">
        <v>2370475257</v>
      </c>
      <c r="K2218">
        <v>2008764996</v>
      </c>
      <c r="L2218">
        <v>740034138</v>
      </c>
      <c r="M2218">
        <v>791869114</v>
      </c>
      <c r="N2218">
        <v>823706848</v>
      </c>
      <c r="O2218">
        <v>769015279</v>
      </c>
      <c r="P2218">
        <v>160</v>
      </c>
      <c r="Q2218" t="s">
        <v>4765</v>
      </c>
    </row>
    <row r="2219" spans="1:17" x14ac:dyDescent="0.3">
      <c r="A2219" t="s">
        <v>17</v>
      </c>
      <c r="B2219" t="str">
        <f>"603208"</f>
        <v>603208</v>
      </c>
      <c r="C2219" t="s">
        <v>4766</v>
      </c>
      <c r="D2219" t="s">
        <v>1505</v>
      </c>
      <c r="E2219">
        <v>4378086686</v>
      </c>
      <c r="F2219">
        <v>3707318608</v>
      </c>
      <c r="G2219">
        <v>2695843267</v>
      </c>
      <c r="H2219">
        <v>2071712061</v>
      </c>
      <c r="I2219">
        <v>1576137326</v>
      </c>
      <c r="J2219">
        <v>1295792936</v>
      </c>
      <c r="P2219">
        <v>493</v>
      </c>
      <c r="Q2219" t="s">
        <v>4767</v>
      </c>
    </row>
    <row r="2220" spans="1:17" x14ac:dyDescent="0.3">
      <c r="A2220" t="s">
        <v>47</v>
      </c>
      <c r="B2220" t="str">
        <f>"003013"</f>
        <v>003013</v>
      </c>
      <c r="C2220" t="s">
        <v>4768</v>
      </c>
      <c r="D2220" t="s">
        <v>2178</v>
      </c>
      <c r="E2220">
        <v>4376994589</v>
      </c>
      <c r="F2220">
        <v>4073152008</v>
      </c>
      <c r="P2220">
        <v>101</v>
      </c>
      <c r="Q2220" t="s">
        <v>4769</v>
      </c>
    </row>
    <row r="2221" spans="1:17" x14ac:dyDescent="0.3">
      <c r="A2221" t="s">
        <v>47</v>
      </c>
      <c r="B2221" t="str">
        <f>"300391"</f>
        <v>300391</v>
      </c>
      <c r="C2221" t="s">
        <v>4770</v>
      </c>
      <c r="D2221" t="s">
        <v>274</v>
      </c>
      <c r="E2221">
        <v>4375196841</v>
      </c>
      <c r="F2221">
        <v>4769078943</v>
      </c>
      <c r="G2221">
        <v>1488080485</v>
      </c>
      <c r="H2221">
        <v>2214588838</v>
      </c>
      <c r="I2221">
        <v>2008687873</v>
      </c>
      <c r="J2221">
        <v>760587771</v>
      </c>
      <c r="K2221">
        <v>697882823</v>
      </c>
      <c r="L2221">
        <v>732217050</v>
      </c>
      <c r="M2221">
        <v>625905707</v>
      </c>
      <c r="P2221">
        <v>80</v>
      </c>
      <c r="Q2221" t="s">
        <v>4771</v>
      </c>
    </row>
    <row r="2222" spans="1:17" x14ac:dyDescent="0.3">
      <c r="A2222" t="s">
        <v>17</v>
      </c>
      <c r="B2222" t="str">
        <f>"603636"</f>
        <v>603636</v>
      </c>
      <c r="C2222" t="s">
        <v>4772</v>
      </c>
      <c r="D2222" t="s">
        <v>700</v>
      </c>
      <c r="E2222">
        <v>4371301698</v>
      </c>
      <c r="F2222">
        <v>4368233607</v>
      </c>
      <c r="G2222">
        <v>3695494850</v>
      </c>
      <c r="H2222">
        <v>2820581909</v>
      </c>
      <c r="I2222">
        <v>2404876147</v>
      </c>
      <c r="J2222">
        <v>1300366048</v>
      </c>
      <c r="K2222">
        <v>1228051991</v>
      </c>
      <c r="L2222">
        <v>1078217437</v>
      </c>
      <c r="P2222">
        <v>202</v>
      </c>
      <c r="Q2222" t="s">
        <v>4773</v>
      </c>
    </row>
    <row r="2223" spans="1:17" x14ac:dyDescent="0.3">
      <c r="A2223" t="s">
        <v>47</v>
      </c>
      <c r="B2223" t="str">
        <f>"300075"</f>
        <v>300075</v>
      </c>
      <c r="C2223" t="s">
        <v>4774</v>
      </c>
      <c r="D2223" t="s">
        <v>1859</v>
      </c>
      <c r="E2223">
        <v>4365086330</v>
      </c>
      <c r="F2223">
        <v>3989877129</v>
      </c>
      <c r="G2223">
        <v>3094707781</v>
      </c>
      <c r="H2223">
        <v>3032463789</v>
      </c>
      <c r="I2223">
        <v>3009706124</v>
      </c>
      <c r="J2223">
        <v>2311297677</v>
      </c>
      <c r="K2223">
        <v>1656013397</v>
      </c>
      <c r="L2223">
        <v>1421736238</v>
      </c>
      <c r="M2223">
        <v>1260536079</v>
      </c>
      <c r="N2223">
        <v>1079514352</v>
      </c>
      <c r="O2223">
        <v>914207025</v>
      </c>
      <c r="P2223">
        <v>258</v>
      </c>
      <c r="Q2223" t="s">
        <v>4775</v>
      </c>
    </row>
    <row r="2224" spans="1:17" x14ac:dyDescent="0.3">
      <c r="A2224" t="s">
        <v>17</v>
      </c>
      <c r="B2224" t="str">
        <f>"600505"</f>
        <v>600505</v>
      </c>
      <c r="C2224" t="s">
        <v>4776</v>
      </c>
      <c r="D2224" t="s">
        <v>652</v>
      </c>
      <c r="E2224">
        <v>4364558491</v>
      </c>
      <c r="F2224">
        <v>3888314814</v>
      </c>
      <c r="G2224">
        <v>3573618181</v>
      </c>
      <c r="H2224">
        <v>3070465544</v>
      </c>
      <c r="I2224">
        <v>2487211544</v>
      </c>
      <c r="J2224">
        <v>2391014697</v>
      </c>
      <c r="K2224">
        <v>2318059856</v>
      </c>
      <c r="L2224">
        <v>1822251504</v>
      </c>
      <c r="M2224">
        <v>1906774518</v>
      </c>
      <c r="N2224">
        <v>1907355221</v>
      </c>
      <c r="O2224">
        <v>1560351599</v>
      </c>
      <c r="P2224">
        <v>104</v>
      </c>
      <c r="Q2224" t="s">
        <v>4777</v>
      </c>
    </row>
    <row r="2225" spans="1:17" x14ac:dyDescent="0.3">
      <c r="A2225" t="s">
        <v>47</v>
      </c>
      <c r="B2225" t="str">
        <f>"002523"</f>
        <v>002523</v>
      </c>
      <c r="C2225" t="s">
        <v>4778</v>
      </c>
      <c r="D2225" t="s">
        <v>607</v>
      </c>
      <c r="E2225">
        <v>4355090585</v>
      </c>
      <c r="F2225">
        <v>3934947606</v>
      </c>
      <c r="G2225">
        <v>3598506641</v>
      </c>
      <c r="H2225">
        <v>3568191754</v>
      </c>
      <c r="I2225">
        <v>3360545750</v>
      </c>
      <c r="J2225">
        <v>3009398381</v>
      </c>
      <c r="K2225">
        <v>2722855038</v>
      </c>
      <c r="L2225">
        <v>1488685092</v>
      </c>
      <c r="M2225">
        <v>1454520487</v>
      </c>
      <c r="N2225">
        <v>1426133486</v>
      </c>
      <c r="O2225">
        <v>1459841673</v>
      </c>
      <c r="P2225">
        <v>53</v>
      </c>
      <c r="Q2225" t="s">
        <v>4779</v>
      </c>
    </row>
    <row r="2226" spans="1:17" x14ac:dyDescent="0.3">
      <c r="A2226" t="s">
        <v>47</v>
      </c>
      <c r="B2226" t="str">
        <f>"002066"</f>
        <v>002066</v>
      </c>
      <c r="C2226" t="s">
        <v>4780</v>
      </c>
      <c r="D2226" t="s">
        <v>3510</v>
      </c>
      <c r="E2226">
        <v>4353932833</v>
      </c>
      <c r="F2226">
        <v>4079340310</v>
      </c>
      <c r="G2226">
        <v>4091410948</v>
      </c>
      <c r="H2226">
        <v>4196096986</v>
      </c>
      <c r="I2226">
        <v>3886934569</v>
      </c>
      <c r="J2226">
        <v>3393821191</v>
      </c>
      <c r="K2226">
        <v>3481772846</v>
      </c>
      <c r="L2226">
        <v>3422038116</v>
      </c>
      <c r="M2226">
        <v>3266938473</v>
      </c>
      <c r="N2226">
        <v>3034918317</v>
      </c>
      <c r="O2226">
        <v>2467071588</v>
      </c>
      <c r="P2226">
        <v>74</v>
      </c>
      <c r="Q2226" t="s">
        <v>4781</v>
      </c>
    </row>
    <row r="2227" spans="1:17" x14ac:dyDescent="0.3">
      <c r="A2227" t="s">
        <v>17</v>
      </c>
      <c r="B2227" t="str">
        <f>"603357"</f>
        <v>603357</v>
      </c>
      <c r="C2227" t="s">
        <v>4782</v>
      </c>
      <c r="D2227" t="s">
        <v>2178</v>
      </c>
      <c r="E2227">
        <v>4351044499</v>
      </c>
      <c r="F2227">
        <v>3957008870</v>
      </c>
      <c r="G2227">
        <v>3500352822</v>
      </c>
      <c r="H2227">
        <v>3252581131</v>
      </c>
      <c r="I2227">
        <v>2849219481</v>
      </c>
      <c r="J2227">
        <v>1555692078</v>
      </c>
      <c r="P2227">
        <v>361</v>
      </c>
      <c r="Q2227" t="s">
        <v>4783</v>
      </c>
    </row>
    <row r="2228" spans="1:17" x14ac:dyDescent="0.3">
      <c r="A2228" t="s">
        <v>17</v>
      </c>
      <c r="B2228" t="str">
        <f>"603977"</f>
        <v>603977</v>
      </c>
      <c r="C2228" t="s">
        <v>4784</v>
      </c>
      <c r="D2228" t="s">
        <v>1995</v>
      </c>
      <c r="E2228">
        <v>4343818296</v>
      </c>
      <c r="F2228">
        <v>3624233186</v>
      </c>
      <c r="G2228">
        <v>3546335441</v>
      </c>
      <c r="H2228">
        <v>2586946657</v>
      </c>
      <c r="I2228">
        <v>1397171169</v>
      </c>
      <c r="J2228">
        <v>1170024996</v>
      </c>
      <c r="P2228">
        <v>87</v>
      </c>
      <c r="Q2228" t="s">
        <v>4785</v>
      </c>
    </row>
    <row r="2229" spans="1:17" x14ac:dyDescent="0.3">
      <c r="A2229" t="s">
        <v>47</v>
      </c>
      <c r="B2229" t="str">
        <f>"002427"</f>
        <v>002427</v>
      </c>
      <c r="C2229" t="s">
        <v>4786</v>
      </c>
      <c r="D2229" t="s">
        <v>970</v>
      </c>
      <c r="E2229">
        <v>4337788843</v>
      </c>
      <c r="F2229">
        <v>5458478147</v>
      </c>
      <c r="G2229">
        <v>5859303005</v>
      </c>
      <c r="H2229">
        <v>6132879685</v>
      </c>
      <c r="I2229">
        <v>7750652304</v>
      </c>
      <c r="J2229">
        <v>6866683551</v>
      </c>
      <c r="K2229">
        <v>2956451815</v>
      </c>
      <c r="L2229">
        <v>2442401078</v>
      </c>
      <c r="M2229">
        <v>2701896693</v>
      </c>
      <c r="N2229">
        <v>2031079927</v>
      </c>
      <c r="O2229">
        <v>1482871972</v>
      </c>
      <c r="P2229">
        <v>82</v>
      </c>
      <c r="Q2229" t="s">
        <v>4787</v>
      </c>
    </row>
    <row r="2230" spans="1:17" x14ac:dyDescent="0.3">
      <c r="A2230" t="s">
        <v>47</v>
      </c>
      <c r="B2230" t="str">
        <f>"000809"</f>
        <v>000809</v>
      </c>
      <c r="C2230" t="s">
        <v>4788</v>
      </c>
      <c r="D2230" t="s">
        <v>76</v>
      </c>
      <c r="E2230">
        <v>4335819268</v>
      </c>
      <c r="F2230">
        <v>4523543388</v>
      </c>
      <c r="G2230">
        <v>5624007205</v>
      </c>
      <c r="H2230">
        <v>5828218831</v>
      </c>
      <c r="I2230">
        <v>5922625416</v>
      </c>
      <c r="J2230">
        <v>6402524126</v>
      </c>
      <c r="K2230">
        <v>6715252524</v>
      </c>
      <c r="L2230">
        <v>6134651935</v>
      </c>
      <c r="M2230">
        <v>6125547893</v>
      </c>
      <c r="N2230">
        <v>4341027294</v>
      </c>
      <c r="O2230">
        <v>3508189246</v>
      </c>
      <c r="P2230">
        <v>72</v>
      </c>
      <c r="Q2230" t="s">
        <v>4789</v>
      </c>
    </row>
    <row r="2231" spans="1:17" x14ac:dyDescent="0.3">
      <c r="A2231" t="s">
        <v>17</v>
      </c>
      <c r="B2231" t="str">
        <f>"600609"</f>
        <v>600609</v>
      </c>
      <c r="C2231" t="s">
        <v>4790</v>
      </c>
      <c r="D2231" t="s">
        <v>416</v>
      </c>
      <c r="E2231">
        <v>4329378045</v>
      </c>
      <c r="F2231">
        <v>4815676761</v>
      </c>
      <c r="G2231">
        <v>4012459866</v>
      </c>
      <c r="H2231">
        <v>5619928436</v>
      </c>
      <c r="I2231">
        <v>5859421900</v>
      </c>
      <c r="J2231">
        <v>12365894905</v>
      </c>
      <c r="K2231">
        <v>10085475252</v>
      </c>
      <c r="L2231">
        <v>9161009593</v>
      </c>
      <c r="M2231">
        <v>8118124124</v>
      </c>
      <c r="N2231">
        <v>7568336663</v>
      </c>
      <c r="O2231">
        <v>5660888414</v>
      </c>
      <c r="P2231">
        <v>128</v>
      </c>
      <c r="Q2231" t="s">
        <v>4791</v>
      </c>
    </row>
    <row r="2232" spans="1:17" x14ac:dyDescent="0.3">
      <c r="A2232" t="s">
        <v>47</v>
      </c>
      <c r="B2232" t="str">
        <f>"000915"</f>
        <v>000915</v>
      </c>
      <c r="C2232" t="s">
        <v>4792</v>
      </c>
      <c r="D2232" t="s">
        <v>550</v>
      </c>
      <c r="E2232">
        <v>4317462527</v>
      </c>
      <c r="F2232">
        <v>3768526893</v>
      </c>
      <c r="G2232">
        <v>3176633507</v>
      </c>
      <c r="H2232">
        <v>2814024005</v>
      </c>
      <c r="I2232">
        <v>2844830964</v>
      </c>
      <c r="J2232">
        <v>2494254926</v>
      </c>
      <c r="K2232">
        <v>2170657353</v>
      </c>
      <c r="L2232">
        <v>1922918873</v>
      </c>
      <c r="M2232">
        <v>1634028805</v>
      </c>
      <c r="N2232">
        <v>1395771470</v>
      </c>
      <c r="O2232">
        <v>1230438902</v>
      </c>
      <c r="P2232">
        <v>648</v>
      </c>
      <c r="Q2232" t="s">
        <v>4793</v>
      </c>
    </row>
    <row r="2233" spans="1:17" x14ac:dyDescent="0.3">
      <c r="A2233" t="s">
        <v>17</v>
      </c>
      <c r="B2233" t="str">
        <f>"600152"</f>
        <v>600152</v>
      </c>
      <c r="C2233" t="s">
        <v>4794</v>
      </c>
      <c r="D2233" t="s">
        <v>215</v>
      </c>
      <c r="E2233">
        <v>4317083162</v>
      </c>
      <c r="F2233">
        <v>3351076713</v>
      </c>
      <c r="G2233">
        <v>2521023332</v>
      </c>
      <c r="H2233">
        <v>2555941181</v>
      </c>
      <c r="I2233">
        <v>2503966529</v>
      </c>
      <c r="J2233">
        <v>958548451</v>
      </c>
      <c r="K2233">
        <v>1311400857</v>
      </c>
      <c r="L2233">
        <v>1523634694</v>
      </c>
      <c r="M2233">
        <v>2271152938</v>
      </c>
      <c r="N2233">
        <v>2703543776</v>
      </c>
      <c r="O2233">
        <v>3198744567</v>
      </c>
      <c r="P2233">
        <v>147</v>
      </c>
      <c r="Q2233" t="s">
        <v>4795</v>
      </c>
    </row>
    <row r="2234" spans="1:17" x14ac:dyDescent="0.3">
      <c r="A2234" t="s">
        <v>47</v>
      </c>
      <c r="B2234" t="str">
        <f>"300291"</f>
        <v>300291</v>
      </c>
      <c r="C2234" t="s">
        <v>4796</v>
      </c>
      <c r="D2234" t="s">
        <v>1673</v>
      </c>
      <c r="E2234">
        <v>4310833193</v>
      </c>
      <c r="F2234">
        <v>4156568020</v>
      </c>
      <c r="G2234">
        <v>3284106794</v>
      </c>
      <c r="H2234">
        <v>3387571886</v>
      </c>
      <c r="I2234">
        <v>7097256158</v>
      </c>
      <c r="J2234">
        <v>7103132549</v>
      </c>
      <c r="K2234">
        <v>4905537982</v>
      </c>
      <c r="L2234">
        <v>4101806436</v>
      </c>
      <c r="M2234">
        <v>1136684938</v>
      </c>
      <c r="N2234">
        <v>1121631001</v>
      </c>
      <c r="O2234">
        <v>961220664</v>
      </c>
      <c r="P2234">
        <v>93</v>
      </c>
      <c r="Q2234" t="s">
        <v>4797</v>
      </c>
    </row>
    <row r="2235" spans="1:17" x14ac:dyDescent="0.3">
      <c r="A2235" t="s">
        <v>47</v>
      </c>
      <c r="B2235" t="str">
        <f>"002574"</f>
        <v>002574</v>
      </c>
      <c r="C2235" t="s">
        <v>4798</v>
      </c>
      <c r="D2235" t="s">
        <v>1508</v>
      </c>
      <c r="E2235">
        <v>4307455591</v>
      </c>
      <c r="F2235">
        <v>4046375655</v>
      </c>
      <c r="G2235">
        <v>4342709393</v>
      </c>
      <c r="H2235">
        <v>4150848808</v>
      </c>
      <c r="I2235">
        <v>3905526352</v>
      </c>
      <c r="J2235">
        <v>3842829220</v>
      </c>
      <c r="K2235">
        <v>4886593022</v>
      </c>
      <c r="L2235">
        <v>4998546882</v>
      </c>
      <c r="M2235">
        <v>5570567545</v>
      </c>
      <c r="N2235">
        <v>4209511303</v>
      </c>
      <c r="O2235">
        <v>4753192430</v>
      </c>
      <c r="P2235">
        <v>105</v>
      </c>
      <c r="Q2235" t="s">
        <v>4799</v>
      </c>
    </row>
    <row r="2236" spans="1:17" x14ac:dyDescent="0.3">
      <c r="A2236" t="s">
        <v>47</v>
      </c>
      <c r="B2236" t="str">
        <f>"300406"</f>
        <v>300406</v>
      </c>
      <c r="C2236" t="s">
        <v>4800</v>
      </c>
      <c r="D2236" t="s">
        <v>2322</v>
      </c>
      <c r="E2236">
        <v>4302187620</v>
      </c>
      <c r="F2236">
        <v>4044781776</v>
      </c>
      <c r="G2236">
        <v>2228718783</v>
      </c>
      <c r="H2236">
        <v>1845885781</v>
      </c>
      <c r="I2236">
        <v>1731122286</v>
      </c>
      <c r="J2236">
        <v>1532348985</v>
      </c>
      <c r="K2236">
        <v>1318740001</v>
      </c>
      <c r="L2236">
        <v>1093187937</v>
      </c>
      <c r="P2236">
        <v>14630</v>
      </c>
      <c r="Q2236" t="s">
        <v>4801</v>
      </c>
    </row>
    <row r="2237" spans="1:17" x14ac:dyDescent="0.3">
      <c r="A2237" t="s">
        <v>17</v>
      </c>
      <c r="B2237" t="str">
        <f>"688110"</f>
        <v>688110</v>
      </c>
      <c r="C2237" t="s">
        <v>4802</v>
      </c>
      <c r="D2237" t="s">
        <v>967</v>
      </c>
      <c r="E2237">
        <v>4298634154</v>
      </c>
      <c r="P2237">
        <v>28</v>
      </c>
      <c r="Q2237" t="s">
        <v>4803</v>
      </c>
    </row>
    <row r="2238" spans="1:17" x14ac:dyDescent="0.3">
      <c r="A2238" t="s">
        <v>47</v>
      </c>
      <c r="B2238" t="str">
        <f>"300346"</f>
        <v>300346</v>
      </c>
      <c r="C2238" t="s">
        <v>4804</v>
      </c>
      <c r="D2238" t="s">
        <v>3050</v>
      </c>
      <c r="E2238">
        <v>4297489967</v>
      </c>
      <c r="F2238">
        <v>2836567805</v>
      </c>
      <c r="G2238">
        <v>2267610184</v>
      </c>
      <c r="H2238">
        <v>1478899902</v>
      </c>
      <c r="I2238">
        <v>1357188301</v>
      </c>
      <c r="J2238">
        <v>1277869968</v>
      </c>
      <c r="K2238">
        <v>1277829598</v>
      </c>
      <c r="L2238">
        <v>1266565035</v>
      </c>
      <c r="M2238">
        <v>1209683674</v>
      </c>
      <c r="N2238">
        <v>1152930757</v>
      </c>
      <c r="P2238">
        <v>447</v>
      </c>
      <c r="Q2238" t="s">
        <v>4805</v>
      </c>
    </row>
    <row r="2239" spans="1:17" x14ac:dyDescent="0.3">
      <c r="A2239" t="s">
        <v>17</v>
      </c>
      <c r="B2239" t="str">
        <f>"688106"</f>
        <v>688106</v>
      </c>
      <c r="C2239" t="s">
        <v>4806</v>
      </c>
      <c r="D2239" t="s">
        <v>3050</v>
      </c>
      <c r="E2239">
        <v>4292490157</v>
      </c>
      <c r="F2239">
        <v>3621636109</v>
      </c>
      <c r="G2239">
        <v>1628147033</v>
      </c>
      <c r="P2239">
        <v>136</v>
      </c>
      <c r="Q2239" t="s">
        <v>4807</v>
      </c>
    </row>
    <row r="2240" spans="1:17" x14ac:dyDescent="0.3">
      <c r="A2240" t="s">
        <v>17</v>
      </c>
      <c r="B2240" t="str">
        <f>"603001"</f>
        <v>603001</v>
      </c>
      <c r="C2240" t="s">
        <v>4808</v>
      </c>
      <c r="D2240" t="s">
        <v>4276</v>
      </c>
      <c r="E2240">
        <v>4290544510</v>
      </c>
      <c r="F2240">
        <v>4192458218</v>
      </c>
      <c r="G2240">
        <v>4229021019</v>
      </c>
      <c r="H2240">
        <v>4750041796</v>
      </c>
      <c r="I2240">
        <v>5306476129</v>
      </c>
      <c r="J2240">
        <v>5301768222</v>
      </c>
      <c r="K2240">
        <v>5550736459</v>
      </c>
      <c r="L2240">
        <v>4831878696</v>
      </c>
      <c r="M2240">
        <v>4726722793</v>
      </c>
      <c r="N2240">
        <v>4814677786</v>
      </c>
      <c r="O2240">
        <v>2230021115</v>
      </c>
      <c r="P2240">
        <v>148</v>
      </c>
      <c r="Q2240" t="s">
        <v>4809</v>
      </c>
    </row>
    <row r="2241" spans="1:17" x14ac:dyDescent="0.3">
      <c r="A2241" t="s">
        <v>47</v>
      </c>
      <c r="B2241" t="str">
        <f>"002361"</f>
        <v>002361</v>
      </c>
      <c r="C2241" t="s">
        <v>4810</v>
      </c>
      <c r="D2241" t="s">
        <v>2290</v>
      </c>
      <c r="E2241">
        <v>4289626516</v>
      </c>
      <c r="F2241">
        <v>3673124087</v>
      </c>
      <c r="G2241">
        <v>3484049009</v>
      </c>
      <c r="H2241">
        <v>3516868716</v>
      </c>
      <c r="I2241">
        <v>3325740633</v>
      </c>
      <c r="J2241">
        <v>2670372744</v>
      </c>
      <c r="K2241">
        <v>2363424869</v>
      </c>
      <c r="L2241">
        <v>1777494225</v>
      </c>
      <c r="M2241">
        <v>1316470256</v>
      </c>
      <c r="N2241">
        <v>1040632508</v>
      </c>
      <c r="O2241">
        <v>777078258</v>
      </c>
      <c r="P2241">
        <v>89</v>
      </c>
      <c r="Q2241" t="s">
        <v>4811</v>
      </c>
    </row>
    <row r="2242" spans="1:17" x14ac:dyDescent="0.3">
      <c r="A2242" t="s">
        <v>17</v>
      </c>
      <c r="B2242" t="str">
        <f>"600993"</f>
        <v>600993</v>
      </c>
      <c r="C2242" t="s">
        <v>4812</v>
      </c>
      <c r="D2242" t="s">
        <v>695</v>
      </c>
      <c r="E2242">
        <v>4288232363</v>
      </c>
      <c r="F2242">
        <v>4000994185</v>
      </c>
      <c r="G2242">
        <v>3443782216</v>
      </c>
      <c r="H2242">
        <v>3042097288</v>
      </c>
      <c r="I2242">
        <v>2793076402</v>
      </c>
      <c r="J2242">
        <v>2439042568</v>
      </c>
      <c r="K2242">
        <v>2464221598</v>
      </c>
      <c r="L2242">
        <v>2223358645</v>
      </c>
      <c r="M2242">
        <v>2087142405</v>
      </c>
      <c r="N2242">
        <v>2061267771</v>
      </c>
      <c r="O2242">
        <v>1778950570</v>
      </c>
      <c r="P2242">
        <v>942</v>
      </c>
      <c r="Q2242" t="s">
        <v>4813</v>
      </c>
    </row>
    <row r="2243" spans="1:17" x14ac:dyDescent="0.3">
      <c r="A2243" t="s">
        <v>17</v>
      </c>
      <c r="B2243" t="str">
        <f>"600198"</f>
        <v>600198</v>
      </c>
      <c r="C2243" t="s">
        <v>4814</v>
      </c>
      <c r="D2243" t="s">
        <v>967</v>
      </c>
      <c r="E2243">
        <v>4282412244</v>
      </c>
      <c r="F2243">
        <v>3107874359</v>
      </c>
      <c r="G2243">
        <v>5644801449</v>
      </c>
      <c r="H2243">
        <v>7206447550</v>
      </c>
      <c r="I2243">
        <v>8041005868</v>
      </c>
      <c r="J2243">
        <v>12275692596</v>
      </c>
      <c r="K2243">
        <v>13973699218</v>
      </c>
      <c r="L2243">
        <v>13690439040</v>
      </c>
      <c r="M2243">
        <v>11416592785</v>
      </c>
      <c r="N2243">
        <v>8593775290</v>
      </c>
      <c r="O2243">
        <v>4964509569</v>
      </c>
      <c r="P2243">
        <v>286</v>
      </c>
      <c r="Q2243" t="s">
        <v>4815</v>
      </c>
    </row>
    <row r="2244" spans="1:17" x14ac:dyDescent="0.3">
      <c r="A2244" t="s">
        <v>47</v>
      </c>
      <c r="B2244" t="str">
        <f>"002965"</f>
        <v>002965</v>
      </c>
      <c r="C2244" t="s">
        <v>4816</v>
      </c>
      <c r="D2244" t="s">
        <v>401</v>
      </c>
      <c r="E2244">
        <v>4277703251</v>
      </c>
      <c r="F2244">
        <v>3443288510</v>
      </c>
      <c r="G2244">
        <v>2292074883</v>
      </c>
      <c r="P2244">
        <v>400</v>
      </c>
      <c r="Q2244" t="s">
        <v>4817</v>
      </c>
    </row>
    <row r="2245" spans="1:17" x14ac:dyDescent="0.3">
      <c r="A2245" t="s">
        <v>47</v>
      </c>
      <c r="B2245" t="str">
        <f>"000150"</f>
        <v>000150</v>
      </c>
      <c r="C2245" t="s">
        <v>4818</v>
      </c>
      <c r="D2245" t="s">
        <v>1585</v>
      </c>
      <c r="E2245">
        <v>4271955804</v>
      </c>
      <c r="F2245">
        <v>4849957443</v>
      </c>
      <c r="G2245">
        <v>6142759566</v>
      </c>
      <c r="H2245">
        <v>8576191470</v>
      </c>
      <c r="I2245">
        <v>7609748599</v>
      </c>
      <c r="J2245">
        <v>6974660357</v>
      </c>
      <c r="K2245">
        <v>4565944300</v>
      </c>
      <c r="L2245">
        <v>3820469394</v>
      </c>
      <c r="M2245">
        <v>2715135951</v>
      </c>
      <c r="N2245">
        <v>1960218090</v>
      </c>
      <c r="O2245">
        <v>1487647173</v>
      </c>
      <c r="P2245">
        <v>184</v>
      </c>
      <c r="Q2245" t="s">
        <v>4819</v>
      </c>
    </row>
    <row r="2246" spans="1:17" x14ac:dyDescent="0.3">
      <c r="A2246" t="s">
        <v>17</v>
      </c>
      <c r="B2246" t="str">
        <f>"603101"</f>
        <v>603101</v>
      </c>
      <c r="C2246" t="s">
        <v>4820</v>
      </c>
      <c r="D2246" t="s">
        <v>1073</v>
      </c>
      <c r="E2246">
        <v>4269709441</v>
      </c>
      <c r="F2246">
        <v>4215018391</v>
      </c>
      <c r="G2246">
        <v>3901444630</v>
      </c>
      <c r="H2246">
        <v>4035172103</v>
      </c>
      <c r="I2246">
        <v>2820114904</v>
      </c>
      <c r="J2246">
        <v>2143508159</v>
      </c>
      <c r="K2246">
        <v>1895492248</v>
      </c>
      <c r="P2246">
        <v>69</v>
      </c>
      <c r="Q2246" t="s">
        <v>4821</v>
      </c>
    </row>
    <row r="2247" spans="1:17" x14ac:dyDescent="0.3">
      <c r="A2247" t="s">
        <v>47</v>
      </c>
      <c r="B2247" t="str">
        <f>"002559"</f>
        <v>002559</v>
      </c>
      <c r="C2247" t="s">
        <v>4822</v>
      </c>
      <c r="D2247" t="s">
        <v>3186</v>
      </c>
      <c r="E2247">
        <v>4266387616</v>
      </c>
      <c r="F2247">
        <v>3823026572</v>
      </c>
      <c r="G2247">
        <v>3127696156</v>
      </c>
      <c r="H2247">
        <v>2458458687</v>
      </c>
      <c r="I2247">
        <v>2425866422</v>
      </c>
      <c r="J2247">
        <v>2246485178</v>
      </c>
      <c r="K2247">
        <v>2023268703</v>
      </c>
      <c r="L2247">
        <v>1780741344</v>
      </c>
      <c r="M2247">
        <v>1673228175</v>
      </c>
      <c r="N2247">
        <v>1532293355</v>
      </c>
      <c r="O2247">
        <v>1443243445</v>
      </c>
      <c r="P2247">
        <v>149</v>
      </c>
      <c r="Q2247" t="s">
        <v>4823</v>
      </c>
    </row>
    <row r="2248" spans="1:17" x14ac:dyDescent="0.3">
      <c r="A2248" t="s">
        <v>47</v>
      </c>
      <c r="B2248" t="str">
        <f>"002115"</f>
        <v>002115</v>
      </c>
      <c r="C2248" t="s">
        <v>4824</v>
      </c>
      <c r="D2248" t="s">
        <v>2804</v>
      </c>
      <c r="E2248">
        <v>4265248112</v>
      </c>
      <c r="F2248">
        <v>4939266670</v>
      </c>
      <c r="G2248">
        <v>4550757352</v>
      </c>
      <c r="H2248">
        <v>4606602243</v>
      </c>
      <c r="I2248">
        <v>4087033215</v>
      </c>
      <c r="J2248">
        <v>2521946558</v>
      </c>
      <c r="K2248">
        <v>1999578011</v>
      </c>
      <c r="L2248">
        <v>1946335503</v>
      </c>
      <c r="M2248">
        <v>1928929586</v>
      </c>
      <c r="N2248">
        <v>2305953927</v>
      </c>
      <c r="O2248">
        <v>1872036916</v>
      </c>
      <c r="P2248">
        <v>239</v>
      </c>
      <c r="Q2248" t="s">
        <v>4825</v>
      </c>
    </row>
    <row r="2249" spans="1:17" x14ac:dyDescent="0.3">
      <c r="A2249" t="s">
        <v>47</v>
      </c>
      <c r="B2249" t="str">
        <f>"002342"</f>
        <v>002342</v>
      </c>
      <c r="C2249" t="s">
        <v>4826</v>
      </c>
      <c r="D2249" t="s">
        <v>401</v>
      </c>
      <c r="E2249">
        <v>4259322032</v>
      </c>
      <c r="F2249">
        <v>4131233620</v>
      </c>
      <c r="G2249">
        <v>4095030410</v>
      </c>
      <c r="H2249">
        <v>3951688828</v>
      </c>
      <c r="I2249">
        <v>4020883537</v>
      </c>
      <c r="J2249">
        <v>4122998973</v>
      </c>
      <c r="K2249">
        <v>3911101382</v>
      </c>
      <c r="L2249">
        <v>3950576636</v>
      </c>
      <c r="M2249">
        <v>4348053138</v>
      </c>
      <c r="N2249">
        <v>4174487619</v>
      </c>
      <c r="O2249">
        <v>3765169444</v>
      </c>
      <c r="P2249">
        <v>112</v>
      </c>
      <c r="Q2249" t="s">
        <v>4827</v>
      </c>
    </row>
    <row r="2250" spans="1:17" x14ac:dyDescent="0.3">
      <c r="A2250" t="s">
        <v>17</v>
      </c>
      <c r="B2250" t="str">
        <f>"603003"</f>
        <v>603003</v>
      </c>
      <c r="C2250" t="s">
        <v>4828</v>
      </c>
      <c r="D2250" t="s">
        <v>700</v>
      </c>
      <c r="E2250">
        <v>4250828884</v>
      </c>
      <c r="F2250">
        <v>4301462291</v>
      </c>
      <c r="G2250">
        <v>6158035784</v>
      </c>
      <c r="H2250">
        <v>5979016933</v>
      </c>
      <c r="I2250">
        <v>6567889982</v>
      </c>
      <c r="J2250">
        <v>5619906956</v>
      </c>
      <c r="K2250">
        <v>2067851048</v>
      </c>
      <c r="L2250">
        <v>1908269033</v>
      </c>
      <c r="M2250">
        <v>1207873039</v>
      </c>
      <c r="N2250">
        <v>1764744622</v>
      </c>
      <c r="P2250">
        <v>88</v>
      </c>
      <c r="Q2250" t="s">
        <v>4829</v>
      </c>
    </row>
    <row r="2251" spans="1:17" x14ac:dyDescent="0.3">
      <c r="A2251" t="s">
        <v>17</v>
      </c>
      <c r="B2251" t="str">
        <f>"601999"</f>
        <v>601999</v>
      </c>
      <c r="C2251" t="s">
        <v>4830</v>
      </c>
      <c r="D2251" t="s">
        <v>1288</v>
      </c>
      <c r="E2251">
        <v>4239027160</v>
      </c>
      <c r="F2251">
        <v>4119914269</v>
      </c>
      <c r="G2251">
        <v>3664636126</v>
      </c>
      <c r="H2251">
        <v>3512983760</v>
      </c>
      <c r="I2251">
        <v>3399127336</v>
      </c>
      <c r="J2251">
        <v>3147735545</v>
      </c>
      <c r="K2251">
        <v>2789720945</v>
      </c>
      <c r="L2251">
        <v>2759439883</v>
      </c>
      <c r="M2251">
        <v>2619708925</v>
      </c>
      <c r="N2251">
        <v>2523023956</v>
      </c>
      <c r="O2251">
        <v>2428406004</v>
      </c>
      <c r="P2251">
        <v>82</v>
      </c>
      <c r="Q2251" t="s">
        <v>4831</v>
      </c>
    </row>
    <row r="2252" spans="1:17" x14ac:dyDescent="0.3">
      <c r="A2252" t="s">
        <v>47</v>
      </c>
      <c r="B2252" t="str">
        <f>"002742"</f>
        <v>002742</v>
      </c>
      <c r="C2252" t="s">
        <v>4832</v>
      </c>
      <c r="D2252" t="s">
        <v>1318</v>
      </c>
      <c r="E2252">
        <v>4238393726</v>
      </c>
      <c r="F2252">
        <v>4531703975</v>
      </c>
      <c r="G2252">
        <v>4849127511</v>
      </c>
      <c r="H2252">
        <v>4915567539</v>
      </c>
      <c r="I2252">
        <v>4215653214</v>
      </c>
      <c r="J2252">
        <v>2781126020</v>
      </c>
      <c r="K2252">
        <v>2141353385</v>
      </c>
      <c r="L2252">
        <v>2125721329</v>
      </c>
      <c r="P2252">
        <v>67</v>
      </c>
      <c r="Q2252" t="s">
        <v>4833</v>
      </c>
    </row>
    <row r="2253" spans="1:17" x14ac:dyDescent="0.3">
      <c r="A2253" t="s">
        <v>47</v>
      </c>
      <c r="B2253" t="str">
        <f>"300309"</f>
        <v>300309</v>
      </c>
      <c r="C2253" t="s">
        <v>4834</v>
      </c>
      <c r="D2253" t="s">
        <v>3519</v>
      </c>
      <c r="E2253">
        <v>4238336750</v>
      </c>
      <c r="F2253">
        <v>5432070950</v>
      </c>
      <c r="G2253">
        <v>6021120450</v>
      </c>
      <c r="H2253">
        <v>6851264955</v>
      </c>
      <c r="I2253">
        <v>5508762875</v>
      </c>
      <c r="J2253">
        <v>3379917845</v>
      </c>
      <c r="K2253">
        <v>2651530685</v>
      </c>
      <c r="L2253">
        <v>1425663793</v>
      </c>
      <c r="M2253">
        <v>1382054350</v>
      </c>
      <c r="N2253">
        <v>1281612992</v>
      </c>
      <c r="O2253">
        <v>1123975494</v>
      </c>
      <c r="P2253">
        <v>108</v>
      </c>
      <c r="Q2253" t="s">
        <v>4835</v>
      </c>
    </row>
    <row r="2254" spans="1:17" x14ac:dyDescent="0.3">
      <c r="A2254" t="s">
        <v>17</v>
      </c>
      <c r="B2254" t="str">
        <f>"600386"</f>
        <v>600386</v>
      </c>
      <c r="C2254" t="s">
        <v>4836</v>
      </c>
      <c r="D2254" t="s">
        <v>462</v>
      </c>
      <c r="E2254">
        <v>4233061629</v>
      </c>
      <c r="F2254">
        <v>4383946698</v>
      </c>
      <c r="G2254">
        <v>4587459434</v>
      </c>
      <c r="H2254">
        <v>4688767687</v>
      </c>
      <c r="I2254">
        <v>4785582835</v>
      </c>
      <c r="J2254">
        <v>3491278261</v>
      </c>
      <c r="K2254">
        <v>3463907073</v>
      </c>
      <c r="L2254">
        <v>2693022092</v>
      </c>
      <c r="M2254">
        <v>2587381835</v>
      </c>
      <c r="N2254">
        <v>2390169019</v>
      </c>
      <c r="O2254">
        <v>2202273198</v>
      </c>
      <c r="P2254">
        <v>96</v>
      </c>
      <c r="Q2254" t="s">
        <v>4837</v>
      </c>
    </row>
    <row r="2255" spans="1:17" x14ac:dyDescent="0.3">
      <c r="A2255" t="s">
        <v>17</v>
      </c>
      <c r="B2255" t="str">
        <f>"688208"</f>
        <v>688208</v>
      </c>
      <c r="C2255" t="s">
        <v>4838</v>
      </c>
      <c r="D2255" t="s">
        <v>765</v>
      </c>
      <c r="E2255">
        <v>4230677844</v>
      </c>
      <c r="F2255">
        <v>3388914828</v>
      </c>
      <c r="G2255">
        <v>2715269268</v>
      </c>
      <c r="P2255">
        <v>220</v>
      </c>
      <c r="Q2255" t="s">
        <v>4839</v>
      </c>
    </row>
    <row r="2256" spans="1:17" x14ac:dyDescent="0.3">
      <c r="A2256" t="s">
        <v>17</v>
      </c>
      <c r="B2256" t="str">
        <f>"688553"</f>
        <v>688553</v>
      </c>
      <c r="C2256" t="s">
        <v>4840</v>
      </c>
      <c r="D2256" t="s">
        <v>550</v>
      </c>
      <c r="E2256">
        <v>4229828277</v>
      </c>
      <c r="F2256">
        <v>1381621024</v>
      </c>
      <c r="P2256">
        <v>30</v>
      </c>
      <c r="Q2256" t="s">
        <v>4841</v>
      </c>
    </row>
    <row r="2257" spans="1:17" x14ac:dyDescent="0.3">
      <c r="A2257" t="s">
        <v>47</v>
      </c>
      <c r="B2257" t="str">
        <f>"300887"</f>
        <v>300887</v>
      </c>
      <c r="C2257" t="s">
        <v>4842</v>
      </c>
      <c r="D2257" t="s">
        <v>3772</v>
      </c>
      <c r="E2257">
        <v>4228037047</v>
      </c>
      <c r="F2257">
        <v>2193059161</v>
      </c>
      <c r="P2257">
        <v>117</v>
      </c>
      <c r="Q2257" t="s">
        <v>4843</v>
      </c>
    </row>
    <row r="2258" spans="1:17" x14ac:dyDescent="0.3">
      <c r="A2258" t="s">
        <v>47</v>
      </c>
      <c r="B2258" t="str">
        <f>"300475"</f>
        <v>300475</v>
      </c>
      <c r="C2258" t="s">
        <v>4844</v>
      </c>
      <c r="D2258" t="s">
        <v>1511</v>
      </c>
      <c r="E2258">
        <v>4227845684</v>
      </c>
      <c r="F2258">
        <v>1568307737</v>
      </c>
      <c r="G2258">
        <v>1464037901</v>
      </c>
      <c r="H2258">
        <v>1437931994</v>
      </c>
      <c r="I2258">
        <v>1477962916</v>
      </c>
      <c r="J2258">
        <v>1457316577</v>
      </c>
      <c r="K2258">
        <v>1316543150</v>
      </c>
      <c r="L2258">
        <v>830736779</v>
      </c>
      <c r="P2258">
        <v>92</v>
      </c>
      <c r="Q2258" t="s">
        <v>4845</v>
      </c>
    </row>
    <row r="2259" spans="1:17" x14ac:dyDescent="0.3">
      <c r="A2259" t="s">
        <v>17</v>
      </c>
      <c r="B2259" t="str">
        <f>"600825"</f>
        <v>600825</v>
      </c>
      <c r="C2259" t="s">
        <v>4846</v>
      </c>
      <c r="D2259" t="s">
        <v>1288</v>
      </c>
      <c r="E2259">
        <v>4225315751</v>
      </c>
      <c r="F2259">
        <v>3860705742</v>
      </c>
      <c r="G2259">
        <v>4065114127</v>
      </c>
      <c r="H2259">
        <v>3791925501</v>
      </c>
      <c r="I2259">
        <v>3929380585</v>
      </c>
      <c r="J2259">
        <v>3954122534</v>
      </c>
      <c r="K2259">
        <v>3959377823</v>
      </c>
      <c r="L2259">
        <v>5881385401</v>
      </c>
      <c r="M2259">
        <v>6183481573</v>
      </c>
      <c r="N2259">
        <v>6215642277</v>
      </c>
      <c r="O2259">
        <v>5246227995</v>
      </c>
      <c r="P2259">
        <v>84</v>
      </c>
      <c r="Q2259" t="s">
        <v>4847</v>
      </c>
    </row>
    <row r="2260" spans="1:17" x14ac:dyDescent="0.3">
      <c r="A2260" t="s">
        <v>47</v>
      </c>
      <c r="B2260" t="str">
        <f>"002786"</f>
        <v>002786</v>
      </c>
      <c r="C2260" t="s">
        <v>4848</v>
      </c>
      <c r="D2260" t="s">
        <v>1973</v>
      </c>
      <c r="E2260">
        <v>4224729430</v>
      </c>
      <c r="F2260">
        <v>4959328345</v>
      </c>
      <c r="G2260">
        <v>4117655508</v>
      </c>
      <c r="H2260">
        <v>4113059446</v>
      </c>
      <c r="I2260">
        <v>3823888760</v>
      </c>
      <c r="J2260">
        <v>3163094173</v>
      </c>
      <c r="K2260">
        <v>2737952809</v>
      </c>
      <c r="L2260">
        <v>2012714300</v>
      </c>
      <c r="P2260">
        <v>176</v>
      </c>
      <c r="Q2260" t="s">
        <v>4849</v>
      </c>
    </row>
    <row r="2261" spans="1:17" x14ac:dyDescent="0.3">
      <c r="A2261" t="s">
        <v>17</v>
      </c>
      <c r="B2261" t="str">
        <f>"603408"</f>
        <v>603408</v>
      </c>
      <c r="C2261" t="s">
        <v>4850</v>
      </c>
      <c r="D2261" t="s">
        <v>3842</v>
      </c>
      <c r="E2261">
        <v>4224610950</v>
      </c>
      <c r="F2261">
        <v>3830821047</v>
      </c>
      <c r="G2261">
        <v>2556353274</v>
      </c>
      <c r="P2261">
        <v>98</v>
      </c>
      <c r="Q2261" t="s">
        <v>4851</v>
      </c>
    </row>
    <row r="2262" spans="1:17" x14ac:dyDescent="0.3">
      <c r="A2262" t="s">
        <v>47</v>
      </c>
      <c r="B2262" t="str">
        <f>"300208"</f>
        <v>300208</v>
      </c>
      <c r="C2262" t="s">
        <v>4852</v>
      </c>
      <c r="D2262" t="s">
        <v>810</v>
      </c>
      <c r="E2262">
        <v>4223892322</v>
      </c>
      <c r="F2262">
        <v>4586852817</v>
      </c>
      <c r="G2262">
        <v>5309703288</v>
      </c>
      <c r="H2262">
        <v>5371098009</v>
      </c>
      <c r="I2262">
        <v>4299706685</v>
      </c>
      <c r="J2262">
        <v>3119917264</v>
      </c>
      <c r="K2262">
        <v>2105204706</v>
      </c>
      <c r="L2262">
        <v>1536535508</v>
      </c>
      <c r="M2262">
        <v>1187331209</v>
      </c>
      <c r="N2262">
        <v>1149553465</v>
      </c>
      <c r="O2262">
        <v>829401941</v>
      </c>
      <c r="P2262">
        <v>144</v>
      </c>
      <c r="Q2262" t="s">
        <v>4853</v>
      </c>
    </row>
    <row r="2263" spans="1:17" x14ac:dyDescent="0.3">
      <c r="A2263" t="s">
        <v>47</v>
      </c>
      <c r="B2263" t="str">
        <f>"002859"</f>
        <v>002859</v>
      </c>
      <c r="C2263" t="s">
        <v>4854</v>
      </c>
      <c r="D2263" t="s">
        <v>1609</v>
      </c>
      <c r="E2263">
        <v>4221323089</v>
      </c>
      <c r="F2263">
        <v>3383070381</v>
      </c>
      <c r="G2263">
        <v>2197988611</v>
      </c>
      <c r="H2263">
        <v>2039275053</v>
      </c>
      <c r="I2263">
        <v>1696793093</v>
      </c>
      <c r="J2263">
        <v>1895768462</v>
      </c>
      <c r="P2263">
        <v>2969</v>
      </c>
      <c r="Q2263" t="s">
        <v>4855</v>
      </c>
    </row>
    <row r="2264" spans="1:17" x14ac:dyDescent="0.3">
      <c r="A2264" t="s">
        <v>47</v>
      </c>
      <c r="B2264" t="str">
        <f>"000010"</f>
        <v>000010</v>
      </c>
      <c r="C2264" t="s">
        <v>4856</v>
      </c>
      <c r="D2264" t="s">
        <v>952</v>
      </c>
      <c r="E2264">
        <v>4217225303</v>
      </c>
      <c r="F2264">
        <v>3558605664</v>
      </c>
      <c r="G2264">
        <v>4219532774</v>
      </c>
      <c r="H2264">
        <v>3433694797</v>
      </c>
      <c r="I2264">
        <v>2886340859</v>
      </c>
      <c r="J2264">
        <v>3818731102</v>
      </c>
      <c r="K2264">
        <v>4464687023</v>
      </c>
      <c r="L2264">
        <v>871902415</v>
      </c>
      <c r="M2264">
        <v>789092851</v>
      </c>
      <c r="N2264">
        <v>234105708</v>
      </c>
      <c r="O2264">
        <v>221920795</v>
      </c>
      <c r="P2264">
        <v>93</v>
      </c>
      <c r="Q2264" t="s">
        <v>4857</v>
      </c>
    </row>
    <row r="2265" spans="1:17" x14ac:dyDescent="0.3">
      <c r="A2265" t="s">
        <v>47</v>
      </c>
      <c r="B2265" t="str">
        <f>"300149"</f>
        <v>300149</v>
      </c>
      <c r="C2265" t="s">
        <v>4858</v>
      </c>
      <c r="D2265" t="s">
        <v>777</v>
      </c>
      <c r="E2265">
        <v>4215614128</v>
      </c>
      <c r="F2265">
        <v>4771657615</v>
      </c>
      <c r="G2265">
        <v>3813797034</v>
      </c>
      <c r="H2265">
        <v>3396670530</v>
      </c>
      <c r="I2265">
        <v>1068849561</v>
      </c>
      <c r="J2265">
        <v>811575284</v>
      </c>
      <c r="K2265">
        <v>764396726</v>
      </c>
      <c r="L2265">
        <v>761821512</v>
      </c>
      <c r="M2265">
        <v>709491739</v>
      </c>
      <c r="N2265">
        <v>690091332</v>
      </c>
      <c r="O2265">
        <v>646569619</v>
      </c>
      <c r="P2265">
        <v>193</v>
      </c>
      <c r="Q2265" t="s">
        <v>4859</v>
      </c>
    </row>
    <row r="2266" spans="1:17" x14ac:dyDescent="0.3">
      <c r="A2266" t="s">
        <v>17</v>
      </c>
      <c r="B2266" t="str">
        <f>"603227"</f>
        <v>603227</v>
      </c>
      <c r="C2266" t="s">
        <v>4860</v>
      </c>
      <c r="D2266" t="s">
        <v>1995</v>
      </c>
      <c r="E2266">
        <v>4205311143</v>
      </c>
      <c r="F2266">
        <v>3846846395</v>
      </c>
      <c r="G2266">
        <v>3193547944</v>
      </c>
      <c r="H2266">
        <v>3017553917</v>
      </c>
      <c r="I2266">
        <v>2584427472</v>
      </c>
      <c r="J2266">
        <v>2645789907</v>
      </c>
      <c r="K2266">
        <v>2773767563</v>
      </c>
      <c r="L2266">
        <v>1808563047</v>
      </c>
      <c r="P2266">
        <v>80</v>
      </c>
      <c r="Q2266" t="s">
        <v>4861</v>
      </c>
    </row>
    <row r="2267" spans="1:17" x14ac:dyDescent="0.3">
      <c r="A2267" t="s">
        <v>47</v>
      </c>
      <c r="B2267" t="str">
        <f>"002688"</f>
        <v>002688</v>
      </c>
      <c r="C2267" t="s">
        <v>4862</v>
      </c>
      <c r="D2267" t="s">
        <v>3286</v>
      </c>
      <c r="E2267">
        <v>4204623493</v>
      </c>
      <c r="F2267">
        <v>3660920295</v>
      </c>
      <c r="G2267">
        <v>3511630839</v>
      </c>
      <c r="H2267">
        <v>3446045190</v>
      </c>
      <c r="I2267">
        <v>2955149505</v>
      </c>
      <c r="J2267">
        <v>2734398910</v>
      </c>
      <c r="K2267">
        <v>2263846466</v>
      </c>
      <c r="L2267">
        <v>1672769611</v>
      </c>
      <c r="M2267">
        <v>1023898330</v>
      </c>
      <c r="N2267">
        <v>1021013992</v>
      </c>
      <c r="P2267">
        <v>167</v>
      </c>
      <c r="Q2267" t="s">
        <v>4863</v>
      </c>
    </row>
    <row r="2268" spans="1:17" x14ac:dyDescent="0.3">
      <c r="A2268" t="s">
        <v>47</v>
      </c>
      <c r="B2268" t="str">
        <f>"300770"</f>
        <v>300770</v>
      </c>
      <c r="C2268" t="s">
        <v>4864</v>
      </c>
      <c r="D2268" t="s">
        <v>973</v>
      </c>
      <c r="E2268">
        <v>4185652714</v>
      </c>
      <c r="F2268">
        <v>3627452498</v>
      </c>
      <c r="G2268">
        <v>3093896773</v>
      </c>
      <c r="H2268">
        <v>1203612792</v>
      </c>
      <c r="P2268">
        <v>632</v>
      </c>
      <c r="Q2268" t="s">
        <v>4865</v>
      </c>
    </row>
    <row r="2269" spans="1:17" x14ac:dyDescent="0.3">
      <c r="A2269" t="s">
        <v>17</v>
      </c>
      <c r="B2269" t="str">
        <f>"600479"</f>
        <v>600479</v>
      </c>
      <c r="C2269" t="s">
        <v>4866</v>
      </c>
      <c r="D2269" t="s">
        <v>695</v>
      </c>
      <c r="E2269">
        <v>4182747418</v>
      </c>
      <c r="F2269">
        <v>4270445874</v>
      </c>
      <c r="G2269">
        <v>3951468621</v>
      </c>
      <c r="H2269">
        <v>3688229490</v>
      </c>
      <c r="I2269">
        <v>3348250886</v>
      </c>
      <c r="J2269">
        <v>3112261553</v>
      </c>
      <c r="K2269">
        <v>2830822966</v>
      </c>
      <c r="L2269">
        <v>2228472882</v>
      </c>
      <c r="M2269">
        <v>1991953092</v>
      </c>
      <c r="N2269">
        <v>1769959711</v>
      </c>
      <c r="O2269">
        <v>1315403086</v>
      </c>
      <c r="P2269">
        <v>605</v>
      </c>
      <c r="Q2269" t="s">
        <v>4867</v>
      </c>
    </row>
    <row r="2270" spans="1:17" x14ac:dyDescent="0.3">
      <c r="A2270" t="s">
        <v>47</v>
      </c>
      <c r="B2270" t="str">
        <f>"002275"</f>
        <v>002275</v>
      </c>
      <c r="C2270" t="s">
        <v>4868</v>
      </c>
      <c r="D2270" t="s">
        <v>695</v>
      </c>
      <c r="E2270">
        <v>4182069870</v>
      </c>
      <c r="F2270">
        <v>3997591280</v>
      </c>
      <c r="G2270">
        <v>3534914467</v>
      </c>
      <c r="H2270">
        <v>3389621881</v>
      </c>
      <c r="I2270">
        <v>3275383157</v>
      </c>
      <c r="J2270">
        <v>3005297802</v>
      </c>
      <c r="K2270">
        <v>2819588667</v>
      </c>
      <c r="L2270">
        <v>2772272089</v>
      </c>
      <c r="M2270">
        <v>2740540647</v>
      </c>
      <c r="N2270">
        <v>2590490129</v>
      </c>
      <c r="O2270">
        <v>2296506395</v>
      </c>
      <c r="P2270">
        <v>11978</v>
      </c>
      <c r="Q2270" t="s">
        <v>4869</v>
      </c>
    </row>
    <row r="2271" spans="1:17" x14ac:dyDescent="0.3">
      <c r="A2271" t="s">
        <v>47</v>
      </c>
      <c r="B2271" t="str">
        <f>"000068"</f>
        <v>000068</v>
      </c>
      <c r="C2271" t="s">
        <v>4870</v>
      </c>
      <c r="D2271" t="s">
        <v>1269</v>
      </c>
      <c r="E2271">
        <v>4181031793</v>
      </c>
      <c r="F2271">
        <v>3608765305</v>
      </c>
      <c r="G2271">
        <v>3691009956</v>
      </c>
      <c r="H2271">
        <v>3520523289</v>
      </c>
      <c r="I2271">
        <v>2628211943</v>
      </c>
      <c r="J2271">
        <v>1549698223</v>
      </c>
      <c r="K2271">
        <v>716114139</v>
      </c>
      <c r="L2271">
        <v>650871951</v>
      </c>
      <c r="M2271">
        <v>613948609</v>
      </c>
      <c r="N2271">
        <v>790664953</v>
      </c>
      <c r="O2271">
        <v>374386029</v>
      </c>
      <c r="P2271">
        <v>144</v>
      </c>
      <c r="Q2271" t="s">
        <v>4871</v>
      </c>
    </row>
    <row r="2272" spans="1:17" x14ac:dyDescent="0.3">
      <c r="A2272" t="s">
        <v>47</v>
      </c>
      <c r="B2272" t="str">
        <f>"002716"</f>
        <v>002716</v>
      </c>
      <c r="C2272" t="s">
        <v>4872</v>
      </c>
      <c r="D2272" t="s">
        <v>880</v>
      </c>
      <c r="E2272">
        <v>4171995054</v>
      </c>
      <c r="F2272">
        <v>3470454793</v>
      </c>
      <c r="G2272">
        <v>9910621013</v>
      </c>
      <c r="H2272">
        <v>11756554150</v>
      </c>
      <c r="I2272">
        <v>9177959698</v>
      </c>
      <c r="J2272">
        <v>7865717589</v>
      </c>
      <c r="K2272">
        <v>6735547101</v>
      </c>
      <c r="L2272">
        <v>5966028277</v>
      </c>
      <c r="M2272">
        <v>4521257759</v>
      </c>
      <c r="P2272">
        <v>129</v>
      </c>
      <c r="Q2272" t="s">
        <v>4873</v>
      </c>
    </row>
    <row r="2273" spans="1:17" x14ac:dyDescent="0.3">
      <c r="A2273" t="s">
        <v>47</v>
      </c>
      <c r="B2273" t="str">
        <f>"002082"</f>
        <v>002082</v>
      </c>
      <c r="C2273" t="s">
        <v>4874</v>
      </c>
      <c r="D2273" t="s">
        <v>346</v>
      </c>
      <c r="E2273">
        <v>4171668327</v>
      </c>
      <c r="F2273">
        <v>4208126581</v>
      </c>
      <c r="G2273">
        <v>5082547159</v>
      </c>
      <c r="H2273">
        <v>2683608406</v>
      </c>
      <c r="I2273">
        <v>2046812441</v>
      </c>
      <c r="J2273">
        <v>1673321956</v>
      </c>
      <c r="K2273">
        <v>1602938621</v>
      </c>
      <c r="L2273">
        <v>1541963489</v>
      </c>
      <c r="M2273">
        <v>1566411775</v>
      </c>
      <c r="N2273">
        <v>1704584808</v>
      </c>
      <c r="O2273">
        <v>1512368490</v>
      </c>
      <c r="P2273">
        <v>135</v>
      </c>
      <c r="Q2273" t="s">
        <v>4875</v>
      </c>
    </row>
    <row r="2274" spans="1:17" x14ac:dyDescent="0.3">
      <c r="A2274" t="s">
        <v>17</v>
      </c>
      <c r="B2274" t="str">
        <f>"603538"</f>
        <v>603538</v>
      </c>
      <c r="C2274" t="s">
        <v>4876</v>
      </c>
      <c r="D2274" t="s">
        <v>1112</v>
      </c>
      <c r="E2274">
        <v>4163321849</v>
      </c>
      <c r="F2274">
        <v>3643086005</v>
      </c>
      <c r="G2274">
        <v>2792331802</v>
      </c>
      <c r="H2274">
        <v>2378903894</v>
      </c>
      <c r="I2274">
        <v>1657224785</v>
      </c>
      <c r="J2274">
        <v>1384351789</v>
      </c>
      <c r="P2274">
        <v>265</v>
      </c>
      <c r="Q2274" t="s">
        <v>4877</v>
      </c>
    </row>
    <row r="2275" spans="1:17" x14ac:dyDescent="0.3">
      <c r="A2275" t="s">
        <v>17</v>
      </c>
      <c r="B2275" t="str">
        <f>"601890"</f>
        <v>601890</v>
      </c>
      <c r="C2275" t="s">
        <v>4878</v>
      </c>
      <c r="D2275" t="s">
        <v>351</v>
      </c>
      <c r="E2275">
        <v>4156246455</v>
      </c>
      <c r="F2275">
        <v>3990079189</v>
      </c>
      <c r="G2275">
        <v>3965686185</v>
      </c>
      <c r="H2275">
        <v>3805650232</v>
      </c>
      <c r="I2275">
        <v>3798738855</v>
      </c>
      <c r="J2275">
        <v>3814483681</v>
      </c>
      <c r="K2275">
        <v>3897729763</v>
      </c>
      <c r="L2275">
        <v>3794547205</v>
      </c>
      <c r="M2275">
        <v>3799856791</v>
      </c>
      <c r="N2275">
        <v>3781311731</v>
      </c>
      <c r="O2275">
        <v>3725173926</v>
      </c>
      <c r="P2275">
        <v>144</v>
      </c>
      <c r="Q2275" t="s">
        <v>4879</v>
      </c>
    </row>
    <row r="2276" spans="1:17" x14ac:dyDescent="0.3">
      <c r="A2276" t="s">
        <v>47</v>
      </c>
      <c r="B2276" t="str">
        <f>"002631"</f>
        <v>002631</v>
      </c>
      <c r="C2276" t="s">
        <v>4880</v>
      </c>
      <c r="D2276" t="s">
        <v>1505</v>
      </c>
      <c r="E2276">
        <v>4155654768</v>
      </c>
      <c r="F2276">
        <v>3729012661</v>
      </c>
      <c r="G2276">
        <v>3411069109</v>
      </c>
      <c r="H2276">
        <v>2501096679</v>
      </c>
      <c r="I2276">
        <v>2192274893</v>
      </c>
      <c r="J2276">
        <v>1975670854</v>
      </c>
      <c r="K2276">
        <v>1887391254</v>
      </c>
      <c r="L2276">
        <v>1675646873</v>
      </c>
      <c r="M2276">
        <v>1564396245</v>
      </c>
      <c r="N2276">
        <v>1332114775</v>
      </c>
      <c r="O2276">
        <v>1300930350</v>
      </c>
      <c r="P2276">
        <v>156</v>
      </c>
      <c r="Q2276" t="s">
        <v>4881</v>
      </c>
    </row>
    <row r="2277" spans="1:17" x14ac:dyDescent="0.3">
      <c r="A2277" t="s">
        <v>47</v>
      </c>
      <c r="B2277" t="str">
        <f>"002605"</f>
        <v>002605</v>
      </c>
      <c r="C2277" t="s">
        <v>4882</v>
      </c>
      <c r="D2277" t="s">
        <v>1032</v>
      </c>
      <c r="E2277">
        <v>4155501799</v>
      </c>
      <c r="F2277">
        <v>4053549693</v>
      </c>
      <c r="G2277">
        <v>3539865029</v>
      </c>
      <c r="H2277">
        <v>2759738407</v>
      </c>
      <c r="I2277">
        <v>2094203047</v>
      </c>
      <c r="J2277">
        <v>2073537722</v>
      </c>
      <c r="K2277">
        <v>1436810547</v>
      </c>
      <c r="L2277">
        <v>1486942432</v>
      </c>
      <c r="M2277">
        <v>1109160793</v>
      </c>
      <c r="N2277">
        <v>966242461</v>
      </c>
      <c r="O2277">
        <v>939692391</v>
      </c>
      <c r="P2277">
        <v>432</v>
      </c>
      <c r="Q2277" t="s">
        <v>4883</v>
      </c>
    </row>
    <row r="2278" spans="1:17" x14ac:dyDescent="0.3">
      <c r="A2278" t="s">
        <v>47</v>
      </c>
      <c r="B2278" t="str">
        <f>"300177"</f>
        <v>300177</v>
      </c>
      <c r="C2278" t="s">
        <v>4884</v>
      </c>
      <c r="D2278" t="s">
        <v>1385</v>
      </c>
      <c r="E2278">
        <v>4154512599</v>
      </c>
      <c r="F2278">
        <v>3924261074</v>
      </c>
      <c r="G2278">
        <v>3062714581</v>
      </c>
      <c r="H2278">
        <v>2960520443</v>
      </c>
      <c r="I2278">
        <v>2478534243</v>
      </c>
      <c r="J2278">
        <v>2057509700</v>
      </c>
      <c r="K2278">
        <v>1864403005</v>
      </c>
      <c r="L2278">
        <v>1326002745</v>
      </c>
      <c r="M2278">
        <v>1154246885</v>
      </c>
      <c r="N2278">
        <v>946422693</v>
      </c>
      <c r="O2278">
        <v>854190799</v>
      </c>
      <c r="P2278">
        <v>232</v>
      </c>
      <c r="Q2278" t="s">
        <v>4885</v>
      </c>
    </row>
    <row r="2279" spans="1:17" x14ac:dyDescent="0.3">
      <c r="A2279" t="s">
        <v>47</v>
      </c>
      <c r="B2279" t="str">
        <f>"002093"</f>
        <v>002093</v>
      </c>
      <c r="C2279" t="s">
        <v>4886</v>
      </c>
      <c r="D2279" t="s">
        <v>2804</v>
      </c>
      <c r="E2279">
        <v>4152722234</v>
      </c>
      <c r="F2279">
        <v>4040213876</v>
      </c>
      <c r="G2279">
        <v>4193440475</v>
      </c>
      <c r="H2279">
        <v>4453949026</v>
      </c>
      <c r="I2279">
        <v>4738285283</v>
      </c>
      <c r="J2279">
        <v>4646777240</v>
      </c>
      <c r="K2279">
        <v>2875271947</v>
      </c>
      <c r="L2279">
        <v>2480115206</v>
      </c>
      <c r="M2279">
        <v>2294347541</v>
      </c>
      <c r="N2279">
        <v>1868978065</v>
      </c>
      <c r="O2279">
        <v>1793125385</v>
      </c>
      <c r="P2279">
        <v>288</v>
      </c>
      <c r="Q2279" t="s">
        <v>4887</v>
      </c>
    </row>
    <row r="2280" spans="1:17" x14ac:dyDescent="0.3">
      <c r="A2280" t="s">
        <v>17</v>
      </c>
      <c r="B2280" t="str">
        <f>"603768"</f>
        <v>603768</v>
      </c>
      <c r="C2280" t="s">
        <v>4888</v>
      </c>
      <c r="D2280" t="s">
        <v>1815</v>
      </c>
      <c r="E2280">
        <v>4150635679</v>
      </c>
      <c r="F2280">
        <v>3820728596</v>
      </c>
      <c r="G2280">
        <v>3714472042</v>
      </c>
      <c r="H2280">
        <v>3169209927</v>
      </c>
      <c r="I2280">
        <v>2645045922</v>
      </c>
      <c r="J2280">
        <v>2356186960</v>
      </c>
      <c r="P2280">
        <v>58</v>
      </c>
      <c r="Q2280" t="s">
        <v>4889</v>
      </c>
    </row>
    <row r="2281" spans="1:17" x14ac:dyDescent="0.3">
      <c r="A2281" t="s">
        <v>47</v>
      </c>
      <c r="B2281" t="str">
        <f>"300587"</f>
        <v>300587</v>
      </c>
      <c r="C2281" t="s">
        <v>4890</v>
      </c>
      <c r="D2281" t="s">
        <v>3921</v>
      </c>
      <c r="E2281">
        <v>4139648314</v>
      </c>
      <c r="F2281">
        <v>3064414295</v>
      </c>
      <c r="G2281">
        <v>2673814625</v>
      </c>
      <c r="H2281">
        <v>1777108515</v>
      </c>
      <c r="I2281">
        <v>982647414</v>
      </c>
      <c r="J2281">
        <v>846009867</v>
      </c>
      <c r="P2281">
        <v>153</v>
      </c>
      <c r="Q2281" t="s">
        <v>4891</v>
      </c>
    </row>
    <row r="2282" spans="1:17" x14ac:dyDescent="0.3">
      <c r="A2282" t="s">
        <v>47</v>
      </c>
      <c r="B2282" t="str">
        <f>"300527"</f>
        <v>300527</v>
      </c>
      <c r="C2282" t="s">
        <v>4892</v>
      </c>
      <c r="D2282" t="s">
        <v>1344</v>
      </c>
      <c r="E2282">
        <v>4137751973</v>
      </c>
      <c r="F2282">
        <v>4178863967</v>
      </c>
      <c r="G2282">
        <v>3418089854</v>
      </c>
      <c r="H2282">
        <v>4200556070</v>
      </c>
      <c r="I2282">
        <v>2950113904</v>
      </c>
      <c r="J2282">
        <v>3253393519</v>
      </c>
      <c r="K2282">
        <v>2246819851</v>
      </c>
      <c r="P2282">
        <v>144</v>
      </c>
      <c r="Q2282" t="s">
        <v>4893</v>
      </c>
    </row>
    <row r="2283" spans="1:17" x14ac:dyDescent="0.3">
      <c r="A2283" t="s">
        <v>17</v>
      </c>
      <c r="B2283" t="str">
        <f>"601028"</f>
        <v>601028</v>
      </c>
      <c r="C2283" t="s">
        <v>4894</v>
      </c>
      <c r="D2283" t="s">
        <v>768</v>
      </c>
      <c r="E2283">
        <v>4135389074</v>
      </c>
      <c r="F2283">
        <v>3580387309</v>
      </c>
      <c r="G2283">
        <v>2530211045</v>
      </c>
      <c r="H2283">
        <v>2704675387</v>
      </c>
      <c r="I2283">
        <v>2561620847</v>
      </c>
      <c r="J2283">
        <v>2902640854</v>
      </c>
      <c r="K2283">
        <v>3318697870</v>
      </c>
      <c r="L2283">
        <v>3837173335</v>
      </c>
      <c r="M2283">
        <v>3366551173</v>
      </c>
      <c r="N2283">
        <v>3002970554</v>
      </c>
      <c r="O2283">
        <v>3101951647</v>
      </c>
      <c r="P2283">
        <v>87</v>
      </c>
      <c r="Q2283" t="s">
        <v>4895</v>
      </c>
    </row>
    <row r="2284" spans="1:17" x14ac:dyDescent="0.3">
      <c r="A2284" t="s">
        <v>17</v>
      </c>
      <c r="B2284" t="str">
        <f>"601882"</f>
        <v>601882</v>
      </c>
      <c r="C2284" t="s">
        <v>4896</v>
      </c>
      <c r="D2284" t="s">
        <v>3186</v>
      </c>
      <c r="E2284">
        <v>4134486813</v>
      </c>
      <c r="F2284">
        <v>3163619711</v>
      </c>
      <c r="G2284">
        <v>2271564176</v>
      </c>
      <c r="H2284">
        <v>2147639582</v>
      </c>
      <c r="I2284">
        <v>2260591876</v>
      </c>
      <c r="J2284">
        <v>2009756816</v>
      </c>
      <c r="P2284">
        <v>188</v>
      </c>
      <c r="Q2284" t="s">
        <v>4897</v>
      </c>
    </row>
    <row r="2285" spans="1:17" x14ac:dyDescent="0.3">
      <c r="A2285" t="s">
        <v>17</v>
      </c>
      <c r="B2285" t="str">
        <f>"600756"</f>
        <v>600756</v>
      </c>
      <c r="C2285" t="s">
        <v>4898</v>
      </c>
      <c r="D2285" t="s">
        <v>700</v>
      </c>
      <c r="E2285">
        <v>4133328976</v>
      </c>
      <c r="F2285">
        <v>3810673594</v>
      </c>
      <c r="G2285">
        <v>3482979552</v>
      </c>
      <c r="H2285">
        <v>3038616967</v>
      </c>
      <c r="I2285">
        <v>2859675679</v>
      </c>
      <c r="J2285">
        <v>2934809569</v>
      </c>
      <c r="K2285">
        <v>2729739305</v>
      </c>
      <c r="L2285">
        <v>1866969872</v>
      </c>
      <c r="M2285">
        <v>1407623455</v>
      </c>
      <c r="N2285">
        <v>1269127525</v>
      </c>
      <c r="O2285">
        <v>1132230058</v>
      </c>
      <c r="P2285">
        <v>265</v>
      </c>
      <c r="Q2285" t="s">
        <v>4899</v>
      </c>
    </row>
    <row r="2286" spans="1:17" x14ac:dyDescent="0.3">
      <c r="A2286" t="s">
        <v>17</v>
      </c>
      <c r="B2286" t="str">
        <f>"603180"</f>
        <v>603180</v>
      </c>
      <c r="C2286" t="s">
        <v>4900</v>
      </c>
      <c r="D2286" t="s">
        <v>1505</v>
      </c>
      <c r="E2286">
        <v>4130883659</v>
      </c>
      <c r="F2286">
        <v>3243592842</v>
      </c>
      <c r="G2286">
        <v>2480176453</v>
      </c>
      <c r="H2286">
        <v>1764483632</v>
      </c>
      <c r="I2286">
        <v>1502587384</v>
      </c>
      <c r="J2286">
        <v>792328758</v>
      </c>
      <c r="P2286">
        <v>1304</v>
      </c>
      <c r="Q2286" t="s">
        <v>4901</v>
      </c>
    </row>
    <row r="2287" spans="1:17" x14ac:dyDescent="0.3">
      <c r="A2287" t="s">
        <v>17</v>
      </c>
      <c r="B2287" t="str">
        <f>"688276"</f>
        <v>688276</v>
      </c>
      <c r="C2287" t="s">
        <v>4902</v>
      </c>
      <c r="D2287" t="s">
        <v>894</v>
      </c>
      <c r="E2287">
        <v>4128140031</v>
      </c>
      <c r="F2287">
        <v>2433266132</v>
      </c>
      <c r="P2287">
        <v>46</v>
      </c>
      <c r="Q2287" t="s">
        <v>4903</v>
      </c>
    </row>
    <row r="2288" spans="1:17" x14ac:dyDescent="0.3">
      <c r="A2288" t="s">
        <v>17</v>
      </c>
      <c r="B2288" t="str">
        <f>"603809"</f>
        <v>603809</v>
      </c>
      <c r="C2288" t="s">
        <v>4904</v>
      </c>
      <c r="D2288" t="s">
        <v>274</v>
      </c>
      <c r="E2288">
        <v>4127965917</v>
      </c>
      <c r="F2288">
        <v>3468738283</v>
      </c>
      <c r="G2288">
        <v>2495309512</v>
      </c>
      <c r="H2288">
        <v>2403244018</v>
      </c>
      <c r="I2288">
        <v>2286136914</v>
      </c>
      <c r="P2288">
        <v>137</v>
      </c>
      <c r="Q2288" t="s">
        <v>4905</v>
      </c>
    </row>
    <row r="2289" spans="1:17" x14ac:dyDescent="0.3">
      <c r="A2289" t="s">
        <v>47</v>
      </c>
      <c r="B2289" t="str">
        <f>"000592"</f>
        <v>000592</v>
      </c>
      <c r="C2289" t="s">
        <v>4906</v>
      </c>
      <c r="D2289" t="s">
        <v>4907</v>
      </c>
      <c r="E2289">
        <v>4125989799</v>
      </c>
      <c r="F2289">
        <v>4787223210</v>
      </c>
      <c r="G2289">
        <v>4355014633</v>
      </c>
      <c r="H2289">
        <v>4155882960</v>
      </c>
      <c r="I2289">
        <v>4297754063</v>
      </c>
      <c r="J2289">
        <v>4198661788</v>
      </c>
      <c r="K2289">
        <v>3730273157</v>
      </c>
      <c r="L2289">
        <v>2246097832</v>
      </c>
      <c r="M2289">
        <v>1827981256</v>
      </c>
      <c r="N2289">
        <v>1837225367</v>
      </c>
      <c r="O2289">
        <v>1827971462</v>
      </c>
      <c r="P2289">
        <v>150</v>
      </c>
      <c r="Q2289" t="s">
        <v>4908</v>
      </c>
    </row>
    <row r="2290" spans="1:17" x14ac:dyDescent="0.3">
      <c r="A2290" t="s">
        <v>47</v>
      </c>
      <c r="B2290" t="str">
        <f>"002321"</f>
        <v>002321</v>
      </c>
      <c r="C2290" t="s">
        <v>4909</v>
      </c>
      <c r="D2290" t="s">
        <v>1721</v>
      </c>
      <c r="E2290">
        <v>4124046288</v>
      </c>
      <c r="F2290">
        <v>7036589256</v>
      </c>
      <c r="G2290">
        <v>8026502428</v>
      </c>
      <c r="H2290">
        <v>8719983899</v>
      </c>
      <c r="I2290">
        <v>8091701364</v>
      </c>
      <c r="J2290">
        <v>6834192447</v>
      </c>
      <c r="K2290">
        <v>5556692483</v>
      </c>
      <c r="L2290">
        <v>4621293370</v>
      </c>
      <c r="M2290">
        <v>3743836124</v>
      </c>
      <c r="N2290">
        <v>2829195027</v>
      </c>
      <c r="O2290">
        <v>2502365004</v>
      </c>
      <c r="P2290">
        <v>111</v>
      </c>
      <c r="Q2290" t="s">
        <v>4910</v>
      </c>
    </row>
    <row r="2291" spans="1:17" x14ac:dyDescent="0.3">
      <c r="A2291" t="s">
        <v>17</v>
      </c>
      <c r="B2291" t="str">
        <f>"600855"</f>
        <v>600855</v>
      </c>
      <c r="C2291" t="s">
        <v>4911</v>
      </c>
      <c r="D2291" t="s">
        <v>765</v>
      </c>
      <c r="E2291">
        <v>4123471324</v>
      </c>
      <c r="F2291">
        <v>4470591153</v>
      </c>
      <c r="G2291">
        <v>3634367099</v>
      </c>
      <c r="H2291">
        <v>2530401592</v>
      </c>
      <c r="I2291">
        <v>1855591351</v>
      </c>
      <c r="J2291">
        <v>1620974038</v>
      </c>
      <c r="K2291">
        <v>1655105835</v>
      </c>
      <c r="L2291">
        <v>1570464831</v>
      </c>
      <c r="M2291">
        <v>1534552369</v>
      </c>
      <c r="N2291">
        <v>1407900123</v>
      </c>
      <c r="O2291">
        <v>1283584142</v>
      </c>
      <c r="P2291">
        <v>139</v>
      </c>
      <c r="Q2291" t="s">
        <v>4912</v>
      </c>
    </row>
    <row r="2292" spans="1:17" x14ac:dyDescent="0.3">
      <c r="A2292" t="s">
        <v>17</v>
      </c>
      <c r="B2292" t="str">
        <f>"600776"</f>
        <v>600776</v>
      </c>
      <c r="C2292" t="s">
        <v>4913</v>
      </c>
      <c r="D2292" t="s">
        <v>4914</v>
      </c>
      <c r="E2292">
        <v>4122512628</v>
      </c>
      <c r="F2292">
        <v>3866589211</v>
      </c>
      <c r="G2292">
        <v>3836436184</v>
      </c>
      <c r="H2292">
        <v>3744611342</v>
      </c>
      <c r="I2292">
        <v>3703090570</v>
      </c>
      <c r="J2292">
        <v>3742723857</v>
      </c>
      <c r="K2292">
        <v>3730256804</v>
      </c>
      <c r="L2292">
        <v>3546860718</v>
      </c>
      <c r="M2292">
        <v>3515263924</v>
      </c>
      <c r="N2292">
        <v>3411640362</v>
      </c>
      <c r="O2292">
        <v>3270797043</v>
      </c>
      <c r="P2292">
        <v>284</v>
      </c>
      <c r="Q2292" t="s">
        <v>4915</v>
      </c>
    </row>
    <row r="2293" spans="1:17" x14ac:dyDescent="0.3">
      <c r="A2293" t="s">
        <v>17</v>
      </c>
      <c r="B2293" t="str">
        <f>"600644"</f>
        <v>600644</v>
      </c>
      <c r="C2293" t="s">
        <v>4916</v>
      </c>
      <c r="D2293" t="s">
        <v>652</v>
      </c>
      <c r="E2293">
        <v>4121599392</v>
      </c>
      <c r="F2293">
        <v>3881072797</v>
      </c>
      <c r="G2293">
        <v>3749276327</v>
      </c>
      <c r="H2293">
        <v>3420744069</v>
      </c>
      <c r="I2293">
        <v>3036931813</v>
      </c>
      <c r="J2293">
        <v>2512412476</v>
      </c>
      <c r="K2293">
        <v>2514358527</v>
      </c>
      <c r="L2293">
        <v>2176567586</v>
      </c>
      <c r="M2293">
        <v>3127698801</v>
      </c>
      <c r="N2293">
        <v>3782808230</v>
      </c>
      <c r="O2293">
        <v>3663166850</v>
      </c>
      <c r="P2293">
        <v>81</v>
      </c>
      <c r="Q2293" t="s">
        <v>4917</v>
      </c>
    </row>
    <row r="2294" spans="1:17" x14ac:dyDescent="0.3">
      <c r="A2294" t="s">
        <v>17</v>
      </c>
      <c r="B2294" t="str">
        <f>"605339"</f>
        <v>605339</v>
      </c>
      <c r="C2294" t="s">
        <v>4918</v>
      </c>
      <c r="D2294" t="s">
        <v>3790</v>
      </c>
      <c r="E2294">
        <v>4115141428</v>
      </c>
      <c r="F2294">
        <v>3026549115</v>
      </c>
      <c r="P2294">
        <v>66</v>
      </c>
      <c r="Q2294" t="s">
        <v>4919</v>
      </c>
    </row>
    <row r="2295" spans="1:17" x14ac:dyDescent="0.3">
      <c r="A2295" t="s">
        <v>47</v>
      </c>
      <c r="B2295" t="str">
        <f>"200706"</f>
        <v>200706</v>
      </c>
      <c r="C2295" t="s">
        <v>4920</v>
      </c>
      <c r="E2295">
        <v>4114667820.0100002</v>
      </c>
      <c r="F2295">
        <v>3702543990.914</v>
      </c>
      <c r="G2295">
        <v>3402712606.7202001</v>
      </c>
      <c r="H2295">
        <v>3799172748.9320998</v>
      </c>
      <c r="I2295">
        <v>4026518395.8730001</v>
      </c>
      <c r="J2295">
        <v>4016701114.3898001</v>
      </c>
      <c r="K2295">
        <v>4312110897.8079004</v>
      </c>
      <c r="L2295">
        <v>4861036058.75</v>
      </c>
      <c r="M2295">
        <v>4779974191.4879999</v>
      </c>
      <c r="N2295">
        <v>4768835361.7404003</v>
      </c>
      <c r="O2295">
        <v>4379199169.5539999</v>
      </c>
      <c r="P2295">
        <v>7</v>
      </c>
      <c r="Q2295" t="s">
        <v>4921</v>
      </c>
    </row>
    <row r="2296" spans="1:17" x14ac:dyDescent="0.3">
      <c r="A2296" t="s">
        <v>47</v>
      </c>
      <c r="B2296" t="str">
        <f>"300298"</f>
        <v>300298</v>
      </c>
      <c r="C2296" t="s">
        <v>4922</v>
      </c>
      <c r="D2296" t="s">
        <v>1083</v>
      </c>
      <c r="E2296">
        <v>4114260872</v>
      </c>
      <c r="F2296">
        <v>4036179721</v>
      </c>
      <c r="G2296">
        <v>3450934812</v>
      </c>
      <c r="H2296">
        <v>3100843787</v>
      </c>
      <c r="I2296">
        <v>2843629941</v>
      </c>
      <c r="J2296">
        <v>1496727422</v>
      </c>
      <c r="K2296">
        <v>1296525768</v>
      </c>
      <c r="L2296">
        <v>1272712282</v>
      </c>
      <c r="M2296">
        <v>1095891581</v>
      </c>
      <c r="N2296">
        <v>979262054</v>
      </c>
      <c r="O2296">
        <v>850802944</v>
      </c>
      <c r="P2296">
        <v>619</v>
      </c>
      <c r="Q2296" t="s">
        <v>4923</v>
      </c>
    </row>
    <row r="2297" spans="1:17" x14ac:dyDescent="0.3">
      <c r="A2297" t="s">
        <v>47</v>
      </c>
      <c r="B2297" t="str">
        <f>"002570"</f>
        <v>002570</v>
      </c>
      <c r="C2297" t="s">
        <v>4924</v>
      </c>
      <c r="D2297" t="s">
        <v>487</v>
      </c>
      <c r="E2297">
        <v>4112136081</v>
      </c>
      <c r="F2297">
        <v>4141897181</v>
      </c>
      <c r="G2297">
        <v>4939535978</v>
      </c>
      <c r="H2297">
        <v>4663475115</v>
      </c>
      <c r="I2297">
        <v>4941995610</v>
      </c>
      <c r="J2297">
        <v>6095936278</v>
      </c>
      <c r="K2297">
        <v>5450539478</v>
      </c>
      <c r="L2297">
        <v>4753254536</v>
      </c>
      <c r="M2297">
        <v>4990211198</v>
      </c>
      <c r="N2297">
        <v>4969496974</v>
      </c>
      <c r="O2297">
        <v>4363225056</v>
      </c>
      <c r="P2297">
        <v>261</v>
      </c>
      <c r="Q2297" t="s">
        <v>4925</v>
      </c>
    </row>
    <row r="2298" spans="1:17" x14ac:dyDescent="0.3">
      <c r="A2298" t="s">
        <v>47</v>
      </c>
      <c r="B2298" t="str">
        <f>"002985"</f>
        <v>002985</v>
      </c>
      <c r="C2298" t="s">
        <v>4926</v>
      </c>
      <c r="D2298" t="s">
        <v>570</v>
      </c>
      <c r="E2298">
        <v>4111592340</v>
      </c>
      <c r="F2298">
        <v>2899188614</v>
      </c>
      <c r="G2298">
        <v>1380082033</v>
      </c>
      <c r="P2298">
        <v>548</v>
      </c>
      <c r="Q2298" t="s">
        <v>4927</v>
      </c>
    </row>
    <row r="2299" spans="1:17" x14ac:dyDescent="0.3">
      <c r="A2299" t="s">
        <v>47</v>
      </c>
      <c r="B2299" t="str">
        <f>"002003"</f>
        <v>002003</v>
      </c>
      <c r="C2299" t="s">
        <v>4928</v>
      </c>
      <c r="D2299" t="s">
        <v>3936</v>
      </c>
      <c r="E2299">
        <v>4111260776</v>
      </c>
      <c r="F2299">
        <v>3518926785</v>
      </c>
      <c r="G2299">
        <v>3579270486</v>
      </c>
      <c r="H2299">
        <v>3261981154</v>
      </c>
      <c r="I2299">
        <v>2972017079</v>
      </c>
      <c r="J2299">
        <v>2782550310</v>
      </c>
      <c r="K2299">
        <v>2213728614</v>
      </c>
      <c r="L2299">
        <v>2115071021</v>
      </c>
      <c r="M2299">
        <v>2067190589</v>
      </c>
      <c r="N2299">
        <v>2292389783</v>
      </c>
      <c r="O2299">
        <v>2221233516</v>
      </c>
      <c r="P2299">
        <v>761</v>
      </c>
      <c r="Q2299" t="s">
        <v>4929</v>
      </c>
    </row>
    <row r="2300" spans="1:17" x14ac:dyDescent="0.3">
      <c r="A2300" t="s">
        <v>47</v>
      </c>
      <c r="B2300" t="str">
        <f>"300178"</f>
        <v>300178</v>
      </c>
      <c r="C2300" t="s">
        <v>4930</v>
      </c>
      <c r="D2300" t="s">
        <v>4931</v>
      </c>
      <c r="E2300">
        <v>4108428388</v>
      </c>
      <c r="F2300">
        <v>4687058987</v>
      </c>
      <c r="G2300">
        <v>6178443600</v>
      </c>
      <c r="H2300">
        <v>9106974283</v>
      </c>
      <c r="I2300">
        <v>7353602952</v>
      </c>
      <c r="J2300">
        <v>5116335620</v>
      </c>
      <c r="K2300">
        <v>3467593876</v>
      </c>
      <c r="L2300">
        <v>2448206781</v>
      </c>
      <c r="M2300">
        <v>1447759527</v>
      </c>
      <c r="N2300">
        <v>1363018953</v>
      </c>
      <c r="O2300">
        <v>1102455289</v>
      </c>
      <c r="P2300">
        <v>152</v>
      </c>
      <c r="Q2300" t="s">
        <v>4932</v>
      </c>
    </row>
    <row r="2301" spans="1:17" x14ac:dyDescent="0.3">
      <c r="A2301" t="s">
        <v>47</v>
      </c>
      <c r="B2301" t="str">
        <f>"300130"</f>
        <v>300130</v>
      </c>
      <c r="C2301" t="s">
        <v>4933</v>
      </c>
      <c r="D2301" t="s">
        <v>765</v>
      </c>
      <c r="E2301">
        <v>4104918432</v>
      </c>
      <c r="F2301">
        <v>3623673376</v>
      </c>
      <c r="G2301">
        <v>3314617824</v>
      </c>
      <c r="H2301">
        <v>4165731781</v>
      </c>
      <c r="I2301">
        <v>3838803697</v>
      </c>
      <c r="J2301">
        <v>2592236593</v>
      </c>
      <c r="K2301">
        <v>2110047729</v>
      </c>
      <c r="L2301">
        <v>1393108498</v>
      </c>
      <c r="M2301">
        <v>1229536645</v>
      </c>
      <c r="N2301">
        <v>1152670787</v>
      </c>
      <c r="O2301">
        <v>1036905988</v>
      </c>
      <c r="P2301">
        <v>202</v>
      </c>
      <c r="Q2301" t="s">
        <v>4934</v>
      </c>
    </row>
    <row r="2302" spans="1:17" x14ac:dyDescent="0.3">
      <c r="A2302" t="s">
        <v>47</v>
      </c>
      <c r="B2302" t="str">
        <f>"002560"</f>
        <v>002560</v>
      </c>
      <c r="C2302" t="s">
        <v>4935</v>
      </c>
      <c r="D2302" t="s">
        <v>1616</v>
      </c>
      <c r="E2302">
        <v>4100997026</v>
      </c>
      <c r="F2302">
        <v>3398007056</v>
      </c>
      <c r="G2302">
        <v>3076787888</v>
      </c>
      <c r="H2302">
        <v>3051371060</v>
      </c>
      <c r="I2302">
        <v>2256418294</v>
      </c>
      <c r="J2302">
        <v>2313650466</v>
      </c>
      <c r="K2302">
        <v>2467797676</v>
      </c>
      <c r="L2302">
        <v>1962370779</v>
      </c>
      <c r="M2302">
        <v>1857665979</v>
      </c>
      <c r="N2302">
        <v>1519197947</v>
      </c>
      <c r="O2302">
        <v>1034949756</v>
      </c>
      <c r="P2302">
        <v>138</v>
      </c>
      <c r="Q2302" t="s">
        <v>4936</v>
      </c>
    </row>
    <row r="2303" spans="1:17" x14ac:dyDescent="0.3">
      <c r="A2303" t="s">
        <v>17</v>
      </c>
      <c r="B2303" t="str">
        <f>"600351"</f>
        <v>600351</v>
      </c>
      <c r="C2303" t="s">
        <v>4937</v>
      </c>
      <c r="D2303" t="s">
        <v>695</v>
      </c>
      <c r="E2303">
        <v>4100448847</v>
      </c>
      <c r="F2303">
        <v>4124969154</v>
      </c>
      <c r="G2303">
        <v>4362847474</v>
      </c>
      <c r="H2303">
        <v>4907891504</v>
      </c>
      <c r="I2303">
        <v>4398783133</v>
      </c>
      <c r="J2303">
        <v>4389404828</v>
      </c>
      <c r="K2303">
        <v>4390270125</v>
      </c>
      <c r="L2303">
        <v>3471906249</v>
      </c>
      <c r="M2303">
        <v>3237492187</v>
      </c>
      <c r="N2303">
        <v>2951471404</v>
      </c>
      <c r="O2303">
        <v>2310103419</v>
      </c>
      <c r="P2303">
        <v>234</v>
      </c>
      <c r="Q2303" t="s">
        <v>4938</v>
      </c>
    </row>
    <row r="2304" spans="1:17" x14ac:dyDescent="0.3">
      <c r="A2304" t="s">
        <v>17</v>
      </c>
      <c r="B2304" t="str">
        <f>"603318"</f>
        <v>603318</v>
      </c>
      <c r="C2304" t="s">
        <v>4939</v>
      </c>
      <c r="D2304" t="s">
        <v>476</v>
      </c>
      <c r="E2304">
        <v>4095541379</v>
      </c>
      <c r="F2304">
        <v>2856155932</v>
      </c>
      <c r="G2304">
        <v>1656268024</v>
      </c>
      <c r="H2304">
        <v>2158942443</v>
      </c>
      <c r="I2304">
        <v>1819566557</v>
      </c>
      <c r="J2304">
        <v>1273045254</v>
      </c>
      <c r="K2304">
        <v>988585502</v>
      </c>
      <c r="L2304">
        <v>610256616</v>
      </c>
      <c r="P2304">
        <v>63</v>
      </c>
      <c r="Q2304" t="s">
        <v>4940</v>
      </c>
    </row>
    <row r="2305" spans="1:17" x14ac:dyDescent="0.3">
      <c r="A2305" t="s">
        <v>17</v>
      </c>
      <c r="B2305" t="str">
        <f>"688199"</f>
        <v>688199</v>
      </c>
      <c r="C2305" t="s">
        <v>4941</v>
      </c>
      <c r="D2305" t="s">
        <v>710</v>
      </c>
      <c r="E2305">
        <v>4093240885</v>
      </c>
      <c r="F2305">
        <v>3282095888</v>
      </c>
      <c r="G2305">
        <v>3018072259</v>
      </c>
      <c r="H2305">
        <v>1344021537</v>
      </c>
      <c r="I2305">
        <v>1077443292</v>
      </c>
      <c r="P2305">
        <v>94</v>
      </c>
      <c r="Q2305" t="s">
        <v>4942</v>
      </c>
    </row>
    <row r="2306" spans="1:17" x14ac:dyDescent="0.3">
      <c r="A2306" t="s">
        <v>47</v>
      </c>
      <c r="B2306" t="str">
        <f>"300120"</f>
        <v>300120</v>
      </c>
      <c r="C2306" t="s">
        <v>4943</v>
      </c>
      <c r="D2306" t="s">
        <v>181</v>
      </c>
      <c r="E2306">
        <v>4088265835</v>
      </c>
      <c r="F2306">
        <v>4157611236</v>
      </c>
      <c r="G2306">
        <v>3722155490</v>
      </c>
      <c r="H2306">
        <v>2842300665</v>
      </c>
      <c r="I2306">
        <v>2716117127</v>
      </c>
      <c r="J2306">
        <v>799621688</v>
      </c>
      <c r="K2306">
        <v>802145341</v>
      </c>
      <c r="L2306">
        <v>698547660</v>
      </c>
      <c r="M2306">
        <v>690737891</v>
      </c>
      <c r="N2306">
        <v>656478532</v>
      </c>
      <c r="O2306">
        <v>638883877</v>
      </c>
      <c r="P2306">
        <v>105</v>
      </c>
      <c r="Q2306" t="s">
        <v>4944</v>
      </c>
    </row>
    <row r="2307" spans="1:17" x14ac:dyDescent="0.3">
      <c r="A2307" t="s">
        <v>47</v>
      </c>
      <c r="B2307" t="str">
        <f>"301048"</f>
        <v>301048</v>
      </c>
      <c r="C2307" t="s">
        <v>4945</v>
      </c>
      <c r="D2307" t="s">
        <v>193</v>
      </c>
      <c r="E2307">
        <v>4082356869</v>
      </c>
      <c r="F2307">
        <v>3430962579</v>
      </c>
      <c r="P2307">
        <v>16</v>
      </c>
      <c r="Q2307" t="s">
        <v>4946</v>
      </c>
    </row>
    <row r="2308" spans="1:17" x14ac:dyDescent="0.3">
      <c r="A2308" t="s">
        <v>47</v>
      </c>
      <c r="B2308" t="str">
        <f>"002512"</f>
        <v>002512</v>
      </c>
      <c r="C2308" t="s">
        <v>4947</v>
      </c>
      <c r="D2308" t="s">
        <v>765</v>
      </c>
      <c r="E2308">
        <v>4080710759</v>
      </c>
      <c r="F2308">
        <v>4597777112</v>
      </c>
      <c r="G2308">
        <v>5319533569</v>
      </c>
      <c r="H2308">
        <v>5748313293</v>
      </c>
      <c r="I2308">
        <v>7620311272</v>
      </c>
      <c r="J2308">
        <v>6419479887</v>
      </c>
      <c r="K2308">
        <v>5231151048</v>
      </c>
      <c r="L2308">
        <v>2521310890</v>
      </c>
      <c r="M2308">
        <v>2056927783</v>
      </c>
      <c r="N2308">
        <v>1379268182</v>
      </c>
      <c r="O2308">
        <v>1261157159</v>
      </c>
      <c r="P2308">
        <v>162</v>
      </c>
      <c r="Q2308" t="s">
        <v>4948</v>
      </c>
    </row>
    <row r="2309" spans="1:17" x14ac:dyDescent="0.3">
      <c r="A2309" t="s">
        <v>17</v>
      </c>
      <c r="B2309" t="str">
        <f>"688007"</f>
        <v>688007</v>
      </c>
      <c r="C2309" t="s">
        <v>4949</v>
      </c>
      <c r="D2309" t="s">
        <v>1238</v>
      </c>
      <c r="E2309">
        <v>4078683693</v>
      </c>
      <c r="F2309">
        <v>3279993186</v>
      </c>
      <c r="G2309">
        <v>2984904808</v>
      </c>
      <c r="H2309">
        <v>2068785800</v>
      </c>
      <c r="P2309">
        <v>123</v>
      </c>
      <c r="Q2309" t="s">
        <v>4950</v>
      </c>
    </row>
    <row r="2310" spans="1:17" x14ac:dyDescent="0.3">
      <c r="A2310" t="s">
        <v>47</v>
      </c>
      <c r="B2310" t="str">
        <f>"002205"</f>
        <v>002205</v>
      </c>
      <c r="C2310" t="s">
        <v>4951</v>
      </c>
      <c r="D2310" t="s">
        <v>1269</v>
      </c>
      <c r="E2310">
        <v>4077232782</v>
      </c>
      <c r="F2310">
        <v>3715982869</v>
      </c>
      <c r="G2310">
        <v>3499874875</v>
      </c>
      <c r="H2310">
        <v>3134327517</v>
      </c>
      <c r="I2310">
        <v>2479788924</v>
      </c>
      <c r="J2310">
        <v>2081881390</v>
      </c>
      <c r="K2310">
        <v>1593142943</v>
      </c>
      <c r="L2310">
        <v>1739235699</v>
      </c>
      <c r="M2310">
        <v>1683787266</v>
      </c>
      <c r="N2310">
        <v>1532763881</v>
      </c>
      <c r="O2310">
        <v>1536549997</v>
      </c>
      <c r="P2310">
        <v>86</v>
      </c>
      <c r="Q2310" t="s">
        <v>4952</v>
      </c>
    </row>
    <row r="2311" spans="1:17" x14ac:dyDescent="0.3">
      <c r="A2311" t="s">
        <v>47</v>
      </c>
      <c r="B2311" t="str">
        <f>"000026"</f>
        <v>000026</v>
      </c>
      <c r="C2311" t="s">
        <v>4953</v>
      </c>
      <c r="D2311" t="s">
        <v>1508</v>
      </c>
      <c r="E2311">
        <v>4073600005</v>
      </c>
      <c r="F2311">
        <v>4412065472</v>
      </c>
      <c r="G2311">
        <v>3651180885</v>
      </c>
      <c r="H2311">
        <v>3579986669</v>
      </c>
      <c r="I2311">
        <v>3664044586</v>
      </c>
      <c r="J2311">
        <v>3891426215</v>
      </c>
      <c r="K2311">
        <v>4089456568</v>
      </c>
      <c r="L2311">
        <v>3937180931</v>
      </c>
      <c r="M2311">
        <v>3676214903</v>
      </c>
      <c r="N2311">
        <v>3393397146</v>
      </c>
      <c r="O2311">
        <v>3181884736</v>
      </c>
      <c r="P2311">
        <v>321</v>
      </c>
      <c r="Q2311" t="s">
        <v>4954</v>
      </c>
    </row>
    <row r="2312" spans="1:17" x14ac:dyDescent="0.3">
      <c r="A2312" t="s">
        <v>47</v>
      </c>
      <c r="B2312" t="str">
        <f>"002041"</f>
        <v>002041</v>
      </c>
      <c r="C2312" t="s">
        <v>4955</v>
      </c>
      <c r="D2312" t="s">
        <v>2235</v>
      </c>
      <c r="E2312">
        <v>4071724964</v>
      </c>
      <c r="F2312">
        <v>3704402677</v>
      </c>
      <c r="G2312">
        <v>3652322892</v>
      </c>
      <c r="H2312">
        <v>3606627494</v>
      </c>
      <c r="I2312">
        <v>3805763494</v>
      </c>
      <c r="J2312">
        <v>4345197557</v>
      </c>
      <c r="K2312">
        <v>4260550157</v>
      </c>
      <c r="L2312">
        <v>3734542435</v>
      </c>
      <c r="M2312">
        <v>3289547517</v>
      </c>
      <c r="N2312">
        <v>2882196878</v>
      </c>
      <c r="O2312">
        <v>2322162494</v>
      </c>
      <c r="P2312">
        <v>446</v>
      </c>
      <c r="Q2312" t="s">
        <v>4956</v>
      </c>
    </row>
    <row r="2313" spans="1:17" x14ac:dyDescent="0.3">
      <c r="A2313" t="s">
        <v>17</v>
      </c>
      <c r="B2313" t="str">
        <f>"601606"</f>
        <v>601606</v>
      </c>
      <c r="C2313" t="s">
        <v>4957</v>
      </c>
      <c r="D2313" t="s">
        <v>1344</v>
      </c>
      <c r="E2313">
        <v>4069508803</v>
      </c>
      <c r="F2313">
        <v>3705106285</v>
      </c>
      <c r="G2313">
        <v>3574785819</v>
      </c>
      <c r="H2313">
        <v>3453319791</v>
      </c>
      <c r="P2313">
        <v>180</v>
      </c>
      <c r="Q2313" t="s">
        <v>4958</v>
      </c>
    </row>
    <row r="2314" spans="1:17" x14ac:dyDescent="0.3">
      <c r="A2314" t="s">
        <v>47</v>
      </c>
      <c r="B2314" t="str">
        <f>"300435"</f>
        <v>300435</v>
      </c>
      <c r="C2314" t="s">
        <v>4959</v>
      </c>
      <c r="D2314" t="s">
        <v>476</v>
      </c>
      <c r="E2314">
        <v>4068916817</v>
      </c>
      <c r="F2314">
        <v>3545341937</v>
      </c>
      <c r="G2314">
        <v>2892056743</v>
      </c>
      <c r="H2314">
        <v>1514992786</v>
      </c>
      <c r="I2314">
        <v>1450134806</v>
      </c>
      <c r="J2314">
        <v>1162620901</v>
      </c>
      <c r="K2314">
        <v>1000752547</v>
      </c>
      <c r="L2314">
        <v>1077061562</v>
      </c>
      <c r="P2314">
        <v>111</v>
      </c>
      <c r="Q2314" t="s">
        <v>4960</v>
      </c>
    </row>
    <row r="2315" spans="1:17" x14ac:dyDescent="0.3">
      <c r="A2315" t="s">
        <v>17</v>
      </c>
      <c r="B2315" t="str">
        <f>"600159"</f>
        <v>600159</v>
      </c>
      <c r="C2315" t="s">
        <v>4961</v>
      </c>
      <c r="D2315" t="s">
        <v>76</v>
      </c>
      <c r="E2315">
        <v>4064916715</v>
      </c>
      <c r="F2315">
        <v>4311409975</v>
      </c>
      <c r="G2315">
        <v>4314526541</v>
      </c>
      <c r="H2315">
        <v>4095014891</v>
      </c>
      <c r="I2315">
        <v>3338760609</v>
      </c>
      <c r="J2315">
        <v>2977324005</v>
      </c>
      <c r="K2315">
        <v>2988328568</v>
      </c>
      <c r="L2315">
        <v>2784538391</v>
      </c>
      <c r="M2315">
        <v>3116893277</v>
      </c>
      <c r="N2315">
        <v>3384138533</v>
      </c>
      <c r="O2315">
        <v>2716538147</v>
      </c>
      <c r="P2315">
        <v>87</v>
      </c>
      <c r="Q2315" t="s">
        <v>4962</v>
      </c>
    </row>
    <row r="2316" spans="1:17" x14ac:dyDescent="0.3">
      <c r="A2316" t="s">
        <v>17</v>
      </c>
      <c r="B2316" t="str">
        <f>"603868"</f>
        <v>603868</v>
      </c>
      <c r="C2316" t="s">
        <v>4963</v>
      </c>
      <c r="D2316" t="s">
        <v>4964</v>
      </c>
      <c r="E2316">
        <v>4062640455</v>
      </c>
      <c r="F2316">
        <v>3724657788</v>
      </c>
      <c r="G2316">
        <v>3332784951</v>
      </c>
      <c r="H2316">
        <v>3510535053</v>
      </c>
      <c r="I2316">
        <v>3157067130</v>
      </c>
      <c r="J2316">
        <v>2827806003</v>
      </c>
      <c r="K2316">
        <v>1689210632</v>
      </c>
      <c r="P2316">
        <v>4435</v>
      </c>
      <c r="Q2316" t="s">
        <v>4965</v>
      </c>
    </row>
    <row r="2317" spans="1:17" x14ac:dyDescent="0.3">
      <c r="A2317" t="s">
        <v>47</v>
      </c>
      <c r="B2317" t="str">
        <f>"002706"</f>
        <v>002706</v>
      </c>
      <c r="C2317" t="s">
        <v>4966</v>
      </c>
      <c r="D2317" t="s">
        <v>562</v>
      </c>
      <c r="E2317">
        <v>4058521315</v>
      </c>
      <c r="F2317">
        <v>3680422477</v>
      </c>
      <c r="G2317">
        <v>2347987561</v>
      </c>
      <c r="H2317">
        <v>2139535660</v>
      </c>
      <c r="I2317">
        <v>2123840447</v>
      </c>
      <c r="J2317">
        <v>1911899396</v>
      </c>
      <c r="K2317">
        <v>1775625124</v>
      </c>
      <c r="L2317">
        <v>1063738263</v>
      </c>
      <c r="M2317">
        <v>1005180373</v>
      </c>
      <c r="P2317">
        <v>761</v>
      </c>
      <c r="Q2317" t="s">
        <v>4967</v>
      </c>
    </row>
    <row r="2318" spans="1:17" x14ac:dyDescent="0.3">
      <c r="A2318" t="s">
        <v>17</v>
      </c>
      <c r="B2318" t="str">
        <f>"600285"</f>
        <v>600285</v>
      </c>
      <c r="C2318" t="s">
        <v>4968</v>
      </c>
      <c r="D2318" t="s">
        <v>695</v>
      </c>
      <c r="E2318">
        <v>4055163362</v>
      </c>
      <c r="F2318">
        <v>3770058020</v>
      </c>
      <c r="G2318">
        <v>3517218018</v>
      </c>
      <c r="H2318">
        <v>3452358710</v>
      </c>
      <c r="I2318">
        <v>3511170075</v>
      </c>
      <c r="J2318">
        <v>3201286205</v>
      </c>
      <c r="K2318">
        <v>2616024267</v>
      </c>
      <c r="L2318">
        <v>2909671477</v>
      </c>
      <c r="M2318">
        <v>1721901213</v>
      </c>
      <c r="N2318">
        <v>1494574899</v>
      </c>
      <c r="O2318">
        <v>1248670224</v>
      </c>
      <c r="P2318">
        <v>606</v>
      </c>
      <c r="Q2318" t="s">
        <v>4969</v>
      </c>
    </row>
    <row r="2319" spans="1:17" x14ac:dyDescent="0.3">
      <c r="A2319" t="s">
        <v>47</v>
      </c>
      <c r="B2319" t="str">
        <f>"000973"</f>
        <v>000973</v>
      </c>
      <c r="C2319" t="s">
        <v>4970</v>
      </c>
      <c r="D2319" t="s">
        <v>2485</v>
      </c>
      <c r="E2319">
        <v>4050847049</v>
      </c>
      <c r="F2319">
        <v>3867861714</v>
      </c>
      <c r="G2319">
        <v>4218068877</v>
      </c>
      <c r="H2319">
        <v>5854553685</v>
      </c>
      <c r="I2319">
        <v>5532953591</v>
      </c>
      <c r="J2319">
        <v>4935116651</v>
      </c>
      <c r="K2319">
        <v>4811690636</v>
      </c>
      <c r="L2319">
        <v>5343162850</v>
      </c>
      <c r="M2319">
        <v>5009503600</v>
      </c>
      <c r="N2319">
        <v>4837232595</v>
      </c>
      <c r="O2319">
        <v>5035635002</v>
      </c>
      <c r="P2319">
        <v>123</v>
      </c>
      <c r="Q2319" t="s">
        <v>4971</v>
      </c>
    </row>
    <row r="2320" spans="1:17" x14ac:dyDescent="0.3">
      <c r="A2320" t="s">
        <v>47</v>
      </c>
      <c r="B2320" t="str">
        <f>"002516"</f>
        <v>002516</v>
      </c>
      <c r="C2320" t="s">
        <v>4972</v>
      </c>
      <c r="D2320" t="s">
        <v>416</v>
      </c>
      <c r="E2320">
        <v>4048730122</v>
      </c>
      <c r="F2320">
        <v>3986402178</v>
      </c>
      <c r="G2320">
        <v>4039949423</v>
      </c>
      <c r="H2320">
        <v>4298194106</v>
      </c>
      <c r="I2320">
        <v>4797458961</v>
      </c>
      <c r="J2320">
        <v>6806726635</v>
      </c>
      <c r="K2320">
        <v>6720520270</v>
      </c>
      <c r="L2320">
        <v>4764531210</v>
      </c>
      <c r="M2320">
        <v>2839690309</v>
      </c>
      <c r="N2320">
        <v>1996541859</v>
      </c>
      <c r="O2320">
        <v>1882190359</v>
      </c>
      <c r="P2320">
        <v>160</v>
      </c>
      <c r="Q2320" t="s">
        <v>4973</v>
      </c>
    </row>
    <row r="2321" spans="1:17" x14ac:dyDescent="0.3">
      <c r="A2321" t="s">
        <v>47</v>
      </c>
      <c r="B2321" t="str">
        <f>"300307"</f>
        <v>300307</v>
      </c>
      <c r="C2321" t="s">
        <v>4974</v>
      </c>
      <c r="D2321" t="s">
        <v>2603</v>
      </c>
      <c r="E2321">
        <v>4046718791</v>
      </c>
      <c r="F2321">
        <v>3749456410</v>
      </c>
      <c r="G2321">
        <v>3939437500</v>
      </c>
      <c r="H2321">
        <v>5613515205</v>
      </c>
      <c r="I2321">
        <v>5331815146</v>
      </c>
      <c r="J2321">
        <v>5016594969</v>
      </c>
      <c r="K2321">
        <v>4230450228</v>
      </c>
      <c r="L2321">
        <v>4300986182</v>
      </c>
      <c r="M2321">
        <v>4946840714</v>
      </c>
      <c r="N2321">
        <v>4800938591</v>
      </c>
      <c r="O2321">
        <v>5107830531</v>
      </c>
      <c r="P2321">
        <v>2981</v>
      </c>
      <c r="Q2321" t="s">
        <v>4975</v>
      </c>
    </row>
    <row r="2322" spans="1:17" x14ac:dyDescent="0.3">
      <c r="A2322" t="s">
        <v>17</v>
      </c>
      <c r="B2322" t="str">
        <f>"600448"</f>
        <v>600448</v>
      </c>
      <c r="C2322" t="s">
        <v>4976</v>
      </c>
      <c r="D2322" t="s">
        <v>2435</v>
      </c>
      <c r="E2322">
        <v>4044133066</v>
      </c>
      <c r="F2322">
        <v>3647480783</v>
      </c>
      <c r="G2322">
        <v>3491906273</v>
      </c>
      <c r="H2322">
        <v>3638932113</v>
      </c>
      <c r="I2322">
        <v>3484297147</v>
      </c>
      <c r="J2322">
        <v>2729876449</v>
      </c>
      <c r="K2322">
        <v>2473787335</v>
      </c>
      <c r="L2322">
        <v>2227646659</v>
      </c>
      <c r="M2322">
        <v>1973785547</v>
      </c>
      <c r="N2322">
        <v>1375969959</v>
      </c>
      <c r="O2322">
        <v>1415881394</v>
      </c>
      <c r="P2322">
        <v>97</v>
      </c>
      <c r="Q2322" t="s">
        <v>4977</v>
      </c>
    </row>
    <row r="2323" spans="1:17" x14ac:dyDescent="0.3">
      <c r="A2323" t="s">
        <v>17</v>
      </c>
      <c r="B2323" t="str">
        <f>"600211"</f>
        <v>600211</v>
      </c>
      <c r="C2323" t="s">
        <v>4978</v>
      </c>
      <c r="D2323" t="s">
        <v>695</v>
      </c>
      <c r="E2323">
        <v>4036144500</v>
      </c>
      <c r="F2323">
        <v>3228301233</v>
      </c>
      <c r="G2323">
        <v>2886409918</v>
      </c>
      <c r="H2323">
        <v>2647693273</v>
      </c>
      <c r="I2323">
        <v>2315615529</v>
      </c>
      <c r="J2323">
        <v>2272267180</v>
      </c>
      <c r="K2323">
        <v>725944684</v>
      </c>
      <c r="L2323">
        <v>1099915289</v>
      </c>
      <c r="M2323">
        <v>1125890228</v>
      </c>
      <c r="N2323">
        <v>870174204</v>
      </c>
      <c r="O2323">
        <v>802646916</v>
      </c>
      <c r="P2323">
        <v>530</v>
      </c>
      <c r="Q2323" t="s">
        <v>4979</v>
      </c>
    </row>
    <row r="2324" spans="1:17" x14ac:dyDescent="0.3">
      <c r="A2324" t="s">
        <v>47</v>
      </c>
      <c r="B2324" t="str">
        <f>"002122"</f>
        <v>002122</v>
      </c>
      <c r="C2324" t="s">
        <v>4980</v>
      </c>
      <c r="D2324" t="s">
        <v>401</v>
      </c>
      <c r="E2324">
        <v>4035301418</v>
      </c>
      <c r="F2324">
        <v>4338314590</v>
      </c>
      <c r="G2324">
        <v>4764467874</v>
      </c>
      <c r="H2324">
        <v>7676738753</v>
      </c>
      <c r="I2324">
        <v>8769575584</v>
      </c>
      <c r="J2324">
        <v>6707868392</v>
      </c>
      <c r="K2324">
        <v>7521448584</v>
      </c>
      <c r="L2324">
        <v>7444165262</v>
      </c>
      <c r="M2324">
        <v>7539883951</v>
      </c>
      <c r="N2324">
        <v>7147086510</v>
      </c>
      <c r="O2324">
        <v>7032857487</v>
      </c>
      <c r="P2324">
        <v>69</v>
      </c>
      <c r="Q2324" t="s">
        <v>4981</v>
      </c>
    </row>
    <row r="2325" spans="1:17" x14ac:dyDescent="0.3">
      <c r="A2325" t="s">
        <v>17</v>
      </c>
      <c r="B2325" t="str">
        <f>"603889"</f>
        <v>603889</v>
      </c>
      <c r="C2325" t="s">
        <v>4982</v>
      </c>
      <c r="D2325" t="s">
        <v>3463</v>
      </c>
      <c r="E2325">
        <v>4030672827</v>
      </c>
      <c r="F2325">
        <v>3418105312</v>
      </c>
      <c r="G2325">
        <v>3299626106</v>
      </c>
      <c r="H2325">
        <v>3166752419</v>
      </c>
      <c r="I2325">
        <v>2698795242</v>
      </c>
      <c r="J2325">
        <v>2084460609</v>
      </c>
      <c r="K2325">
        <v>1469677778</v>
      </c>
      <c r="L2325">
        <v>1429866735</v>
      </c>
      <c r="P2325">
        <v>121</v>
      </c>
      <c r="Q2325" t="s">
        <v>4983</v>
      </c>
    </row>
    <row r="2326" spans="1:17" x14ac:dyDescent="0.3">
      <c r="A2326" t="s">
        <v>17</v>
      </c>
      <c r="B2326" t="str">
        <f>"603187"</f>
        <v>603187</v>
      </c>
      <c r="C2326" t="s">
        <v>4984</v>
      </c>
      <c r="D2326" t="s">
        <v>2730</v>
      </c>
      <c r="E2326">
        <v>4029713546</v>
      </c>
      <c r="F2326">
        <v>3431462657</v>
      </c>
      <c r="G2326">
        <v>2342703563</v>
      </c>
      <c r="H2326">
        <v>2068323640</v>
      </c>
      <c r="P2326">
        <v>704</v>
      </c>
      <c r="Q2326" t="s">
        <v>4985</v>
      </c>
    </row>
    <row r="2327" spans="1:17" x14ac:dyDescent="0.3">
      <c r="A2327" t="s">
        <v>17</v>
      </c>
      <c r="B2327" t="str">
        <f>"605268"</f>
        <v>605268</v>
      </c>
      <c r="C2327" t="s">
        <v>4986</v>
      </c>
      <c r="D2327" t="s">
        <v>1505</v>
      </c>
      <c r="E2327">
        <v>4025305908</v>
      </c>
      <c r="F2327">
        <v>3114555342</v>
      </c>
      <c r="P2327">
        <v>60</v>
      </c>
      <c r="Q2327" t="s">
        <v>4987</v>
      </c>
    </row>
    <row r="2328" spans="1:17" x14ac:dyDescent="0.3">
      <c r="A2328" t="s">
        <v>47</v>
      </c>
      <c r="B2328" t="str">
        <f>"000153"</f>
        <v>000153</v>
      </c>
      <c r="C2328" t="s">
        <v>4988</v>
      </c>
      <c r="D2328" t="s">
        <v>550</v>
      </c>
      <c r="E2328">
        <v>4024285152</v>
      </c>
      <c r="F2328">
        <v>3784011804</v>
      </c>
      <c r="G2328">
        <v>3632936884</v>
      </c>
      <c r="H2328">
        <v>3094692167</v>
      </c>
      <c r="I2328">
        <v>2816793334</v>
      </c>
      <c r="J2328">
        <v>2577723724</v>
      </c>
      <c r="K2328">
        <v>2445648836</v>
      </c>
      <c r="L2328">
        <v>2250721838</v>
      </c>
      <c r="M2328">
        <v>2072341216</v>
      </c>
      <c r="N2328">
        <v>1801494079</v>
      </c>
      <c r="O2328">
        <v>1348050504</v>
      </c>
      <c r="P2328">
        <v>118</v>
      </c>
      <c r="Q2328" t="s">
        <v>4989</v>
      </c>
    </row>
    <row r="2329" spans="1:17" x14ac:dyDescent="0.3">
      <c r="A2329" t="s">
        <v>47</v>
      </c>
      <c r="B2329" t="str">
        <f>"002661"</f>
        <v>002661</v>
      </c>
      <c r="C2329" t="s">
        <v>4990</v>
      </c>
      <c r="D2329" t="s">
        <v>1708</v>
      </c>
      <c r="E2329">
        <v>4024259761</v>
      </c>
      <c r="F2329">
        <v>3616252135</v>
      </c>
      <c r="G2329">
        <v>4845528039</v>
      </c>
      <c r="H2329">
        <v>4235958555</v>
      </c>
      <c r="I2329">
        <v>2874276259</v>
      </c>
      <c r="J2329">
        <v>2702732933</v>
      </c>
      <c r="K2329">
        <v>2447890589</v>
      </c>
      <c r="L2329">
        <v>1098746884</v>
      </c>
      <c r="M2329">
        <v>992911829</v>
      </c>
      <c r="N2329">
        <v>872699344</v>
      </c>
      <c r="O2329">
        <v>870039211</v>
      </c>
      <c r="P2329">
        <v>511</v>
      </c>
      <c r="Q2329" t="s">
        <v>4991</v>
      </c>
    </row>
    <row r="2330" spans="1:17" x14ac:dyDescent="0.3">
      <c r="A2330" t="s">
        <v>47</v>
      </c>
      <c r="B2330" t="str">
        <f>"000831"</f>
        <v>000831</v>
      </c>
      <c r="C2330" t="s">
        <v>4992</v>
      </c>
      <c r="D2330" t="s">
        <v>1148</v>
      </c>
      <c r="E2330">
        <v>4024065532</v>
      </c>
      <c r="F2330">
        <v>3491937788</v>
      </c>
      <c r="G2330">
        <v>2753404139</v>
      </c>
      <c r="H2330">
        <v>2622889648</v>
      </c>
      <c r="I2330">
        <v>2204689406</v>
      </c>
      <c r="J2330">
        <v>2154166424</v>
      </c>
      <c r="K2330">
        <v>2225509682</v>
      </c>
      <c r="L2330">
        <v>2636665840</v>
      </c>
      <c r="M2330">
        <v>2735459444</v>
      </c>
      <c r="N2330">
        <v>2402749343</v>
      </c>
      <c r="O2330">
        <v>1884084856</v>
      </c>
      <c r="P2330">
        <v>458</v>
      </c>
      <c r="Q2330" t="s">
        <v>4993</v>
      </c>
    </row>
    <row r="2331" spans="1:17" x14ac:dyDescent="0.3">
      <c r="A2331" t="s">
        <v>47</v>
      </c>
      <c r="B2331" t="str">
        <f>"300276"</f>
        <v>300276</v>
      </c>
      <c r="C2331" t="s">
        <v>4994</v>
      </c>
      <c r="D2331" t="s">
        <v>2592</v>
      </c>
      <c r="E2331">
        <v>4022881130</v>
      </c>
      <c r="F2331">
        <v>4032595115</v>
      </c>
      <c r="G2331">
        <v>5194661507</v>
      </c>
      <c r="H2331">
        <v>4988445726</v>
      </c>
      <c r="I2331">
        <v>4683604518</v>
      </c>
      <c r="J2331">
        <v>946287053</v>
      </c>
      <c r="K2331">
        <v>901858380</v>
      </c>
      <c r="L2331">
        <v>806361073</v>
      </c>
      <c r="M2331">
        <v>761365312</v>
      </c>
      <c r="N2331">
        <v>712881530</v>
      </c>
      <c r="O2331">
        <v>672394114</v>
      </c>
      <c r="P2331">
        <v>138</v>
      </c>
      <c r="Q2331" t="s">
        <v>4995</v>
      </c>
    </row>
    <row r="2332" spans="1:17" x14ac:dyDescent="0.3">
      <c r="A2332" t="s">
        <v>17</v>
      </c>
      <c r="B2332" t="str">
        <f>"600338"</f>
        <v>600338</v>
      </c>
      <c r="C2332" t="s">
        <v>4996</v>
      </c>
      <c r="D2332" t="s">
        <v>1299</v>
      </c>
      <c r="E2332">
        <v>4022343636</v>
      </c>
      <c r="F2332">
        <v>3826363883</v>
      </c>
      <c r="G2332">
        <v>4248632415</v>
      </c>
      <c r="H2332">
        <v>4713181030</v>
      </c>
      <c r="I2332">
        <v>4003799860</v>
      </c>
      <c r="J2332">
        <v>2096741503</v>
      </c>
      <c r="K2332">
        <v>1299768188</v>
      </c>
      <c r="L2332">
        <v>507455549</v>
      </c>
      <c r="M2332">
        <v>574562125</v>
      </c>
      <c r="N2332">
        <v>567792706</v>
      </c>
      <c r="O2332">
        <v>448503976</v>
      </c>
      <c r="P2332">
        <v>4533</v>
      </c>
      <c r="Q2332" t="s">
        <v>4997</v>
      </c>
    </row>
    <row r="2333" spans="1:17" x14ac:dyDescent="0.3">
      <c r="A2333" t="s">
        <v>47</v>
      </c>
      <c r="B2333" t="str">
        <f>"300672"</f>
        <v>300672</v>
      </c>
      <c r="C2333" t="s">
        <v>4998</v>
      </c>
      <c r="D2333" t="s">
        <v>967</v>
      </c>
      <c r="E2333">
        <v>4020120410</v>
      </c>
      <c r="F2333">
        <v>2895926814</v>
      </c>
      <c r="G2333">
        <v>1830698094</v>
      </c>
      <c r="H2333">
        <v>1434205934</v>
      </c>
      <c r="I2333">
        <v>954795408</v>
      </c>
      <c r="J2333">
        <v>740810388</v>
      </c>
      <c r="P2333">
        <v>305</v>
      </c>
      <c r="Q2333" t="s">
        <v>4999</v>
      </c>
    </row>
    <row r="2334" spans="1:17" x14ac:dyDescent="0.3">
      <c r="A2334" t="s">
        <v>47</v>
      </c>
      <c r="B2334" t="str">
        <f>"000615"</f>
        <v>000615</v>
      </c>
      <c r="C2334" t="s">
        <v>5000</v>
      </c>
      <c r="D2334" t="s">
        <v>5001</v>
      </c>
      <c r="E2334">
        <v>4012831004</v>
      </c>
      <c r="F2334">
        <v>9268119057</v>
      </c>
      <c r="G2334">
        <v>9711242332</v>
      </c>
      <c r="H2334">
        <v>12564599979</v>
      </c>
      <c r="I2334">
        <v>9742346024</v>
      </c>
      <c r="J2334">
        <v>6660556678</v>
      </c>
      <c r="K2334">
        <v>7142249132</v>
      </c>
      <c r="L2334">
        <v>1271852464</v>
      </c>
      <c r="M2334">
        <v>1309445712</v>
      </c>
      <c r="N2334">
        <v>1528504529</v>
      </c>
      <c r="O2334">
        <v>1216697619</v>
      </c>
      <c r="P2334">
        <v>188</v>
      </c>
      <c r="Q2334" t="s">
        <v>5002</v>
      </c>
    </row>
    <row r="2335" spans="1:17" x14ac:dyDescent="0.3">
      <c r="A2335" t="s">
        <v>17</v>
      </c>
      <c r="B2335" t="str">
        <f>"688596"</f>
        <v>688596</v>
      </c>
      <c r="C2335" t="s">
        <v>5003</v>
      </c>
      <c r="D2335" t="s">
        <v>1973</v>
      </c>
      <c r="E2335">
        <v>4011781308</v>
      </c>
      <c r="F2335">
        <v>2941797224</v>
      </c>
      <c r="G2335">
        <v>1657967393</v>
      </c>
      <c r="P2335">
        <v>61</v>
      </c>
      <c r="Q2335" t="s">
        <v>5004</v>
      </c>
    </row>
    <row r="2336" spans="1:17" x14ac:dyDescent="0.3">
      <c r="A2336" t="s">
        <v>17</v>
      </c>
      <c r="B2336" t="str">
        <f>"603919"</f>
        <v>603919</v>
      </c>
      <c r="C2336" t="s">
        <v>5005</v>
      </c>
      <c r="D2336" t="s">
        <v>286</v>
      </c>
      <c r="E2336">
        <v>4009305166</v>
      </c>
      <c r="F2336">
        <v>3440925348</v>
      </c>
      <c r="G2336">
        <v>3021072181</v>
      </c>
      <c r="H2336">
        <v>2771327331</v>
      </c>
      <c r="I2336">
        <v>2377604741</v>
      </c>
      <c r="J2336">
        <v>2172923436</v>
      </c>
      <c r="K2336">
        <v>2262230700</v>
      </c>
      <c r="P2336">
        <v>446</v>
      </c>
      <c r="Q2336" t="s">
        <v>5006</v>
      </c>
    </row>
    <row r="2337" spans="1:17" x14ac:dyDescent="0.3">
      <c r="A2337" t="s">
        <v>17</v>
      </c>
      <c r="B2337" t="str">
        <f>"605011"</f>
        <v>605011</v>
      </c>
      <c r="C2337" t="s">
        <v>5007</v>
      </c>
      <c r="D2337" t="s">
        <v>1293</v>
      </c>
      <c r="E2337">
        <v>4007979902</v>
      </c>
      <c r="F2337">
        <v>3484121485</v>
      </c>
      <c r="P2337">
        <v>27</v>
      </c>
      <c r="Q2337" t="s">
        <v>5008</v>
      </c>
    </row>
    <row r="2338" spans="1:17" x14ac:dyDescent="0.3">
      <c r="A2338" t="s">
        <v>47</v>
      </c>
      <c r="B2338" t="str">
        <f>"002590"</f>
        <v>002590</v>
      </c>
      <c r="C2338" t="s">
        <v>5009</v>
      </c>
      <c r="D2338" t="s">
        <v>274</v>
      </c>
      <c r="E2338">
        <v>4007928256</v>
      </c>
      <c r="F2338">
        <v>3701468658</v>
      </c>
      <c r="G2338">
        <v>3517081302</v>
      </c>
      <c r="H2338">
        <v>3467923022</v>
      </c>
      <c r="I2338">
        <v>3594846158</v>
      </c>
      <c r="J2338">
        <v>3360980158</v>
      </c>
      <c r="K2338">
        <v>2983562045</v>
      </c>
      <c r="L2338">
        <v>1881732500</v>
      </c>
      <c r="M2338">
        <v>1874746532</v>
      </c>
      <c r="N2338">
        <v>1670353396</v>
      </c>
      <c r="O2338">
        <v>1601224171</v>
      </c>
      <c r="P2338">
        <v>119</v>
      </c>
      <c r="Q2338" t="s">
        <v>5010</v>
      </c>
    </row>
    <row r="2339" spans="1:17" x14ac:dyDescent="0.3">
      <c r="A2339" t="s">
        <v>47</v>
      </c>
      <c r="B2339" t="str">
        <f>"000779"</f>
        <v>000779</v>
      </c>
      <c r="C2339" t="s">
        <v>5011</v>
      </c>
      <c r="D2339" t="s">
        <v>2178</v>
      </c>
      <c r="E2339">
        <v>4006197368</v>
      </c>
      <c r="F2339">
        <v>3552872592</v>
      </c>
      <c r="G2339">
        <v>3138303872</v>
      </c>
      <c r="H2339">
        <v>3325080896</v>
      </c>
      <c r="I2339">
        <v>626686710</v>
      </c>
      <c r="J2339">
        <v>727374240</v>
      </c>
      <c r="K2339">
        <v>684311528</v>
      </c>
      <c r="L2339">
        <v>699942929</v>
      </c>
      <c r="M2339">
        <v>421433607</v>
      </c>
      <c r="N2339">
        <v>404741467</v>
      </c>
      <c r="O2339">
        <v>420752621</v>
      </c>
      <c r="P2339">
        <v>165</v>
      </c>
      <c r="Q2339" t="s">
        <v>5012</v>
      </c>
    </row>
    <row r="2340" spans="1:17" x14ac:dyDescent="0.3">
      <c r="A2340" t="s">
        <v>47</v>
      </c>
      <c r="B2340" t="str">
        <f>"002889"</f>
        <v>002889</v>
      </c>
      <c r="C2340" t="s">
        <v>5013</v>
      </c>
      <c r="D2340" t="s">
        <v>939</v>
      </c>
      <c r="E2340">
        <v>4004723781</v>
      </c>
      <c r="F2340">
        <v>4464798549</v>
      </c>
      <c r="G2340">
        <v>11995357838</v>
      </c>
      <c r="H2340">
        <v>7703400668</v>
      </c>
      <c r="I2340">
        <v>6268355536</v>
      </c>
      <c r="J2340">
        <v>8117148900</v>
      </c>
      <c r="P2340">
        <v>123</v>
      </c>
      <c r="Q2340" t="s">
        <v>5014</v>
      </c>
    </row>
    <row r="2341" spans="1:17" x14ac:dyDescent="0.3">
      <c r="A2341" t="s">
        <v>47</v>
      </c>
      <c r="B2341" t="str">
        <f>"300261"</f>
        <v>300261</v>
      </c>
      <c r="C2341" t="s">
        <v>5015</v>
      </c>
      <c r="D2341" t="s">
        <v>819</v>
      </c>
      <c r="E2341">
        <v>3990782526</v>
      </c>
      <c r="F2341">
        <v>4098665889</v>
      </c>
      <c r="G2341">
        <v>3620444482</v>
      </c>
      <c r="H2341">
        <v>3566308638</v>
      </c>
      <c r="I2341">
        <v>3650596080</v>
      </c>
      <c r="J2341">
        <v>1981268850</v>
      </c>
      <c r="K2341">
        <v>1939478288</v>
      </c>
      <c r="L2341">
        <v>1457567828</v>
      </c>
      <c r="M2341">
        <v>1077450393</v>
      </c>
      <c r="N2341">
        <v>725305993</v>
      </c>
      <c r="O2341">
        <v>644706912</v>
      </c>
      <c r="P2341">
        <v>139</v>
      </c>
      <c r="Q2341" t="s">
        <v>5016</v>
      </c>
    </row>
    <row r="2342" spans="1:17" x14ac:dyDescent="0.3">
      <c r="A2342" t="s">
        <v>17</v>
      </c>
      <c r="B2342" t="str">
        <f>"603855"</f>
        <v>603855</v>
      </c>
      <c r="C2342" t="s">
        <v>5017</v>
      </c>
      <c r="D2342" t="s">
        <v>1973</v>
      </c>
      <c r="E2342">
        <v>3988313837</v>
      </c>
      <c r="F2342">
        <v>3369695208</v>
      </c>
      <c r="G2342">
        <v>2835346018</v>
      </c>
      <c r="H2342">
        <v>2492066367</v>
      </c>
      <c r="I2342">
        <v>2243464026</v>
      </c>
      <c r="J2342">
        <v>1733978628</v>
      </c>
      <c r="P2342">
        <v>220</v>
      </c>
      <c r="Q2342" t="s">
        <v>5018</v>
      </c>
    </row>
    <row r="2343" spans="1:17" x14ac:dyDescent="0.3">
      <c r="A2343" t="s">
        <v>17</v>
      </c>
      <c r="B2343" t="str">
        <f>"603558"</f>
        <v>603558</v>
      </c>
      <c r="C2343" t="s">
        <v>5019</v>
      </c>
      <c r="D2343" t="s">
        <v>1682</v>
      </c>
      <c r="E2343">
        <v>3980639729</v>
      </c>
      <c r="F2343">
        <v>3522248270</v>
      </c>
      <c r="G2343">
        <v>3799750405</v>
      </c>
      <c r="H2343">
        <v>3537440262</v>
      </c>
      <c r="I2343">
        <v>3268978371</v>
      </c>
      <c r="J2343">
        <v>2314459286</v>
      </c>
      <c r="K2343">
        <v>2314300058</v>
      </c>
      <c r="L2343">
        <v>1079339450</v>
      </c>
      <c r="P2343">
        <v>136</v>
      </c>
      <c r="Q2343" t="s">
        <v>5020</v>
      </c>
    </row>
    <row r="2344" spans="1:17" x14ac:dyDescent="0.3">
      <c r="A2344" t="s">
        <v>47</v>
      </c>
      <c r="B2344" t="str">
        <f>"300723"</f>
        <v>300723</v>
      </c>
      <c r="C2344" t="s">
        <v>5021</v>
      </c>
      <c r="D2344" t="s">
        <v>550</v>
      </c>
      <c r="E2344">
        <v>3980505214</v>
      </c>
      <c r="F2344">
        <v>2600429272</v>
      </c>
      <c r="G2344">
        <v>1967718195</v>
      </c>
      <c r="H2344">
        <v>1568552343</v>
      </c>
      <c r="I2344">
        <v>1675027322</v>
      </c>
      <c r="P2344">
        <v>222</v>
      </c>
      <c r="Q2344" t="s">
        <v>5022</v>
      </c>
    </row>
    <row r="2345" spans="1:17" x14ac:dyDescent="0.3">
      <c r="A2345" t="s">
        <v>17</v>
      </c>
      <c r="B2345" t="str">
        <f>"603992"</f>
        <v>603992</v>
      </c>
      <c r="C2345" t="s">
        <v>5023</v>
      </c>
      <c r="D2345" t="s">
        <v>3842</v>
      </c>
      <c r="E2345">
        <v>3978691893</v>
      </c>
      <c r="F2345">
        <v>2803756390</v>
      </c>
      <c r="G2345">
        <v>2246577884</v>
      </c>
      <c r="H2345">
        <v>1541279500</v>
      </c>
      <c r="P2345">
        <v>120</v>
      </c>
      <c r="Q2345" t="s">
        <v>5024</v>
      </c>
    </row>
    <row r="2346" spans="1:17" x14ac:dyDescent="0.3">
      <c r="A2346" t="s">
        <v>47</v>
      </c>
      <c r="B2346" t="str">
        <f>"001313"</f>
        <v>001313</v>
      </c>
      <c r="C2346" t="s">
        <v>5025</v>
      </c>
      <c r="E2346">
        <v>3978409399</v>
      </c>
      <c r="P2346">
        <v>10</v>
      </c>
      <c r="Q2346" t="s">
        <v>5026</v>
      </c>
    </row>
    <row r="2347" spans="1:17" x14ac:dyDescent="0.3">
      <c r="A2347" t="s">
        <v>17</v>
      </c>
      <c r="B2347" t="str">
        <f>"600290"</f>
        <v>600290</v>
      </c>
      <c r="C2347" t="s">
        <v>5027</v>
      </c>
      <c r="D2347" t="s">
        <v>562</v>
      </c>
      <c r="E2347">
        <v>3977970374</v>
      </c>
      <c r="F2347">
        <v>4396061248</v>
      </c>
      <c r="G2347">
        <v>4788926651</v>
      </c>
      <c r="H2347">
        <v>7054048761</v>
      </c>
      <c r="I2347">
        <v>7379116055</v>
      </c>
      <c r="J2347">
        <v>6640958887</v>
      </c>
      <c r="K2347">
        <v>7406231587</v>
      </c>
      <c r="L2347">
        <v>4946910735</v>
      </c>
      <c r="M2347">
        <v>4489103888</v>
      </c>
      <c r="N2347">
        <v>3595450585</v>
      </c>
      <c r="O2347">
        <v>4018306481</v>
      </c>
      <c r="P2347">
        <v>68</v>
      </c>
      <c r="Q2347" t="s">
        <v>5028</v>
      </c>
    </row>
    <row r="2348" spans="1:17" x14ac:dyDescent="0.3">
      <c r="A2348" t="s">
        <v>47</v>
      </c>
      <c r="B2348" t="str">
        <f>"300368"</f>
        <v>300368</v>
      </c>
      <c r="C2348" t="s">
        <v>5029</v>
      </c>
      <c r="D2348" t="s">
        <v>765</v>
      </c>
      <c r="E2348">
        <v>3969912581</v>
      </c>
      <c r="F2348">
        <v>3629510762</v>
      </c>
      <c r="G2348">
        <v>2341335500</v>
      </c>
      <c r="H2348">
        <v>1497953385</v>
      </c>
      <c r="I2348">
        <v>1967611490</v>
      </c>
      <c r="J2348">
        <v>1634261923</v>
      </c>
      <c r="K2348">
        <v>1486483872</v>
      </c>
      <c r="L2348">
        <v>791667883</v>
      </c>
      <c r="M2348">
        <v>573654262</v>
      </c>
      <c r="P2348">
        <v>119</v>
      </c>
      <c r="Q2348" t="s">
        <v>5030</v>
      </c>
    </row>
    <row r="2349" spans="1:17" x14ac:dyDescent="0.3">
      <c r="A2349" t="s">
        <v>47</v>
      </c>
      <c r="B2349" t="str">
        <f>"300860"</f>
        <v>300860</v>
      </c>
      <c r="C2349" t="s">
        <v>5031</v>
      </c>
      <c r="D2349" t="s">
        <v>4441</v>
      </c>
      <c r="E2349">
        <v>3968492980</v>
      </c>
      <c r="F2349">
        <v>3548371200</v>
      </c>
      <c r="P2349">
        <v>95</v>
      </c>
      <c r="Q2349" t="s">
        <v>5032</v>
      </c>
    </row>
    <row r="2350" spans="1:17" x14ac:dyDescent="0.3">
      <c r="A2350" t="s">
        <v>17</v>
      </c>
      <c r="B2350" t="str">
        <f>"601218"</f>
        <v>601218</v>
      </c>
      <c r="C2350" t="s">
        <v>5033</v>
      </c>
      <c r="D2350" t="s">
        <v>2013</v>
      </c>
      <c r="E2350">
        <v>3967790773</v>
      </c>
      <c r="F2350">
        <v>3992299625</v>
      </c>
      <c r="G2350">
        <v>4459813246</v>
      </c>
      <c r="H2350">
        <v>4822887413</v>
      </c>
      <c r="I2350">
        <v>4134333075</v>
      </c>
      <c r="J2350">
        <v>3822319211</v>
      </c>
      <c r="K2350">
        <v>3920749694</v>
      </c>
      <c r="L2350">
        <v>3805015618</v>
      </c>
      <c r="M2350">
        <v>3653206677</v>
      </c>
      <c r="N2350">
        <v>3770167523</v>
      </c>
      <c r="O2350">
        <v>3769323835</v>
      </c>
      <c r="P2350">
        <v>146</v>
      </c>
      <c r="Q2350" t="s">
        <v>5034</v>
      </c>
    </row>
    <row r="2351" spans="1:17" x14ac:dyDescent="0.3">
      <c r="A2351" t="s">
        <v>47</v>
      </c>
      <c r="B2351" t="str">
        <f>"002535"</f>
        <v>002535</v>
      </c>
      <c r="C2351" t="s">
        <v>5035</v>
      </c>
      <c r="D2351" t="s">
        <v>607</v>
      </c>
      <c r="E2351">
        <v>3967571429</v>
      </c>
      <c r="F2351">
        <v>4571969181</v>
      </c>
      <c r="G2351">
        <v>4911034329</v>
      </c>
      <c r="H2351">
        <v>8250265290</v>
      </c>
      <c r="I2351">
        <v>7801725333</v>
      </c>
      <c r="J2351">
        <v>6873968612</v>
      </c>
      <c r="K2351">
        <v>6796571241</v>
      </c>
      <c r="L2351">
        <v>6750441421</v>
      </c>
      <c r="M2351">
        <v>5377320619</v>
      </c>
      <c r="N2351">
        <v>4717026736</v>
      </c>
      <c r="O2351">
        <v>2971754895</v>
      </c>
      <c r="P2351">
        <v>89</v>
      </c>
      <c r="Q2351" t="s">
        <v>5036</v>
      </c>
    </row>
    <row r="2352" spans="1:17" x14ac:dyDescent="0.3">
      <c r="A2352" t="s">
        <v>17</v>
      </c>
      <c r="B2352" t="str">
        <f>"601996"</f>
        <v>601996</v>
      </c>
      <c r="C2352" t="s">
        <v>5037</v>
      </c>
      <c r="D2352" t="s">
        <v>2406</v>
      </c>
      <c r="E2352">
        <v>3962994298</v>
      </c>
      <c r="F2352">
        <v>3803668810</v>
      </c>
      <c r="G2352">
        <v>3760842945</v>
      </c>
      <c r="H2352">
        <v>3711898989</v>
      </c>
      <c r="I2352">
        <v>2466620500</v>
      </c>
      <c r="J2352">
        <v>2263766783</v>
      </c>
      <c r="K2352">
        <v>2154983834</v>
      </c>
      <c r="L2352">
        <v>1972495127</v>
      </c>
      <c r="M2352">
        <v>1916956003</v>
      </c>
      <c r="N2352">
        <v>1674670286</v>
      </c>
      <c r="O2352">
        <v>1651597176</v>
      </c>
      <c r="P2352">
        <v>143</v>
      </c>
      <c r="Q2352" t="s">
        <v>5038</v>
      </c>
    </row>
    <row r="2353" spans="1:17" x14ac:dyDescent="0.3">
      <c r="A2353" t="s">
        <v>47</v>
      </c>
      <c r="B2353" t="str">
        <f>"002769"</f>
        <v>002769</v>
      </c>
      <c r="C2353" t="s">
        <v>5039</v>
      </c>
      <c r="D2353" t="s">
        <v>939</v>
      </c>
      <c r="E2353">
        <v>3960647554</v>
      </c>
      <c r="F2353">
        <v>5473958205</v>
      </c>
      <c r="G2353">
        <v>7541360129</v>
      </c>
      <c r="H2353">
        <v>7372726666</v>
      </c>
      <c r="I2353">
        <v>15384142741</v>
      </c>
      <c r="J2353">
        <v>12519314023</v>
      </c>
      <c r="K2353">
        <v>29484028843</v>
      </c>
      <c r="L2353">
        <v>18833553800</v>
      </c>
      <c r="P2353">
        <v>96</v>
      </c>
      <c r="Q2353" t="s">
        <v>5040</v>
      </c>
    </row>
    <row r="2354" spans="1:17" x14ac:dyDescent="0.3">
      <c r="A2354" t="s">
        <v>17</v>
      </c>
      <c r="B2354" t="str">
        <f>"600293"</f>
        <v>600293</v>
      </c>
      <c r="C2354" t="s">
        <v>5041</v>
      </c>
      <c r="D2354" t="s">
        <v>1635</v>
      </c>
      <c r="E2354">
        <v>3952767006</v>
      </c>
      <c r="F2354">
        <v>4669482429</v>
      </c>
      <c r="G2354">
        <v>6967043874</v>
      </c>
      <c r="H2354">
        <v>7320112381</v>
      </c>
      <c r="I2354">
        <v>7458233899</v>
      </c>
      <c r="J2354">
        <v>6756053616</v>
      </c>
      <c r="K2354">
        <v>2598328630</v>
      </c>
      <c r="L2354">
        <v>2577076758</v>
      </c>
      <c r="M2354">
        <v>2678661408</v>
      </c>
      <c r="N2354">
        <v>2947708121</v>
      </c>
      <c r="O2354">
        <v>2589892644</v>
      </c>
      <c r="P2354">
        <v>126</v>
      </c>
      <c r="Q2354" t="s">
        <v>5042</v>
      </c>
    </row>
    <row r="2355" spans="1:17" x14ac:dyDescent="0.3">
      <c r="A2355" t="s">
        <v>17</v>
      </c>
      <c r="B2355" t="str">
        <f>"688330"</f>
        <v>688330</v>
      </c>
      <c r="C2355" t="s">
        <v>5043</v>
      </c>
      <c r="D2355" t="s">
        <v>679</v>
      </c>
      <c r="E2355">
        <v>3946769319</v>
      </c>
      <c r="F2355">
        <v>3362950315</v>
      </c>
      <c r="P2355">
        <v>90</v>
      </c>
      <c r="Q2355" t="s">
        <v>5044</v>
      </c>
    </row>
    <row r="2356" spans="1:17" x14ac:dyDescent="0.3">
      <c r="A2356" t="s">
        <v>17</v>
      </c>
      <c r="B2356" t="str">
        <f>"603020"</f>
        <v>603020</v>
      </c>
      <c r="C2356" t="s">
        <v>5045</v>
      </c>
      <c r="D2356" t="s">
        <v>1699</v>
      </c>
      <c r="E2356">
        <v>3946447695</v>
      </c>
      <c r="F2356">
        <v>2955670200</v>
      </c>
      <c r="G2356">
        <v>2652292177</v>
      </c>
      <c r="H2356">
        <v>2417665784</v>
      </c>
      <c r="I2356">
        <v>2265154011</v>
      </c>
      <c r="J2356">
        <v>2126553111</v>
      </c>
      <c r="K2356">
        <v>2104525096</v>
      </c>
      <c r="L2356">
        <v>1937754591</v>
      </c>
      <c r="P2356">
        <v>195</v>
      </c>
      <c r="Q2356" t="s">
        <v>5046</v>
      </c>
    </row>
    <row r="2357" spans="1:17" x14ac:dyDescent="0.3">
      <c r="A2357" t="s">
        <v>47</v>
      </c>
      <c r="B2357" t="str">
        <f>"002446"</f>
        <v>002446</v>
      </c>
      <c r="C2357" t="s">
        <v>5047</v>
      </c>
      <c r="D2357" t="s">
        <v>1385</v>
      </c>
      <c r="E2357">
        <v>3945414735</v>
      </c>
      <c r="F2357">
        <v>3883341270</v>
      </c>
      <c r="G2357">
        <v>4374917920</v>
      </c>
      <c r="H2357">
        <v>5296495057</v>
      </c>
      <c r="I2357">
        <v>3521257117</v>
      </c>
      <c r="J2357">
        <v>3213936309</v>
      </c>
      <c r="K2357">
        <v>2948583989</v>
      </c>
      <c r="L2357">
        <v>1541412761</v>
      </c>
      <c r="M2357">
        <v>835753873</v>
      </c>
      <c r="N2357">
        <v>811774782</v>
      </c>
      <c r="O2357">
        <v>822981724</v>
      </c>
      <c r="P2357">
        <v>371</v>
      </c>
      <c r="Q2357" t="s">
        <v>5048</v>
      </c>
    </row>
    <row r="2358" spans="1:17" x14ac:dyDescent="0.3">
      <c r="A2358" t="s">
        <v>17</v>
      </c>
      <c r="B2358" t="str">
        <f>"600260"</f>
        <v>600260</v>
      </c>
      <c r="C2358" t="s">
        <v>5049</v>
      </c>
      <c r="D2358" t="s">
        <v>4914</v>
      </c>
      <c r="E2358">
        <v>3945228710</v>
      </c>
      <c r="F2358">
        <v>12528230785</v>
      </c>
      <c r="G2358">
        <v>13501770791</v>
      </c>
      <c r="H2358">
        <v>18940796377</v>
      </c>
      <c r="I2358">
        <v>19591775488</v>
      </c>
      <c r="J2358">
        <v>15166217276</v>
      </c>
      <c r="K2358">
        <v>8140848978</v>
      </c>
      <c r="L2358">
        <v>5594825958</v>
      </c>
      <c r="M2358">
        <v>5374651083</v>
      </c>
      <c r="N2358">
        <v>5409859721</v>
      </c>
      <c r="O2358">
        <v>4423019196</v>
      </c>
      <c r="P2358">
        <v>467</v>
      </c>
      <c r="Q2358" t="s">
        <v>5050</v>
      </c>
    </row>
    <row r="2359" spans="1:17" x14ac:dyDescent="0.3">
      <c r="A2359" t="s">
        <v>47</v>
      </c>
      <c r="B2359" t="str">
        <f>"002282"</f>
        <v>002282</v>
      </c>
      <c r="C2359" t="s">
        <v>5051</v>
      </c>
      <c r="D2359" t="s">
        <v>2646</v>
      </c>
      <c r="E2359">
        <v>3944933328</v>
      </c>
      <c r="F2359">
        <v>3917033269</v>
      </c>
      <c r="G2359">
        <v>2713431396</v>
      </c>
      <c r="H2359">
        <v>2668937587</v>
      </c>
      <c r="I2359">
        <v>2523541939</v>
      </c>
      <c r="J2359">
        <v>1029465643</v>
      </c>
      <c r="K2359">
        <v>1036759602</v>
      </c>
      <c r="L2359">
        <v>1047574578</v>
      </c>
      <c r="M2359">
        <v>1111148629</v>
      </c>
      <c r="N2359">
        <v>1376052715</v>
      </c>
      <c r="O2359">
        <v>1134941386</v>
      </c>
      <c r="P2359">
        <v>97</v>
      </c>
      <c r="Q2359" t="s">
        <v>5052</v>
      </c>
    </row>
    <row r="2360" spans="1:17" x14ac:dyDescent="0.3">
      <c r="A2360" t="s">
        <v>17</v>
      </c>
      <c r="B2360" t="str">
        <f>"603903"</f>
        <v>603903</v>
      </c>
      <c r="C2360" t="s">
        <v>5053</v>
      </c>
      <c r="D2360" t="s">
        <v>520</v>
      </c>
      <c r="E2360">
        <v>3928455712</v>
      </c>
      <c r="F2360">
        <v>3108611350</v>
      </c>
      <c r="G2360">
        <v>2827057062</v>
      </c>
      <c r="H2360">
        <v>2411135165</v>
      </c>
      <c r="I2360">
        <v>1501408026</v>
      </c>
      <c r="J2360">
        <v>984394984</v>
      </c>
      <c r="P2360">
        <v>119</v>
      </c>
      <c r="Q2360" t="s">
        <v>5054</v>
      </c>
    </row>
    <row r="2361" spans="1:17" x14ac:dyDescent="0.3">
      <c r="A2361" t="s">
        <v>17</v>
      </c>
      <c r="B2361" t="str">
        <f>"605020"</f>
        <v>605020</v>
      </c>
      <c r="C2361" t="s">
        <v>5055</v>
      </c>
      <c r="D2361" t="s">
        <v>1796</v>
      </c>
      <c r="E2361">
        <v>3924901105</v>
      </c>
      <c r="F2361">
        <v>2558817609</v>
      </c>
      <c r="P2361">
        <v>33</v>
      </c>
      <c r="Q2361" t="s">
        <v>5056</v>
      </c>
    </row>
    <row r="2362" spans="1:17" x14ac:dyDescent="0.3">
      <c r="A2362" t="s">
        <v>17</v>
      </c>
      <c r="B2362" t="str">
        <f>"688068"</f>
        <v>688068</v>
      </c>
      <c r="C2362" t="s">
        <v>5057</v>
      </c>
      <c r="D2362" t="s">
        <v>2322</v>
      </c>
      <c r="E2362">
        <v>3921780781</v>
      </c>
      <c r="F2362">
        <v>2342242043</v>
      </c>
      <c r="G2362">
        <v>754702824</v>
      </c>
      <c r="H2362">
        <v>261607500</v>
      </c>
      <c r="P2362">
        <v>254</v>
      </c>
      <c r="Q2362" t="s">
        <v>5058</v>
      </c>
    </row>
    <row r="2363" spans="1:17" x14ac:dyDescent="0.3">
      <c r="A2363" t="s">
        <v>47</v>
      </c>
      <c r="B2363" t="str">
        <f>"300009"</f>
        <v>300009</v>
      </c>
      <c r="C2363" t="s">
        <v>5059</v>
      </c>
      <c r="D2363" t="s">
        <v>1480</v>
      </c>
      <c r="E2363">
        <v>3914015288</v>
      </c>
      <c r="F2363">
        <v>3687412245</v>
      </c>
      <c r="G2363">
        <v>3266694617</v>
      </c>
      <c r="H2363">
        <v>3281991297</v>
      </c>
      <c r="I2363">
        <v>2349776558</v>
      </c>
      <c r="J2363">
        <v>1957402433</v>
      </c>
      <c r="K2363">
        <v>1438206184</v>
      </c>
      <c r="L2363">
        <v>891384980</v>
      </c>
      <c r="M2363">
        <v>758749720</v>
      </c>
      <c r="N2363">
        <v>670051672</v>
      </c>
      <c r="O2363">
        <v>611319615</v>
      </c>
      <c r="P2363">
        <v>840</v>
      </c>
      <c r="Q2363" t="s">
        <v>5060</v>
      </c>
    </row>
    <row r="2364" spans="1:17" x14ac:dyDescent="0.3">
      <c r="A2364" t="s">
        <v>47</v>
      </c>
      <c r="B2364" t="str">
        <f>"002685"</f>
        <v>002685</v>
      </c>
      <c r="C2364" t="s">
        <v>5061</v>
      </c>
      <c r="D2364" t="s">
        <v>3186</v>
      </c>
      <c r="E2364">
        <v>3913233186</v>
      </c>
      <c r="F2364">
        <v>6103541357</v>
      </c>
      <c r="G2364">
        <v>7484865095</v>
      </c>
      <c r="H2364">
        <v>5873322289</v>
      </c>
      <c r="I2364">
        <v>5686972153</v>
      </c>
      <c r="J2364">
        <v>1964550537</v>
      </c>
      <c r="K2364">
        <v>1727732035</v>
      </c>
      <c r="L2364">
        <v>1234333339</v>
      </c>
      <c r="M2364">
        <v>968093689</v>
      </c>
      <c r="N2364">
        <v>926965377</v>
      </c>
      <c r="O2364">
        <v>540963031</v>
      </c>
      <c r="P2364">
        <v>109</v>
      </c>
      <c r="Q2364" t="s">
        <v>5062</v>
      </c>
    </row>
    <row r="2365" spans="1:17" x14ac:dyDescent="0.3">
      <c r="A2365" t="s">
        <v>47</v>
      </c>
      <c r="B2365" t="str">
        <f>"300427"</f>
        <v>300427</v>
      </c>
      <c r="C2365" t="s">
        <v>5063</v>
      </c>
      <c r="D2365" t="s">
        <v>679</v>
      </c>
      <c r="E2365">
        <v>3905790632</v>
      </c>
      <c r="F2365">
        <v>4892729583</v>
      </c>
      <c r="G2365">
        <v>5268580884</v>
      </c>
      <c r="H2365">
        <v>4100722603</v>
      </c>
      <c r="I2365">
        <v>2930158551</v>
      </c>
      <c r="J2365">
        <v>870091452</v>
      </c>
      <c r="K2365">
        <v>707709814</v>
      </c>
      <c r="L2365">
        <v>559400272</v>
      </c>
      <c r="P2365">
        <v>249</v>
      </c>
      <c r="Q2365" t="s">
        <v>5064</v>
      </c>
    </row>
    <row r="2366" spans="1:17" x14ac:dyDescent="0.3">
      <c r="A2366" t="s">
        <v>17</v>
      </c>
      <c r="B2366" t="str">
        <f>"600287"</f>
        <v>600287</v>
      </c>
      <c r="C2366" t="s">
        <v>5065</v>
      </c>
      <c r="D2366" t="s">
        <v>768</v>
      </c>
      <c r="E2366">
        <v>3905498902</v>
      </c>
      <c r="F2366">
        <v>5258573091</v>
      </c>
      <c r="G2366">
        <v>5210054724</v>
      </c>
      <c r="H2366">
        <v>4306892605</v>
      </c>
      <c r="I2366">
        <v>3939923029</v>
      </c>
      <c r="J2366">
        <v>4135393250</v>
      </c>
      <c r="K2366">
        <v>3240729196</v>
      </c>
      <c r="L2366">
        <v>4566162276</v>
      </c>
      <c r="M2366">
        <v>4815024791</v>
      </c>
      <c r="N2366">
        <v>4659552123</v>
      </c>
      <c r="O2366">
        <v>4667712066</v>
      </c>
      <c r="P2366">
        <v>72</v>
      </c>
      <c r="Q2366" t="s">
        <v>5066</v>
      </c>
    </row>
    <row r="2367" spans="1:17" x14ac:dyDescent="0.3">
      <c r="A2367" t="s">
        <v>47</v>
      </c>
      <c r="B2367" t="str">
        <f>"300215"</f>
        <v>300215</v>
      </c>
      <c r="C2367" t="s">
        <v>5067</v>
      </c>
      <c r="D2367" t="s">
        <v>3772</v>
      </c>
      <c r="E2367">
        <v>3903871249</v>
      </c>
      <c r="F2367">
        <v>3911948709</v>
      </c>
      <c r="G2367">
        <v>4157249897</v>
      </c>
      <c r="H2367">
        <v>3678061333</v>
      </c>
      <c r="I2367">
        <v>3909705269</v>
      </c>
      <c r="J2367">
        <v>3800392583</v>
      </c>
      <c r="K2367">
        <v>3650034612</v>
      </c>
      <c r="L2367">
        <v>3293038090</v>
      </c>
      <c r="M2367">
        <v>2749208467</v>
      </c>
      <c r="N2367">
        <v>2493820254</v>
      </c>
      <c r="O2367">
        <v>1817277682</v>
      </c>
      <c r="P2367">
        <v>178</v>
      </c>
      <c r="Q2367" t="s">
        <v>5068</v>
      </c>
    </row>
    <row r="2368" spans="1:17" x14ac:dyDescent="0.3">
      <c r="A2368" t="s">
        <v>47</v>
      </c>
      <c r="B2368" t="str">
        <f>"000681"</f>
        <v>000681</v>
      </c>
      <c r="C2368" t="s">
        <v>5069</v>
      </c>
      <c r="D2368" t="s">
        <v>5070</v>
      </c>
      <c r="E2368">
        <v>3901050267</v>
      </c>
      <c r="F2368">
        <v>4056035486</v>
      </c>
      <c r="G2368">
        <v>4156124394</v>
      </c>
      <c r="H2368">
        <v>4146615612</v>
      </c>
      <c r="I2368">
        <v>3978098240</v>
      </c>
      <c r="J2368">
        <v>3497606378</v>
      </c>
      <c r="K2368">
        <v>2809487700</v>
      </c>
      <c r="L2368">
        <v>1551562070</v>
      </c>
      <c r="M2368">
        <v>218397293</v>
      </c>
      <c r="N2368">
        <v>208750495</v>
      </c>
      <c r="O2368">
        <v>140265139</v>
      </c>
      <c r="P2368">
        <v>449</v>
      </c>
      <c r="Q2368" t="s">
        <v>5071</v>
      </c>
    </row>
    <row r="2369" spans="1:17" x14ac:dyDescent="0.3">
      <c r="A2369" t="s">
        <v>47</v>
      </c>
      <c r="B2369" t="str">
        <f>"001201"</f>
        <v>001201</v>
      </c>
      <c r="C2369" t="s">
        <v>5072</v>
      </c>
      <c r="D2369" t="s">
        <v>354</v>
      </c>
      <c r="E2369">
        <v>3899874556</v>
      </c>
      <c r="P2369">
        <v>61</v>
      </c>
      <c r="Q2369" t="s">
        <v>5073</v>
      </c>
    </row>
    <row r="2370" spans="1:17" x14ac:dyDescent="0.3">
      <c r="A2370" t="s">
        <v>17</v>
      </c>
      <c r="B2370" t="str">
        <f>"601007"</f>
        <v>601007</v>
      </c>
      <c r="C2370" t="s">
        <v>5074</v>
      </c>
      <c r="D2370" t="s">
        <v>899</v>
      </c>
      <c r="E2370">
        <v>3898918302</v>
      </c>
      <c r="F2370">
        <v>3409272194</v>
      </c>
      <c r="G2370">
        <v>3144025764</v>
      </c>
      <c r="H2370">
        <v>3057255769</v>
      </c>
      <c r="I2370">
        <v>3036140762</v>
      </c>
      <c r="J2370">
        <v>2980796311</v>
      </c>
      <c r="K2370">
        <v>3257574884</v>
      </c>
      <c r="L2370">
        <v>3241219033</v>
      </c>
      <c r="M2370">
        <v>2962691032</v>
      </c>
      <c r="N2370">
        <v>2469676039</v>
      </c>
      <c r="O2370">
        <v>2343231540</v>
      </c>
      <c r="P2370">
        <v>111</v>
      </c>
      <c r="Q2370" t="s">
        <v>5075</v>
      </c>
    </row>
    <row r="2371" spans="1:17" x14ac:dyDescent="0.3">
      <c r="A2371" t="s">
        <v>17</v>
      </c>
      <c r="B2371" t="str">
        <f>"603985"</f>
        <v>603985</v>
      </c>
      <c r="C2371" t="s">
        <v>5076</v>
      </c>
      <c r="D2371" t="s">
        <v>401</v>
      </c>
      <c r="E2371">
        <v>3897637585</v>
      </c>
      <c r="F2371">
        <v>2704787447</v>
      </c>
      <c r="G2371">
        <v>2026250275</v>
      </c>
      <c r="H2371">
        <v>1825251254</v>
      </c>
      <c r="I2371">
        <v>1299570732</v>
      </c>
      <c r="J2371">
        <v>952728664</v>
      </c>
      <c r="P2371">
        <v>218</v>
      </c>
      <c r="Q2371" t="s">
        <v>5077</v>
      </c>
    </row>
    <row r="2372" spans="1:17" x14ac:dyDescent="0.3">
      <c r="A2372" t="s">
        <v>17</v>
      </c>
      <c r="B2372" t="str">
        <f>"688390"</f>
        <v>688390</v>
      </c>
      <c r="C2372" t="s">
        <v>5078</v>
      </c>
      <c r="D2372" t="s">
        <v>959</v>
      </c>
      <c r="E2372">
        <v>3893039161</v>
      </c>
      <c r="F2372">
        <v>2724567198</v>
      </c>
      <c r="P2372">
        <v>283</v>
      </c>
      <c r="Q2372" t="s">
        <v>5079</v>
      </c>
    </row>
    <row r="2373" spans="1:17" x14ac:dyDescent="0.3">
      <c r="A2373" t="s">
        <v>47</v>
      </c>
      <c r="B2373" t="str">
        <f>"002234"</f>
        <v>002234</v>
      </c>
      <c r="C2373" t="s">
        <v>5080</v>
      </c>
      <c r="D2373" t="s">
        <v>1805</v>
      </c>
      <c r="E2373">
        <v>3892067563</v>
      </c>
      <c r="F2373">
        <v>3483495890</v>
      </c>
      <c r="G2373">
        <v>3604621275</v>
      </c>
      <c r="H2373">
        <v>2896255225</v>
      </c>
      <c r="I2373">
        <v>2295681459</v>
      </c>
      <c r="J2373">
        <v>2214262160</v>
      </c>
      <c r="K2373">
        <v>2040694245</v>
      </c>
      <c r="L2373">
        <v>2103286798</v>
      </c>
      <c r="M2373">
        <v>2281669504</v>
      </c>
      <c r="N2373">
        <v>2041015962</v>
      </c>
      <c r="O2373">
        <v>2005702921</v>
      </c>
      <c r="P2373">
        <v>577</v>
      </c>
      <c r="Q2373" t="s">
        <v>5081</v>
      </c>
    </row>
    <row r="2374" spans="1:17" x14ac:dyDescent="0.3">
      <c r="A2374" t="s">
        <v>47</v>
      </c>
      <c r="B2374" t="str">
        <f>"002640"</f>
        <v>002640</v>
      </c>
      <c r="C2374" t="s">
        <v>5082</v>
      </c>
      <c r="D2374" t="s">
        <v>2707</v>
      </c>
      <c r="E2374">
        <v>3890312358</v>
      </c>
      <c r="F2374">
        <v>6159102360</v>
      </c>
      <c r="G2374">
        <v>10566198926</v>
      </c>
      <c r="H2374">
        <v>12183012873</v>
      </c>
      <c r="I2374">
        <v>11569507764</v>
      </c>
      <c r="J2374">
        <v>6805513214</v>
      </c>
      <c r="K2374">
        <v>3412115216</v>
      </c>
      <c r="L2374">
        <v>2239784999</v>
      </c>
      <c r="M2374">
        <v>996016895</v>
      </c>
      <c r="N2374">
        <v>920558422</v>
      </c>
      <c r="O2374">
        <v>756776435</v>
      </c>
      <c r="P2374">
        <v>263</v>
      </c>
      <c r="Q2374" t="s">
        <v>5083</v>
      </c>
    </row>
    <row r="2375" spans="1:17" x14ac:dyDescent="0.3">
      <c r="A2375" t="s">
        <v>17</v>
      </c>
      <c r="B2375" t="str">
        <f>"603050"</f>
        <v>603050</v>
      </c>
      <c r="C2375" t="s">
        <v>5084</v>
      </c>
      <c r="D2375" t="s">
        <v>679</v>
      </c>
      <c r="E2375">
        <v>3889877872</v>
      </c>
      <c r="F2375">
        <v>3034865825</v>
      </c>
      <c r="G2375">
        <v>2341993470</v>
      </c>
      <c r="H2375">
        <v>1867450355</v>
      </c>
      <c r="I2375">
        <v>1708387110</v>
      </c>
      <c r="J2375">
        <v>1129152608</v>
      </c>
      <c r="P2375">
        <v>124</v>
      </c>
      <c r="Q2375" t="s">
        <v>5085</v>
      </c>
    </row>
    <row r="2376" spans="1:17" x14ac:dyDescent="0.3">
      <c r="A2376" t="s">
        <v>17</v>
      </c>
      <c r="B2376" t="str">
        <f>"600654"</f>
        <v>600654</v>
      </c>
      <c r="C2376" t="s">
        <v>5086</v>
      </c>
      <c r="D2376" t="s">
        <v>1859</v>
      </c>
      <c r="E2376">
        <v>3880035224</v>
      </c>
      <c r="F2376">
        <v>4575532074</v>
      </c>
      <c r="G2376">
        <v>5161749433</v>
      </c>
      <c r="H2376">
        <v>5526640431</v>
      </c>
      <c r="I2376">
        <v>7785193117</v>
      </c>
      <c r="J2376">
        <v>9888632128</v>
      </c>
      <c r="K2376">
        <v>6116676025</v>
      </c>
      <c r="L2376">
        <v>5359295165</v>
      </c>
      <c r="M2376">
        <v>2145593234</v>
      </c>
      <c r="N2376">
        <v>2165415257</v>
      </c>
      <c r="O2376">
        <v>2059660108</v>
      </c>
      <c r="P2376">
        <v>76</v>
      </c>
      <c r="Q2376" t="s">
        <v>5087</v>
      </c>
    </row>
    <row r="2377" spans="1:17" x14ac:dyDescent="0.3">
      <c r="A2377" t="s">
        <v>47</v>
      </c>
      <c r="B2377" t="str">
        <f>"300401"</f>
        <v>300401</v>
      </c>
      <c r="C2377" t="s">
        <v>5088</v>
      </c>
      <c r="D2377" t="s">
        <v>1112</v>
      </c>
      <c r="E2377">
        <v>3876256004</v>
      </c>
      <c r="F2377">
        <v>3396270569</v>
      </c>
      <c r="G2377">
        <v>2154734827</v>
      </c>
      <c r="H2377">
        <v>1769472032</v>
      </c>
      <c r="I2377">
        <v>1548681383</v>
      </c>
      <c r="J2377">
        <v>870074837</v>
      </c>
      <c r="K2377">
        <v>793402162</v>
      </c>
      <c r="L2377">
        <v>750732289</v>
      </c>
      <c r="M2377">
        <v>583097279</v>
      </c>
      <c r="P2377">
        <v>476</v>
      </c>
      <c r="Q2377" t="s">
        <v>5089</v>
      </c>
    </row>
    <row r="2378" spans="1:17" x14ac:dyDescent="0.3">
      <c r="A2378" t="s">
        <v>17</v>
      </c>
      <c r="B2378" t="str">
        <f>"605166"</f>
        <v>605166</v>
      </c>
      <c r="C2378" t="s">
        <v>5090</v>
      </c>
      <c r="D2378" t="s">
        <v>1423</v>
      </c>
      <c r="E2378">
        <v>3873705434</v>
      </c>
      <c r="F2378">
        <v>2720789557</v>
      </c>
      <c r="G2378">
        <v>1197415221</v>
      </c>
      <c r="P2378">
        <v>68</v>
      </c>
      <c r="Q2378" t="s">
        <v>5091</v>
      </c>
    </row>
    <row r="2379" spans="1:17" x14ac:dyDescent="0.3">
      <c r="A2379" t="s">
        <v>17</v>
      </c>
      <c r="B2379" t="str">
        <f>"688669"</f>
        <v>688669</v>
      </c>
      <c r="C2379" t="s">
        <v>5092</v>
      </c>
      <c r="D2379" t="s">
        <v>833</v>
      </c>
      <c r="E2379">
        <v>3872399614</v>
      </c>
      <c r="F2379">
        <v>2528915341</v>
      </c>
      <c r="J2379">
        <v>516296532</v>
      </c>
      <c r="P2379">
        <v>36</v>
      </c>
      <c r="Q2379" t="s">
        <v>5093</v>
      </c>
    </row>
    <row r="2380" spans="1:17" x14ac:dyDescent="0.3">
      <c r="A2380" t="s">
        <v>17</v>
      </c>
      <c r="B2380" t="str">
        <f>"600229"</f>
        <v>600229</v>
      </c>
      <c r="C2380" t="s">
        <v>5094</v>
      </c>
      <c r="D2380" t="s">
        <v>1288</v>
      </c>
      <c r="E2380">
        <v>3865746301</v>
      </c>
      <c r="F2380">
        <v>4275622217</v>
      </c>
      <c r="G2380">
        <v>4258307821</v>
      </c>
      <c r="H2380">
        <v>3901490330</v>
      </c>
      <c r="I2380">
        <v>3560652113</v>
      </c>
      <c r="J2380">
        <v>3036704831</v>
      </c>
      <c r="K2380">
        <v>2733088834</v>
      </c>
      <c r="L2380">
        <v>3249177339</v>
      </c>
      <c r="M2380">
        <v>2757400345</v>
      </c>
      <c r="N2380">
        <v>2612291862</v>
      </c>
      <c r="O2380">
        <v>2980289134</v>
      </c>
      <c r="P2380">
        <v>174</v>
      </c>
      <c r="Q2380" t="s">
        <v>5095</v>
      </c>
    </row>
    <row r="2381" spans="1:17" x14ac:dyDescent="0.3">
      <c r="A2381" t="s">
        <v>47</v>
      </c>
      <c r="B2381" t="str">
        <f>"002669"</f>
        <v>002669</v>
      </c>
      <c r="C2381" t="s">
        <v>5096</v>
      </c>
      <c r="D2381" t="s">
        <v>4360</v>
      </c>
      <c r="E2381">
        <v>3865148205</v>
      </c>
      <c r="F2381">
        <v>3300069040</v>
      </c>
      <c r="G2381">
        <v>2518990206</v>
      </c>
      <c r="H2381">
        <v>2337658972</v>
      </c>
      <c r="I2381">
        <v>1800951185</v>
      </c>
      <c r="J2381">
        <v>1799630818</v>
      </c>
      <c r="K2381">
        <v>905761789</v>
      </c>
      <c r="L2381">
        <v>783460481</v>
      </c>
      <c r="M2381">
        <v>655077224</v>
      </c>
      <c r="N2381">
        <v>628088266</v>
      </c>
      <c r="O2381">
        <v>317334915</v>
      </c>
      <c r="P2381">
        <v>138</v>
      </c>
      <c r="Q2381" t="s">
        <v>5097</v>
      </c>
    </row>
    <row r="2382" spans="1:17" x14ac:dyDescent="0.3">
      <c r="A2382" t="s">
        <v>47</v>
      </c>
      <c r="B2382" t="str">
        <f>"002481"</f>
        <v>002481</v>
      </c>
      <c r="C2382" t="s">
        <v>5098</v>
      </c>
      <c r="D2382" t="s">
        <v>1708</v>
      </c>
      <c r="E2382">
        <v>3864227381</v>
      </c>
      <c r="F2382">
        <v>3723835154</v>
      </c>
      <c r="G2382">
        <v>4305115239</v>
      </c>
      <c r="H2382">
        <v>4222822434</v>
      </c>
      <c r="I2382">
        <v>4415905804</v>
      </c>
      <c r="J2382">
        <v>4114144640</v>
      </c>
      <c r="K2382">
        <v>4556117736</v>
      </c>
      <c r="L2382">
        <v>3839084872</v>
      </c>
      <c r="M2382">
        <v>1660385147</v>
      </c>
      <c r="N2382">
        <v>1323958854</v>
      </c>
      <c r="O2382">
        <v>1083993517</v>
      </c>
      <c r="P2382">
        <v>331</v>
      </c>
      <c r="Q2382" t="s">
        <v>5099</v>
      </c>
    </row>
    <row r="2383" spans="1:17" x14ac:dyDescent="0.3">
      <c r="A2383" t="s">
        <v>17</v>
      </c>
      <c r="B2383" t="str">
        <f>"600738"</f>
        <v>600738</v>
      </c>
      <c r="C2383" t="s">
        <v>5100</v>
      </c>
      <c r="D2383" t="s">
        <v>1073</v>
      </c>
      <c r="E2383">
        <v>3863983951</v>
      </c>
      <c r="F2383">
        <v>3341159929</v>
      </c>
      <c r="G2383">
        <v>3597398056</v>
      </c>
      <c r="H2383">
        <v>4258111527</v>
      </c>
      <c r="I2383">
        <v>5037408200</v>
      </c>
      <c r="J2383">
        <v>2334746157</v>
      </c>
      <c r="K2383">
        <v>2046010411</v>
      </c>
      <c r="L2383">
        <v>1846381451</v>
      </c>
      <c r="M2383">
        <v>1711102677</v>
      </c>
      <c r="N2383">
        <v>1830936103</v>
      </c>
      <c r="O2383">
        <v>1096715792</v>
      </c>
      <c r="P2383">
        <v>153</v>
      </c>
      <c r="Q2383" t="s">
        <v>5101</v>
      </c>
    </row>
    <row r="2384" spans="1:17" x14ac:dyDescent="0.3">
      <c r="A2384" t="s">
        <v>17</v>
      </c>
      <c r="B2384" t="str">
        <f>"600653"</f>
        <v>600653</v>
      </c>
      <c r="C2384" t="s">
        <v>5102</v>
      </c>
      <c r="D2384" t="s">
        <v>462</v>
      </c>
      <c r="E2384">
        <v>3863501414</v>
      </c>
      <c r="F2384">
        <v>4598705507</v>
      </c>
      <c r="G2384">
        <v>6828156097</v>
      </c>
      <c r="H2384">
        <v>8156836068</v>
      </c>
      <c r="I2384">
        <v>9898948472</v>
      </c>
      <c r="J2384">
        <v>8987507166</v>
      </c>
      <c r="K2384">
        <v>9252396500</v>
      </c>
      <c r="L2384">
        <v>7720755712</v>
      </c>
      <c r="M2384">
        <v>7928975737</v>
      </c>
      <c r="N2384">
        <v>6465163911</v>
      </c>
      <c r="O2384">
        <v>6772013954</v>
      </c>
      <c r="P2384">
        <v>93</v>
      </c>
      <c r="Q2384" t="s">
        <v>5103</v>
      </c>
    </row>
    <row r="2385" spans="1:17" x14ac:dyDescent="0.3">
      <c r="A2385" t="s">
        <v>17</v>
      </c>
      <c r="B2385" t="str">
        <f>"688521"</f>
        <v>688521</v>
      </c>
      <c r="C2385" t="s">
        <v>5104</v>
      </c>
      <c r="D2385" t="s">
        <v>967</v>
      </c>
      <c r="E2385">
        <v>3861620997</v>
      </c>
      <c r="F2385">
        <v>3253770476</v>
      </c>
      <c r="G2385">
        <v>1449349247</v>
      </c>
      <c r="P2385">
        <v>140</v>
      </c>
      <c r="Q2385" t="s">
        <v>5105</v>
      </c>
    </row>
    <row r="2386" spans="1:17" x14ac:dyDescent="0.3">
      <c r="A2386" t="s">
        <v>47</v>
      </c>
      <c r="B2386" t="str">
        <f>"300420"</f>
        <v>300420</v>
      </c>
      <c r="C2386" t="s">
        <v>5106</v>
      </c>
      <c r="D2386" t="s">
        <v>1433</v>
      </c>
      <c r="E2386">
        <v>3861138996</v>
      </c>
      <c r="F2386">
        <v>3886075562</v>
      </c>
      <c r="G2386">
        <v>2862578104</v>
      </c>
      <c r="H2386">
        <v>2202088507</v>
      </c>
      <c r="I2386">
        <v>2025019074</v>
      </c>
      <c r="J2386">
        <v>1443239069</v>
      </c>
      <c r="K2386">
        <v>1393692510</v>
      </c>
      <c r="L2386">
        <v>474933510</v>
      </c>
      <c r="P2386">
        <v>146</v>
      </c>
      <c r="Q2386" t="s">
        <v>5107</v>
      </c>
    </row>
    <row r="2387" spans="1:17" x14ac:dyDescent="0.3">
      <c r="A2387" t="s">
        <v>47</v>
      </c>
      <c r="B2387" t="str">
        <f>"300776"</f>
        <v>300776</v>
      </c>
      <c r="C2387" t="s">
        <v>5108</v>
      </c>
      <c r="D2387" t="s">
        <v>1789</v>
      </c>
      <c r="E2387">
        <v>3852699906</v>
      </c>
      <c r="F2387">
        <v>2807661869</v>
      </c>
      <c r="G2387">
        <v>2169289621</v>
      </c>
      <c r="H2387">
        <v>1031975262</v>
      </c>
      <c r="P2387">
        <v>397</v>
      </c>
      <c r="Q2387" t="s">
        <v>5109</v>
      </c>
    </row>
    <row r="2388" spans="1:17" x14ac:dyDescent="0.3">
      <c r="A2388" t="s">
        <v>47</v>
      </c>
      <c r="B2388" t="str">
        <f>"300791"</f>
        <v>300791</v>
      </c>
      <c r="C2388" t="s">
        <v>5110</v>
      </c>
      <c r="D2388" t="s">
        <v>2355</v>
      </c>
      <c r="E2388">
        <v>3850720520</v>
      </c>
      <c r="F2388">
        <v>2738312278</v>
      </c>
      <c r="G2388">
        <v>2497819608</v>
      </c>
      <c r="P2388">
        <v>286</v>
      </c>
      <c r="Q2388" t="s">
        <v>5111</v>
      </c>
    </row>
    <row r="2389" spans="1:17" x14ac:dyDescent="0.3">
      <c r="A2389" t="s">
        <v>47</v>
      </c>
      <c r="B2389" t="str">
        <f>"300262"</f>
        <v>300262</v>
      </c>
      <c r="C2389" t="s">
        <v>5112</v>
      </c>
      <c r="D2389" t="s">
        <v>520</v>
      </c>
      <c r="E2389">
        <v>3850490231</v>
      </c>
      <c r="F2389">
        <v>5318976687</v>
      </c>
      <c r="G2389">
        <v>6573046212</v>
      </c>
      <c r="H2389">
        <v>5856146615</v>
      </c>
      <c r="I2389">
        <v>4545493081</v>
      </c>
      <c r="J2389">
        <v>3731123591</v>
      </c>
      <c r="K2389">
        <v>2107068559</v>
      </c>
      <c r="L2389">
        <v>1251503986</v>
      </c>
      <c r="M2389">
        <v>1080500580</v>
      </c>
      <c r="N2389">
        <v>866254272</v>
      </c>
      <c r="O2389">
        <v>503840599</v>
      </c>
      <c r="P2389">
        <v>127</v>
      </c>
      <c r="Q2389" t="s">
        <v>5113</v>
      </c>
    </row>
    <row r="2390" spans="1:17" x14ac:dyDescent="0.3">
      <c r="A2390" t="s">
        <v>47</v>
      </c>
      <c r="B2390" t="str">
        <f>"300095"</f>
        <v>300095</v>
      </c>
      <c r="C2390" t="s">
        <v>5114</v>
      </c>
      <c r="D2390" t="s">
        <v>401</v>
      </c>
      <c r="E2390">
        <v>3849773762</v>
      </c>
      <c r="F2390">
        <v>2988602376</v>
      </c>
      <c r="G2390">
        <v>2570060907</v>
      </c>
      <c r="H2390">
        <v>2499001410</v>
      </c>
      <c r="I2390">
        <v>2601298817</v>
      </c>
      <c r="J2390">
        <v>2273355592</v>
      </c>
      <c r="K2390">
        <v>1233622895</v>
      </c>
      <c r="L2390">
        <v>1144686721</v>
      </c>
      <c r="M2390">
        <v>1047229987</v>
      </c>
      <c r="N2390">
        <v>886686835</v>
      </c>
      <c r="O2390">
        <v>918693421</v>
      </c>
      <c r="P2390">
        <v>128</v>
      </c>
      <c r="Q2390" t="s">
        <v>5115</v>
      </c>
    </row>
    <row r="2391" spans="1:17" x14ac:dyDescent="0.3">
      <c r="A2391" t="s">
        <v>17</v>
      </c>
      <c r="B2391" t="str">
        <f>"603161"</f>
        <v>603161</v>
      </c>
      <c r="C2391" t="s">
        <v>5116</v>
      </c>
      <c r="D2391" t="s">
        <v>274</v>
      </c>
      <c r="E2391">
        <v>3848972933</v>
      </c>
      <c r="F2391">
        <v>4208196276</v>
      </c>
      <c r="G2391">
        <v>3249859247</v>
      </c>
      <c r="H2391">
        <v>3478965556</v>
      </c>
      <c r="I2391">
        <v>2671084645</v>
      </c>
      <c r="P2391">
        <v>81</v>
      </c>
      <c r="Q2391" t="s">
        <v>5117</v>
      </c>
    </row>
    <row r="2392" spans="1:17" x14ac:dyDescent="0.3">
      <c r="A2392" t="s">
        <v>17</v>
      </c>
      <c r="B2392" t="str">
        <f>"603060"</f>
        <v>603060</v>
      </c>
      <c r="C2392" t="s">
        <v>5118</v>
      </c>
      <c r="D2392" t="s">
        <v>3772</v>
      </c>
      <c r="E2392">
        <v>3846482921</v>
      </c>
      <c r="F2392">
        <v>2473477104</v>
      </c>
      <c r="G2392">
        <v>1787708156</v>
      </c>
      <c r="H2392">
        <v>1591883251</v>
      </c>
      <c r="I2392">
        <v>1348681214</v>
      </c>
      <c r="J2392">
        <v>1268131021</v>
      </c>
      <c r="P2392">
        <v>507</v>
      </c>
      <c r="Q2392" t="s">
        <v>5119</v>
      </c>
    </row>
    <row r="2393" spans="1:17" x14ac:dyDescent="0.3">
      <c r="A2393" t="s">
        <v>47</v>
      </c>
      <c r="B2393" t="str">
        <f>"002901"</f>
        <v>002901</v>
      </c>
      <c r="C2393" t="s">
        <v>5120</v>
      </c>
      <c r="D2393" t="s">
        <v>1650</v>
      </c>
      <c r="E2393">
        <v>3844343059</v>
      </c>
      <c r="F2393">
        <v>2744683290</v>
      </c>
      <c r="G2393">
        <v>2266235337</v>
      </c>
      <c r="H2393">
        <v>1754292704</v>
      </c>
      <c r="I2393">
        <v>1441302731</v>
      </c>
      <c r="P2393">
        <v>1702</v>
      </c>
      <c r="Q2393" t="s">
        <v>5121</v>
      </c>
    </row>
    <row r="2394" spans="1:17" x14ac:dyDescent="0.3">
      <c r="A2394" t="s">
        <v>17</v>
      </c>
      <c r="B2394" t="str">
        <f>"688550"</f>
        <v>688550</v>
      </c>
      <c r="C2394" t="s">
        <v>5122</v>
      </c>
      <c r="D2394" t="s">
        <v>3050</v>
      </c>
      <c r="E2394">
        <v>3842175438</v>
      </c>
      <c r="F2394">
        <v>3080651471</v>
      </c>
      <c r="P2394">
        <v>54</v>
      </c>
      <c r="Q2394" t="s">
        <v>5123</v>
      </c>
    </row>
    <row r="2395" spans="1:17" x14ac:dyDescent="0.3">
      <c r="A2395" t="s">
        <v>47</v>
      </c>
      <c r="B2395" t="str">
        <f>"300053"</f>
        <v>300053</v>
      </c>
      <c r="C2395" t="s">
        <v>5124</v>
      </c>
      <c r="D2395" t="s">
        <v>967</v>
      </c>
      <c r="E2395">
        <v>3837540574</v>
      </c>
      <c r="F2395">
        <v>3887716745</v>
      </c>
      <c r="G2395">
        <v>3924261730</v>
      </c>
      <c r="H2395">
        <v>4010904056</v>
      </c>
      <c r="I2395">
        <v>3815932883</v>
      </c>
      <c r="J2395">
        <v>2406268511</v>
      </c>
      <c r="K2395">
        <v>1458584395</v>
      </c>
      <c r="L2395">
        <v>722514698</v>
      </c>
      <c r="M2395">
        <v>679094735</v>
      </c>
      <c r="N2395">
        <v>640345219</v>
      </c>
      <c r="O2395">
        <v>623945965</v>
      </c>
      <c r="P2395">
        <v>264</v>
      </c>
      <c r="Q2395" t="s">
        <v>5125</v>
      </c>
    </row>
    <row r="2396" spans="1:17" x14ac:dyDescent="0.3">
      <c r="A2396" t="s">
        <v>47</v>
      </c>
      <c r="B2396" t="str">
        <f>"300725"</f>
        <v>300725</v>
      </c>
      <c r="C2396" t="s">
        <v>5126</v>
      </c>
      <c r="D2396" t="s">
        <v>777</v>
      </c>
      <c r="E2396">
        <v>3835862931</v>
      </c>
      <c r="F2396">
        <v>2530257030</v>
      </c>
      <c r="G2396">
        <v>1159915573</v>
      </c>
      <c r="H2396">
        <v>814259073</v>
      </c>
      <c r="I2396">
        <v>575628289</v>
      </c>
      <c r="P2396">
        <v>1114</v>
      </c>
      <c r="Q2396" t="s">
        <v>5127</v>
      </c>
    </row>
    <row r="2397" spans="1:17" x14ac:dyDescent="0.3">
      <c r="A2397" t="s">
        <v>17</v>
      </c>
      <c r="B2397" t="str">
        <f>"603083"</f>
        <v>603083</v>
      </c>
      <c r="C2397" t="s">
        <v>5128</v>
      </c>
      <c r="D2397" t="s">
        <v>962</v>
      </c>
      <c r="E2397">
        <v>3834858132</v>
      </c>
      <c r="F2397">
        <v>3701391032</v>
      </c>
      <c r="G2397">
        <v>2839460059</v>
      </c>
      <c r="H2397">
        <v>2714289882</v>
      </c>
      <c r="I2397">
        <v>2292183046</v>
      </c>
      <c r="P2397">
        <v>272</v>
      </c>
      <c r="Q2397" t="s">
        <v>5129</v>
      </c>
    </row>
    <row r="2398" spans="1:17" x14ac:dyDescent="0.3">
      <c r="A2398" t="s">
        <v>17</v>
      </c>
      <c r="B2398" t="str">
        <f>"603950"</f>
        <v>603950</v>
      </c>
      <c r="C2398" t="s">
        <v>5130</v>
      </c>
      <c r="D2398" t="s">
        <v>274</v>
      </c>
      <c r="E2398">
        <v>3834110015</v>
      </c>
      <c r="F2398">
        <v>3760121762</v>
      </c>
      <c r="G2398">
        <v>2764381244</v>
      </c>
      <c r="P2398">
        <v>97</v>
      </c>
      <c r="Q2398" t="s">
        <v>5131</v>
      </c>
    </row>
    <row r="2399" spans="1:17" x14ac:dyDescent="0.3">
      <c r="A2399" t="s">
        <v>17</v>
      </c>
      <c r="B2399" t="str">
        <f>"600495"</f>
        <v>600495</v>
      </c>
      <c r="C2399" t="s">
        <v>5132</v>
      </c>
      <c r="D2399" t="s">
        <v>193</v>
      </c>
      <c r="E2399">
        <v>3827769118</v>
      </c>
      <c r="F2399">
        <v>3750743350</v>
      </c>
      <c r="G2399">
        <v>3877937766</v>
      </c>
      <c r="H2399">
        <v>3912651797</v>
      </c>
      <c r="I2399">
        <v>3917881329</v>
      </c>
      <c r="J2399">
        <v>3691882619</v>
      </c>
      <c r="K2399">
        <v>3673383557</v>
      </c>
      <c r="L2399">
        <v>4324032652</v>
      </c>
      <c r="M2399">
        <v>3773197925</v>
      </c>
      <c r="N2399">
        <v>2531476376</v>
      </c>
      <c r="O2399">
        <v>2396657022</v>
      </c>
      <c r="P2399">
        <v>122</v>
      </c>
      <c r="Q2399" t="s">
        <v>5133</v>
      </c>
    </row>
    <row r="2400" spans="1:17" x14ac:dyDescent="0.3">
      <c r="A2400" t="s">
        <v>47</v>
      </c>
      <c r="B2400" t="str">
        <f>"002792"</f>
        <v>002792</v>
      </c>
      <c r="C2400" t="s">
        <v>5134</v>
      </c>
      <c r="D2400" t="s">
        <v>367</v>
      </c>
      <c r="E2400">
        <v>3823674809</v>
      </c>
      <c r="F2400">
        <v>3114295608</v>
      </c>
      <c r="G2400">
        <v>3108978337</v>
      </c>
      <c r="H2400">
        <v>2950828915</v>
      </c>
      <c r="I2400">
        <v>2932294299</v>
      </c>
      <c r="J2400">
        <v>2733591576</v>
      </c>
      <c r="K2400">
        <v>2629090241</v>
      </c>
      <c r="P2400">
        <v>343</v>
      </c>
      <c r="Q2400" t="s">
        <v>5135</v>
      </c>
    </row>
    <row r="2401" spans="1:17" x14ac:dyDescent="0.3">
      <c r="A2401" t="s">
        <v>47</v>
      </c>
      <c r="B2401" t="str">
        <f>"300425"</f>
        <v>300425</v>
      </c>
      <c r="C2401" t="s">
        <v>5136</v>
      </c>
      <c r="D2401" t="s">
        <v>520</v>
      </c>
      <c r="E2401">
        <v>3823559894</v>
      </c>
      <c r="F2401">
        <v>3457531586</v>
      </c>
      <c r="G2401">
        <v>3221609527</v>
      </c>
      <c r="H2401">
        <v>3076719165</v>
      </c>
      <c r="I2401">
        <v>2586172922</v>
      </c>
      <c r="J2401">
        <v>2208013704</v>
      </c>
      <c r="K2401">
        <v>1356160484</v>
      </c>
      <c r="L2401">
        <v>844913875</v>
      </c>
      <c r="P2401">
        <v>121</v>
      </c>
      <c r="Q2401" t="s">
        <v>5137</v>
      </c>
    </row>
    <row r="2402" spans="1:17" x14ac:dyDescent="0.3">
      <c r="A2402" t="s">
        <v>17</v>
      </c>
      <c r="B2402" t="str">
        <f>"605009"</f>
        <v>605009</v>
      </c>
      <c r="C2402" t="s">
        <v>5138</v>
      </c>
      <c r="D2402" t="s">
        <v>2299</v>
      </c>
      <c r="E2402">
        <v>3817668141</v>
      </c>
      <c r="F2402">
        <v>3540386371</v>
      </c>
      <c r="P2402">
        <v>355</v>
      </c>
      <c r="Q2402" t="s">
        <v>5139</v>
      </c>
    </row>
    <row r="2403" spans="1:17" x14ac:dyDescent="0.3">
      <c r="A2403" t="s">
        <v>17</v>
      </c>
      <c r="B2403" t="str">
        <f>"688526"</f>
        <v>688526</v>
      </c>
      <c r="C2403" t="s">
        <v>5140</v>
      </c>
      <c r="D2403" t="s">
        <v>3286</v>
      </c>
      <c r="E2403">
        <v>3814661793</v>
      </c>
      <c r="F2403">
        <v>3359818537</v>
      </c>
      <c r="P2403">
        <v>147</v>
      </c>
      <c r="Q2403" t="s">
        <v>5141</v>
      </c>
    </row>
    <row r="2404" spans="1:17" x14ac:dyDescent="0.3">
      <c r="A2404" t="s">
        <v>17</v>
      </c>
      <c r="B2404" t="str">
        <f>"605158"</f>
        <v>605158</v>
      </c>
      <c r="C2404" t="s">
        <v>5142</v>
      </c>
      <c r="D2404" t="s">
        <v>210</v>
      </c>
      <c r="E2404">
        <v>3809491679</v>
      </c>
      <c r="F2404">
        <v>2892109077</v>
      </c>
      <c r="G2404">
        <v>2147197704</v>
      </c>
      <c r="P2404">
        <v>91</v>
      </c>
      <c r="Q2404" t="s">
        <v>5143</v>
      </c>
    </row>
    <row r="2405" spans="1:17" x14ac:dyDescent="0.3">
      <c r="A2405" t="s">
        <v>47</v>
      </c>
      <c r="B2405" t="str">
        <f>"300109"</f>
        <v>300109</v>
      </c>
      <c r="C2405" t="s">
        <v>5144</v>
      </c>
      <c r="D2405" t="s">
        <v>710</v>
      </c>
      <c r="E2405">
        <v>3804326925</v>
      </c>
      <c r="F2405">
        <v>4242798540</v>
      </c>
      <c r="G2405">
        <v>4207439369</v>
      </c>
      <c r="H2405">
        <v>2344188613</v>
      </c>
      <c r="I2405">
        <v>2007791907</v>
      </c>
      <c r="J2405">
        <v>1347627566</v>
      </c>
      <c r="K2405">
        <v>1560208506</v>
      </c>
      <c r="L2405">
        <v>485008491</v>
      </c>
      <c r="M2405">
        <v>426537685</v>
      </c>
      <c r="N2405">
        <v>404753965</v>
      </c>
      <c r="O2405">
        <v>396947297</v>
      </c>
      <c r="P2405">
        <v>122</v>
      </c>
      <c r="Q2405" t="s">
        <v>5145</v>
      </c>
    </row>
    <row r="2406" spans="1:17" x14ac:dyDescent="0.3">
      <c r="A2406" t="s">
        <v>47</v>
      </c>
      <c r="B2406" t="str">
        <f>"002457"</f>
        <v>002457</v>
      </c>
      <c r="C2406" t="s">
        <v>5146</v>
      </c>
      <c r="D2406" t="s">
        <v>2927</v>
      </c>
      <c r="E2406">
        <v>3796432220</v>
      </c>
      <c r="F2406">
        <v>3747661532</v>
      </c>
      <c r="G2406">
        <v>3319051459</v>
      </c>
      <c r="H2406">
        <v>2885765525</v>
      </c>
      <c r="I2406">
        <v>2869579399</v>
      </c>
      <c r="J2406">
        <v>2816283528</v>
      </c>
      <c r="K2406">
        <v>2506899499</v>
      </c>
      <c r="L2406">
        <v>2253249426</v>
      </c>
      <c r="M2406">
        <v>2285428208</v>
      </c>
      <c r="N2406">
        <v>2074867139</v>
      </c>
      <c r="O2406">
        <v>1907379208</v>
      </c>
      <c r="P2406">
        <v>132</v>
      </c>
      <c r="Q2406" t="s">
        <v>5147</v>
      </c>
    </row>
    <row r="2407" spans="1:17" x14ac:dyDescent="0.3">
      <c r="A2407" t="s">
        <v>17</v>
      </c>
      <c r="B2407" t="str">
        <f>"688509"</f>
        <v>688509</v>
      </c>
      <c r="C2407" t="s">
        <v>5148</v>
      </c>
      <c r="D2407" t="s">
        <v>700</v>
      </c>
      <c r="E2407">
        <v>3791071778</v>
      </c>
      <c r="F2407">
        <v>3360303410</v>
      </c>
      <c r="P2407">
        <v>17</v>
      </c>
      <c r="Q2407" t="s">
        <v>5149</v>
      </c>
    </row>
    <row r="2408" spans="1:17" x14ac:dyDescent="0.3">
      <c r="A2408" t="s">
        <v>47</v>
      </c>
      <c r="B2408" t="str">
        <f>"300783"</f>
        <v>300783</v>
      </c>
      <c r="C2408" t="s">
        <v>5150</v>
      </c>
      <c r="D2408" t="s">
        <v>3331</v>
      </c>
      <c r="E2408">
        <v>3790215526</v>
      </c>
      <c r="F2408">
        <v>4394045762</v>
      </c>
      <c r="G2408">
        <v>3751028259</v>
      </c>
      <c r="H2408">
        <v>2505784190</v>
      </c>
      <c r="P2408">
        <v>730</v>
      </c>
      <c r="Q2408" t="s">
        <v>5151</v>
      </c>
    </row>
    <row r="2409" spans="1:17" x14ac:dyDescent="0.3">
      <c r="A2409" t="s">
        <v>17</v>
      </c>
      <c r="B2409" t="str">
        <f>"600222"</f>
        <v>600222</v>
      </c>
      <c r="C2409" t="s">
        <v>5152</v>
      </c>
      <c r="D2409" t="s">
        <v>695</v>
      </c>
      <c r="E2409">
        <v>3789529132</v>
      </c>
      <c r="F2409">
        <v>3739251867</v>
      </c>
      <c r="G2409">
        <v>2815740291</v>
      </c>
      <c r="H2409">
        <v>2767463815</v>
      </c>
      <c r="I2409">
        <v>2833191967</v>
      </c>
      <c r="J2409">
        <v>2692786920</v>
      </c>
      <c r="K2409">
        <v>2664268525</v>
      </c>
      <c r="L2409">
        <v>2610776066</v>
      </c>
      <c r="M2409">
        <v>2117736222</v>
      </c>
      <c r="N2409">
        <v>1584326725</v>
      </c>
      <c r="O2409">
        <v>1479967660</v>
      </c>
      <c r="P2409">
        <v>132</v>
      </c>
      <c r="Q2409" t="s">
        <v>5153</v>
      </c>
    </row>
    <row r="2410" spans="1:17" x14ac:dyDescent="0.3">
      <c r="A2410" t="s">
        <v>47</v>
      </c>
      <c r="B2410" t="str">
        <f>"000561"</f>
        <v>000561</v>
      </c>
      <c r="C2410" t="s">
        <v>5154</v>
      </c>
      <c r="D2410" t="s">
        <v>570</v>
      </c>
      <c r="E2410">
        <v>3783579942</v>
      </c>
      <c r="F2410">
        <v>3540720632</v>
      </c>
      <c r="G2410">
        <v>3121717735</v>
      </c>
      <c r="H2410">
        <v>2984861672</v>
      </c>
      <c r="I2410">
        <v>2771873944</v>
      </c>
      <c r="J2410">
        <v>2306888683</v>
      </c>
      <c r="K2410">
        <v>2215293361</v>
      </c>
      <c r="L2410">
        <v>1844927712</v>
      </c>
      <c r="M2410">
        <v>1565507955</v>
      </c>
      <c r="N2410">
        <v>1528781188</v>
      </c>
      <c r="O2410">
        <v>1377504870</v>
      </c>
      <c r="P2410">
        <v>134</v>
      </c>
      <c r="Q2410" t="s">
        <v>5155</v>
      </c>
    </row>
    <row r="2411" spans="1:17" x14ac:dyDescent="0.3">
      <c r="A2411" t="s">
        <v>47</v>
      </c>
      <c r="B2411" t="str">
        <f>"000607"</f>
        <v>000607</v>
      </c>
      <c r="C2411" t="s">
        <v>5156</v>
      </c>
      <c r="D2411" t="s">
        <v>1468</v>
      </c>
      <c r="E2411">
        <v>3782542275</v>
      </c>
      <c r="F2411">
        <v>3841690236</v>
      </c>
      <c r="G2411">
        <v>3526404640</v>
      </c>
      <c r="H2411">
        <v>3363636533</v>
      </c>
      <c r="I2411">
        <v>3156766097</v>
      </c>
      <c r="J2411">
        <v>2890910504</v>
      </c>
      <c r="K2411">
        <v>2301524741</v>
      </c>
      <c r="L2411">
        <v>1861208405</v>
      </c>
      <c r="M2411">
        <v>1884532877</v>
      </c>
      <c r="N2411">
        <v>1833903396</v>
      </c>
      <c r="O2411">
        <v>1605115390</v>
      </c>
      <c r="P2411">
        <v>109</v>
      </c>
      <c r="Q2411" t="s">
        <v>5157</v>
      </c>
    </row>
    <row r="2412" spans="1:17" x14ac:dyDescent="0.3">
      <c r="A2412" t="s">
        <v>47</v>
      </c>
      <c r="B2412" t="str">
        <f>"300199"</f>
        <v>300199</v>
      </c>
      <c r="C2412" t="s">
        <v>5158</v>
      </c>
      <c r="D2412" t="s">
        <v>550</v>
      </c>
      <c r="E2412">
        <v>3778314756</v>
      </c>
      <c r="F2412">
        <v>4317543831</v>
      </c>
      <c r="G2412">
        <v>4733754041</v>
      </c>
      <c r="H2412">
        <v>5461321246</v>
      </c>
      <c r="I2412">
        <v>5873904406</v>
      </c>
      <c r="J2412">
        <v>4472848887</v>
      </c>
      <c r="K2412">
        <v>3660793153</v>
      </c>
      <c r="L2412">
        <v>2958904680</v>
      </c>
      <c r="M2412">
        <v>1298680321</v>
      </c>
      <c r="N2412">
        <v>1119699008</v>
      </c>
      <c r="O2412">
        <v>1056592959</v>
      </c>
      <c r="P2412">
        <v>242</v>
      </c>
      <c r="Q2412" t="s">
        <v>5159</v>
      </c>
    </row>
    <row r="2413" spans="1:17" x14ac:dyDescent="0.3">
      <c r="A2413" t="s">
        <v>47</v>
      </c>
      <c r="B2413" t="str">
        <f>"002554"</f>
        <v>002554</v>
      </c>
      <c r="C2413" t="s">
        <v>5160</v>
      </c>
      <c r="D2413" t="s">
        <v>533</v>
      </c>
      <c r="E2413">
        <v>3775349721</v>
      </c>
      <c r="F2413">
        <v>3802272124</v>
      </c>
      <c r="G2413">
        <v>3775651296</v>
      </c>
      <c r="H2413">
        <v>4052092028</v>
      </c>
      <c r="I2413">
        <v>4660087649</v>
      </c>
      <c r="J2413">
        <v>4642680263</v>
      </c>
      <c r="K2413">
        <v>3239631421</v>
      </c>
      <c r="L2413">
        <v>2950690335</v>
      </c>
      <c r="M2413">
        <v>1827594246</v>
      </c>
      <c r="N2413">
        <v>1603729121</v>
      </c>
      <c r="O2413">
        <v>1294295463</v>
      </c>
      <c r="P2413">
        <v>112</v>
      </c>
      <c r="Q2413" t="s">
        <v>5161</v>
      </c>
    </row>
    <row r="2414" spans="1:17" x14ac:dyDescent="0.3">
      <c r="A2414" t="s">
        <v>17</v>
      </c>
      <c r="B2414" t="str">
        <f>"600880"</f>
        <v>600880</v>
      </c>
      <c r="C2414" t="s">
        <v>5162</v>
      </c>
      <c r="D2414" t="s">
        <v>5163</v>
      </c>
      <c r="E2414">
        <v>3772322383</v>
      </c>
      <c r="F2414">
        <v>3502932599</v>
      </c>
      <c r="G2414">
        <v>3212136118</v>
      </c>
      <c r="H2414">
        <v>3192984035</v>
      </c>
      <c r="I2414">
        <v>4153830713</v>
      </c>
      <c r="J2414">
        <v>4264996947</v>
      </c>
      <c r="K2414">
        <v>4447492968</v>
      </c>
      <c r="L2414">
        <v>4857252320</v>
      </c>
      <c r="M2414">
        <v>5049331456</v>
      </c>
      <c r="N2414">
        <v>3174394865</v>
      </c>
      <c r="O2414">
        <v>2685633650</v>
      </c>
      <c r="P2414">
        <v>314</v>
      </c>
      <c r="Q2414" t="s">
        <v>5164</v>
      </c>
    </row>
    <row r="2415" spans="1:17" x14ac:dyDescent="0.3">
      <c r="A2415" t="s">
        <v>47</v>
      </c>
      <c r="B2415" t="str">
        <f>"002654"</f>
        <v>002654</v>
      </c>
      <c r="C2415" t="s">
        <v>5165</v>
      </c>
      <c r="D2415" t="s">
        <v>862</v>
      </c>
      <c r="E2415">
        <v>3771843194</v>
      </c>
      <c r="F2415">
        <v>4166292527</v>
      </c>
      <c r="G2415">
        <v>4462858590</v>
      </c>
      <c r="H2415">
        <v>4473137030</v>
      </c>
      <c r="I2415">
        <v>5824179676</v>
      </c>
      <c r="J2415">
        <v>3917264734</v>
      </c>
      <c r="K2415">
        <v>2833031991</v>
      </c>
      <c r="L2415">
        <v>960410493</v>
      </c>
      <c r="M2415">
        <v>800951032</v>
      </c>
      <c r="N2415">
        <v>672969931</v>
      </c>
      <c r="O2415">
        <v>656748099</v>
      </c>
      <c r="P2415">
        <v>124</v>
      </c>
      <c r="Q2415" t="s">
        <v>5166</v>
      </c>
    </row>
    <row r="2416" spans="1:17" x14ac:dyDescent="0.3">
      <c r="A2416" t="s">
        <v>47</v>
      </c>
      <c r="B2416" t="str">
        <f>"300318"</f>
        <v>300318</v>
      </c>
      <c r="C2416" t="s">
        <v>5167</v>
      </c>
      <c r="D2416" t="s">
        <v>2322</v>
      </c>
      <c r="E2416">
        <v>3768492715</v>
      </c>
      <c r="F2416">
        <v>3780217882</v>
      </c>
      <c r="G2416">
        <v>2713204052</v>
      </c>
      <c r="H2416">
        <v>2747072246</v>
      </c>
      <c r="I2416">
        <v>2415168439</v>
      </c>
      <c r="J2416">
        <v>2455132779</v>
      </c>
      <c r="K2416">
        <v>2053367557</v>
      </c>
      <c r="L2416">
        <v>782757525</v>
      </c>
      <c r="M2416">
        <v>756228870</v>
      </c>
      <c r="N2416">
        <v>705112392</v>
      </c>
      <c r="P2416">
        <v>144</v>
      </c>
      <c r="Q2416" t="s">
        <v>5168</v>
      </c>
    </row>
    <row r="2417" spans="1:17" x14ac:dyDescent="0.3">
      <c r="A2417" t="s">
        <v>17</v>
      </c>
      <c r="B2417" t="str">
        <f>"600830"</f>
        <v>600830</v>
      </c>
      <c r="C2417" t="s">
        <v>5169</v>
      </c>
      <c r="D2417" t="s">
        <v>109</v>
      </c>
      <c r="E2417">
        <v>3764817629</v>
      </c>
      <c r="F2417">
        <v>3292927020</v>
      </c>
      <c r="G2417">
        <v>2953464633</v>
      </c>
      <c r="H2417">
        <v>2878883121</v>
      </c>
      <c r="I2417">
        <v>3078470918</v>
      </c>
      <c r="J2417">
        <v>3223703462</v>
      </c>
      <c r="K2417">
        <v>3522723499</v>
      </c>
      <c r="L2417">
        <v>3442067605</v>
      </c>
      <c r="M2417">
        <v>2345639914</v>
      </c>
      <c r="N2417">
        <v>2381780255</v>
      </c>
      <c r="O2417">
        <v>2255713467</v>
      </c>
      <c r="P2417">
        <v>73</v>
      </c>
      <c r="Q2417" t="s">
        <v>5170</v>
      </c>
    </row>
    <row r="2418" spans="1:17" x14ac:dyDescent="0.3">
      <c r="A2418" t="s">
        <v>17</v>
      </c>
      <c r="B2418" t="str">
        <f>"688100"</f>
        <v>688100</v>
      </c>
      <c r="C2418" t="s">
        <v>5171</v>
      </c>
      <c r="D2418" t="s">
        <v>962</v>
      </c>
      <c r="E2418">
        <v>3761029162</v>
      </c>
      <c r="F2418">
        <v>3236868744</v>
      </c>
      <c r="G2418">
        <v>3033927793</v>
      </c>
      <c r="H2418">
        <v>1910463218</v>
      </c>
      <c r="P2418">
        <v>103</v>
      </c>
      <c r="Q2418" t="s">
        <v>5172</v>
      </c>
    </row>
    <row r="2419" spans="1:17" x14ac:dyDescent="0.3">
      <c r="A2419" t="s">
        <v>17</v>
      </c>
      <c r="B2419" t="str">
        <f>"603967"</f>
        <v>603967</v>
      </c>
      <c r="C2419" t="s">
        <v>5173</v>
      </c>
      <c r="D2419" t="s">
        <v>618</v>
      </c>
      <c r="E2419">
        <v>3760195713</v>
      </c>
      <c r="F2419">
        <v>3089877191</v>
      </c>
      <c r="G2419">
        <v>2628695497</v>
      </c>
      <c r="H2419">
        <v>1516622430</v>
      </c>
      <c r="P2419">
        <v>85</v>
      </c>
      <c r="Q2419" t="s">
        <v>5174</v>
      </c>
    </row>
    <row r="2420" spans="1:17" x14ac:dyDescent="0.3">
      <c r="A2420" t="s">
        <v>17</v>
      </c>
      <c r="B2420" t="str">
        <f>"603283"</f>
        <v>603283</v>
      </c>
      <c r="C2420" t="s">
        <v>5175</v>
      </c>
      <c r="D2420" t="s">
        <v>1360</v>
      </c>
      <c r="E2420">
        <v>3757689959</v>
      </c>
      <c r="F2420">
        <v>3269196794</v>
      </c>
      <c r="G2420">
        <v>2250676903</v>
      </c>
      <c r="H2420">
        <v>1311696735</v>
      </c>
      <c r="I2420">
        <v>952560483</v>
      </c>
      <c r="P2420">
        <v>216</v>
      </c>
      <c r="Q2420" t="s">
        <v>5176</v>
      </c>
    </row>
    <row r="2421" spans="1:17" x14ac:dyDescent="0.3">
      <c r="A2421" t="s">
        <v>17</v>
      </c>
      <c r="B2421" t="str">
        <f>"688033"</f>
        <v>688033</v>
      </c>
      <c r="C2421" t="s">
        <v>5177</v>
      </c>
      <c r="D2421" t="s">
        <v>193</v>
      </c>
      <c r="E2421">
        <v>3757679513</v>
      </c>
      <c r="F2421">
        <v>2608958041</v>
      </c>
      <c r="G2421">
        <v>2525167203</v>
      </c>
      <c r="H2421">
        <v>1422753252</v>
      </c>
      <c r="P2421">
        <v>86</v>
      </c>
      <c r="Q2421" t="s">
        <v>5178</v>
      </c>
    </row>
    <row r="2422" spans="1:17" x14ac:dyDescent="0.3">
      <c r="A2422" t="s">
        <v>47</v>
      </c>
      <c r="B2422" t="str">
        <f>"002404"</f>
        <v>002404</v>
      </c>
      <c r="C2422" t="s">
        <v>5179</v>
      </c>
      <c r="D2422" t="s">
        <v>3463</v>
      </c>
      <c r="E2422">
        <v>3757385809</v>
      </c>
      <c r="F2422">
        <v>3111557113</v>
      </c>
      <c r="G2422">
        <v>3140533650</v>
      </c>
      <c r="H2422">
        <v>3002318216</v>
      </c>
      <c r="I2422">
        <v>2683922070</v>
      </c>
      <c r="J2422">
        <v>1962187032</v>
      </c>
      <c r="K2422">
        <v>2026096186</v>
      </c>
      <c r="L2422">
        <v>2040909363</v>
      </c>
      <c r="M2422">
        <v>1844398979</v>
      </c>
      <c r="N2422">
        <v>1618359230</v>
      </c>
      <c r="O2422">
        <v>1516553614</v>
      </c>
      <c r="P2422">
        <v>108</v>
      </c>
      <c r="Q2422" t="s">
        <v>5180</v>
      </c>
    </row>
    <row r="2423" spans="1:17" x14ac:dyDescent="0.3">
      <c r="A2423" t="s">
        <v>17</v>
      </c>
      <c r="B2423" t="str">
        <f>"603983"</f>
        <v>603983</v>
      </c>
      <c r="C2423" t="s">
        <v>5181</v>
      </c>
      <c r="D2423" t="s">
        <v>2419</v>
      </c>
      <c r="E2423">
        <v>3754832591</v>
      </c>
      <c r="F2423">
        <v>3832968234</v>
      </c>
      <c r="G2423">
        <v>3412614945</v>
      </c>
      <c r="H2423">
        <v>2158112299</v>
      </c>
      <c r="P2423">
        <v>898</v>
      </c>
      <c r="Q2423" t="s">
        <v>5182</v>
      </c>
    </row>
    <row r="2424" spans="1:17" x14ac:dyDescent="0.3">
      <c r="A2424" t="s">
        <v>47</v>
      </c>
      <c r="B2424" t="str">
        <f>"300903"</f>
        <v>300903</v>
      </c>
      <c r="C2424" t="s">
        <v>5183</v>
      </c>
      <c r="D2424" t="s">
        <v>1115</v>
      </c>
      <c r="E2424">
        <v>3746993866</v>
      </c>
      <c r="F2424">
        <v>2360342171</v>
      </c>
      <c r="G2424">
        <v>1419983260</v>
      </c>
      <c r="P2424">
        <v>61</v>
      </c>
      <c r="Q2424" t="s">
        <v>5184</v>
      </c>
    </row>
    <row r="2425" spans="1:17" x14ac:dyDescent="0.3">
      <c r="A2425" t="s">
        <v>47</v>
      </c>
      <c r="B2425" t="str">
        <f>"300187"</f>
        <v>300187</v>
      </c>
      <c r="C2425" t="s">
        <v>5185</v>
      </c>
      <c r="D2425" t="s">
        <v>1310</v>
      </c>
      <c r="E2425">
        <v>3737816466</v>
      </c>
      <c r="F2425">
        <v>3611409649</v>
      </c>
      <c r="G2425">
        <v>2921025903</v>
      </c>
      <c r="H2425">
        <v>3213906815</v>
      </c>
      <c r="I2425">
        <v>3656069941</v>
      </c>
      <c r="J2425">
        <v>2848825374</v>
      </c>
      <c r="K2425">
        <v>2365029469</v>
      </c>
      <c r="L2425">
        <v>1502281855</v>
      </c>
      <c r="M2425">
        <v>1340370713</v>
      </c>
      <c r="N2425">
        <v>1161393946</v>
      </c>
      <c r="O2425">
        <v>1041346878</v>
      </c>
      <c r="P2425">
        <v>110</v>
      </c>
      <c r="Q2425" t="s">
        <v>5186</v>
      </c>
    </row>
    <row r="2426" spans="1:17" x14ac:dyDescent="0.3">
      <c r="A2426" t="s">
        <v>17</v>
      </c>
      <c r="B2426" t="str">
        <f>"688301"</f>
        <v>688301</v>
      </c>
      <c r="C2426" t="s">
        <v>5187</v>
      </c>
      <c r="D2426" t="s">
        <v>1083</v>
      </c>
      <c r="E2426">
        <v>3725979089</v>
      </c>
      <c r="F2426">
        <v>2994973389</v>
      </c>
      <c r="P2426">
        <v>178</v>
      </c>
      <c r="Q2426" t="s">
        <v>5188</v>
      </c>
    </row>
    <row r="2427" spans="1:17" x14ac:dyDescent="0.3">
      <c r="A2427" t="s">
        <v>47</v>
      </c>
      <c r="B2427" t="str">
        <f>"300337"</f>
        <v>300337</v>
      </c>
      <c r="C2427" t="s">
        <v>5189</v>
      </c>
      <c r="D2427" t="s">
        <v>346</v>
      </c>
      <c r="E2427">
        <v>3724959579</v>
      </c>
      <c r="F2427">
        <v>3383033544</v>
      </c>
      <c r="G2427">
        <v>3154446018</v>
      </c>
      <c r="H2427">
        <v>2883836558</v>
      </c>
      <c r="I2427">
        <v>2824477243</v>
      </c>
      <c r="J2427">
        <v>2607068061</v>
      </c>
      <c r="K2427">
        <v>2497596330</v>
      </c>
      <c r="L2427">
        <v>2649422085</v>
      </c>
      <c r="M2427">
        <v>2272586148</v>
      </c>
      <c r="N2427">
        <v>2260600831</v>
      </c>
      <c r="P2427">
        <v>142</v>
      </c>
      <c r="Q2427" t="s">
        <v>5190</v>
      </c>
    </row>
    <row r="2428" spans="1:17" x14ac:dyDescent="0.3">
      <c r="A2428" t="s">
        <v>47</v>
      </c>
      <c r="B2428" t="str">
        <f>"002496"</f>
        <v>002496</v>
      </c>
      <c r="C2428" t="s">
        <v>5191</v>
      </c>
      <c r="D2428" t="s">
        <v>819</v>
      </c>
      <c r="E2428">
        <v>3724027933</v>
      </c>
      <c r="F2428">
        <v>4713599583</v>
      </c>
      <c r="G2428">
        <v>5407893175</v>
      </c>
      <c r="H2428">
        <v>6211210414</v>
      </c>
      <c r="I2428">
        <v>8128635361</v>
      </c>
      <c r="J2428">
        <v>7846118689</v>
      </c>
      <c r="K2428">
        <v>6103283036</v>
      </c>
      <c r="L2428">
        <v>5915245141</v>
      </c>
      <c r="M2428">
        <v>3991863774</v>
      </c>
      <c r="N2428">
        <v>3225128621</v>
      </c>
      <c r="O2428">
        <v>2552276229</v>
      </c>
      <c r="P2428">
        <v>158</v>
      </c>
      <c r="Q2428" t="s">
        <v>5192</v>
      </c>
    </row>
    <row r="2429" spans="1:17" x14ac:dyDescent="0.3">
      <c r="A2429" t="s">
        <v>47</v>
      </c>
      <c r="B2429" t="str">
        <f>"002632"</f>
        <v>002632</v>
      </c>
      <c r="C2429" t="s">
        <v>5193</v>
      </c>
      <c r="D2429" t="s">
        <v>2485</v>
      </c>
      <c r="E2429">
        <v>3720223635</v>
      </c>
      <c r="F2429">
        <v>3259938421</v>
      </c>
      <c r="G2429">
        <v>2788703036</v>
      </c>
      <c r="H2429">
        <v>2338872704</v>
      </c>
      <c r="I2429">
        <v>2199343557</v>
      </c>
      <c r="J2429">
        <v>1616588953</v>
      </c>
      <c r="K2429">
        <v>1557002474</v>
      </c>
      <c r="L2429">
        <v>1057906794</v>
      </c>
      <c r="M2429">
        <v>1041318568</v>
      </c>
      <c r="N2429">
        <v>1019037373</v>
      </c>
      <c r="O2429">
        <v>988258835</v>
      </c>
      <c r="P2429">
        <v>144</v>
      </c>
      <c r="Q2429" t="s">
        <v>5194</v>
      </c>
    </row>
    <row r="2430" spans="1:17" x14ac:dyDescent="0.3">
      <c r="A2430" t="s">
        <v>47</v>
      </c>
      <c r="B2430" t="str">
        <f>"300280"</f>
        <v>300280</v>
      </c>
      <c r="C2430" t="s">
        <v>5195</v>
      </c>
      <c r="D2430" t="s">
        <v>1468</v>
      </c>
      <c r="E2430">
        <v>3719853886</v>
      </c>
      <c r="F2430">
        <v>3530528181</v>
      </c>
      <c r="G2430">
        <v>3646515251</v>
      </c>
      <c r="H2430">
        <v>2253092816</v>
      </c>
      <c r="I2430">
        <v>1151225003</v>
      </c>
      <c r="J2430">
        <v>805945877</v>
      </c>
      <c r="K2430">
        <v>803058819</v>
      </c>
      <c r="L2430">
        <v>800352956</v>
      </c>
      <c r="M2430">
        <v>737564936</v>
      </c>
      <c r="N2430">
        <v>750427446</v>
      </c>
      <c r="O2430">
        <v>766565928</v>
      </c>
      <c r="P2430">
        <v>144</v>
      </c>
      <c r="Q2430" t="s">
        <v>5196</v>
      </c>
    </row>
    <row r="2431" spans="1:17" x14ac:dyDescent="0.3">
      <c r="A2431" t="s">
        <v>17</v>
      </c>
      <c r="B2431" t="str">
        <f>"603166"</f>
        <v>603166</v>
      </c>
      <c r="C2431" t="s">
        <v>5197</v>
      </c>
      <c r="D2431" t="s">
        <v>274</v>
      </c>
      <c r="E2431">
        <v>3719387001</v>
      </c>
      <c r="F2431">
        <v>3486259887</v>
      </c>
      <c r="G2431">
        <v>3202038554</v>
      </c>
      <c r="H2431">
        <v>3334187977</v>
      </c>
      <c r="I2431">
        <v>3130978817</v>
      </c>
      <c r="J2431">
        <v>3597472571</v>
      </c>
      <c r="K2431">
        <v>3537150286</v>
      </c>
      <c r="L2431">
        <v>2972589710</v>
      </c>
      <c r="P2431">
        <v>141</v>
      </c>
      <c r="Q2431" t="s">
        <v>5198</v>
      </c>
    </row>
    <row r="2432" spans="1:17" x14ac:dyDescent="0.3">
      <c r="A2432" t="s">
        <v>17</v>
      </c>
      <c r="B2432" t="str">
        <f>"600101"</f>
        <v>600101</v>
      </c>
      <c r="C2432" t="s">
        <v>5199</v>
      </c>
      <c r="D2432" t="s">
        <v>652</v>
      </c>
      <c r="E2432">
        <v>3718100572</v>
      </c>
      <c r="F2432">
        <v>3453460451</v>
      </c>
      <c r="G2432">
        <v>3312788980</v>
      </c>
      <c r="H2432">
        <v>3198805551</v>
      </c>
      <c r="I2432">
        <v>3053216058</v>
      </c>
      <c r="J2432">
        <v>2861139156</v>
      </c>
      <c r="K2432">
        <v>2775769745</v>
      </c>
      <c r="L2432">
        <v>2712362267</v>
      </c>
      <c r="M2432">
        <v>2598212859</v>
      </c>
      <c r="N2432">
        <v>2513924924</v>
      </c>
      <c r="O2432">
        <v>2535731234</v>
      </c>
      <c r="P2432">
        <v>123</v>
      </c>
      <c r="Q2432" t="s">
        <v>5200</v>
      </c>
    </row>
    <row r="2433" spans="1:17" x14ac:dyDescent="0.3">
      <c r="A2433" t="s">
        <v>47</v>
      </c>
      <c r="B2433" t="str">
        <f>"002088"</f>
        <v>002088</v>
      </c>
      <c r="C2433" t="s">
        <v>5201</v>
      </c>
      <c r="D2433" t="s">
        <v>3510</v>
      </c>
      <c r="E2433">
        <v>3717889939</v>
      </c>
      <c r="F2433">
        <v>3420690150</v>
      </c>
      <c r="G2433">
        <v>2911639531</v>
      </c>
      <c r="H2433">
        <v>2850057284</v>
      </c>
      <c r="I2433">
        <v>2387508318</v>
      </c>
      <c r="J2433">
        <v>2158328947</v>
      </c>
      <c r="K2433">
        <v>2157642153</v>
      </c>
      <c r="L2433">
        <v>2023931671</v>
      </c>
      <c r="M2433">
        <v>1898718248</v>
      </c>
      <c r="N2433">
        <v>1808404959</v>
      </c>
      <c r="O2433">
        <v>1745956739</v>
      </c>
      <c r="P2433">
        <v>407</v>
      </c>
      <c r="Q2433" t="s">
        <v>5202</v>
      </c>
    </row>
    <row r="2434" spans="1:17" x14ac:dyDescent="0.3">
      <c r="A2434" t="s">
        <v>47</v>
      </c>
      <c r="B2434" t="str">
        <f>"002713"</f>
        <v>002713</v>
      </c>
      <c r="C2434" t="s">
        <v>5203</v>
      </c>
      <c r="D2434" t="s">
        <v>1163</v>
      </c>
      <c r="E2434">
        <v>3717569176</v>
      </c>
      <c r="F2434">
        <v>3331982237</v>
      </c>
      <c r="G2434">
        <v>2747309136</v>
      </c>
      <c r="H2434">
        <v>3305744356</v>
      </c>
      <c r="I2434">
        <v>3431758063</v>
      </c>
      <c r="J2434">
        <v>2704343552</v>
      </c>
      <c r="K2434">
        <v>2155307406</v>
      </c>
      <c r="L2434">
        <v>1601363634</v>
      </c>
      <c r="M2434">
        <v>1579547163</v>
      </c>
      <c r="P2434">
        <v>268</v>
      </c>
      <c r="Q2434" t="s">
        <v>5204</v>
      </c>
    </row>
    <row r="2435" spans="1:17" x14ac:dyDescent="0.3">
      <c r="A2435" t="s">
        <v>17</v>
      </c>
      <c r="B2435" t="str">
        <f>"688281"</f>
        <v>688281</v>
      </c>
      <c r="C2435" t="s">
        <v>5205</v>
      </c>
      <c r="E2435">
        <v>3716373256</v>
      </c>
      <c r="P2435">
        <v>13</v>
      </c>
      <c r="Q2435" t="s">
        <v>5206</v>
      </c>
    </row>
    <row r="2436" spans="1:17" x14ac:dyDescent="0.3">
      <c r="A2436" t="s">
        <v>47</v>
      </c>
      <c r="B2436" t="str">
        <f>"000816"</f>
        <v>000816</v>
      </c>
      <c r="C2436" t="s">
        <v>5207</v>
      </c>
      <c r="D2436" t="s">
        <v>274</v>
      </c>
      <c r="E2436">
        <v>3715944010</v>
      </c>
      <c r="F2436">
        <v>3772339788</v>
      </c>
      <c r="G2436">
        <v>3823451263</v>
      </c>
      <c r="H2436">
        <v>5568563261</v>
      </c>
      <c r="I2436">
        <v>5905181846</v>
      </c>
      <c r="J2436">
        <v>6699417943</v>
      </c>
      <c r="K2436">
        <v>6721270970</v>
      </c>
      <c r="L2436">
        <v>7348333100</v>
      </c>
      <c r="M2436">
        <v>5756748326</v>
      </c>
      <c r="N2436">
        <v>5322184067</v>
      </c>
      <c r="O2436">
        <v>4600593438</v>
      </c>
      <c r="P2436">
        <v>153</v>
      </c>
      <c r="Q2436" t="s">
        <v>5208</v>
      </c>
    </row>
    <row r="2437" spans="1:17" x14ac:dyDescent="0.3">
      <c r="A2437" t="s">
        <v>47</v>
      </c>
      <c r="B2437" t="str">
        <f>"002876"</f>
        <v>002876</v>
      </c>
      <c r="C2437" t="s">
        <v>5209</v>
      </c>
      <c r="D2437" t="s">
        <v>181</v>
      </c>
      <c r="E2437">
        <v>3714974491</v>
      </c>
      <c r="F2437">
        <v>3256201008</v>
      </c>
      <c r="G2437">
        <v>2526695855</v>
      </c>
      <c r="H2437">
        <v>2061158272</v>
      </c>
      <c r="I2437">
        <v>1588087952</v>
      </c>
      <c r="J2437">
        <v>1453838900</v>
      </c>
      <c r="P2437">
        <v>212</v>
      </c>
      <c r="Q2437" t="s">
        <v>5210</v>
      </c>
    </row>
    <row r="2438" spans="1:17" x14ac:dyDescent="0.3">
      <c r="A2438" t="s">
        <v>47</v>
      </c>
      <c r="B2438" t="str">
        <f>"300240"</f>
        <v>300240</v>
      </c>
      <c r="C2438" t="s">
        <v>5211</v>
      </c>
      <c r="D2438" t="s">
        <v>939</v>
      </c>
      <c r="E2438">
        <v>3714956259</v>
      </c>
      <c r="F2438">
        <v>3130838196</v>
      </c>
      <c r="G2438">
        <v>2612346209</v>
      </c>
      <c r="H2438">
        <v>2361290845</v>
      </c>
      <c r="I2438">
        <v>2265282308</v>
      </c>
      <c r="J2438">
        <v>2066285604</v>
      </c>
      <c r="K2438">
        <v>1672474120</v>
      </c>
      <c r="L2438">
        <v>1671589110</v>
      </c>
      <c r="M2438">
        <v>1513850790</v>
      </c>
      <c r="N2438">
        <v>1545351015</v>
      </c>
      <c r="O2438">
        <v>1316072079</v>
      </c>
      <c r="P2438">
        <v>67</v>
      </c>
      <c r="Q2438" t="s">
        <v>5212</v>
      </c>
    </row>
    <row r="2439" spans="1:17" x14ac:dyDescent="0.3">
      <c r="A2439" t="s">
        <v>17</v>
      </c>
      <c r="B2439" t="str">
        <f>"605008"</f>
        <v>605008</v>
      </c>
      <c r="C2439" t="s">
        <v>5213</v>
      </c>
      <c r="D2439" t="s">
        <v>3077</v>
      </c>
      <c r="E2439">
        <v>3713545178</v>
      </c>
      <c r="F2439">
        <v>2484259340</v>
      </c>
      <c r="P2439">
        <v>66</v>
      </c>
      <c r="Q2439" t="s">
        <v>5214</v>
      </c>
    </row>
    <row r="2440" spans="1:17" x14ac:dyDescent="0.3">
      <c r="A2440" t="s">
        <v>47</v>
      </c>
      <c r="B2440" t="str">
        <f>"002288"</f>
        <v>002288</v>
      </c>
      <c r="C2440" t="s">
        <v>5215</v>
      </c>
      <c r="D2440" t="s">
        <v>1115</v>
      </c>
      <c r="E2440">
        <v>3708678109</v>
      </c>
      <c r="F2440">
        <v>3557286328</v>
      </c>
      <c r="G2440">
        <v>3234976838</v>
      </c>
      <c r="H2440">
        <v>2820857519</v>
      </c>
      <c r="I2440">
        <v>2848529919</v>
      </c>
      <c r="J2440">
        <v>2776124292</v>
      </c>
      <c r="K2440">
        <v>2585516777</v>
      </c>
      <c r="L2440">
        <v>2296170070</v>
      </c>
      <c r="M2440">
        <v>2376713932</v>
      </c>
      <c r="N2440">
        <v>2007908953</v>
      </c>
      <c r="O2440">
        <v>1063149565</v>
      </c>
      <c r="P2440">
        <v>176</v>
      </c>
      <c r="Q2440" t="s">
        <v>5216</v>
      </c>
    </row>
    <row r="2441" spans="1:17" x14ac:dyDescent="0.3">
      <c r="A2441" t="s">
        <v>47</v>
      </c>
      <c r="B2441" t="str">
        <f>"300229"</f>
        <v>300229</v>
      </c>
      <c r="C2441" t="s">
        <v>5217</v>
      </c>
      <c r="D2441" t="s">
        <v>1859</v>
      </c>
      <c r="E2441">
        <v>3708257611</v>
      </c>
      <c r="F2441">
        <v>3594385602</v>
      </c>
      <c r="G2441">
        <v>2861804518</v>
      </c>
      <c r="H2441">
        <v>2619265069</v>
      </c>
      <c r="I2441">
        <v>2177718291</v>
      </c>
      <c r="J2441">
        <v>2041111735</v>
      </c>
      <c r="K2441">
        <v>1892866076</v>
      </c>
      <c r="L2441">
        <v>1556449041</v>
      </c>
      <c r="M2441">
        <v>951505447</v>
      </c>
      <c r="N2441">
        <v>857935295</v>
      </c>
      <c r="O2441">
        <v>796306897</v>
      </c>
      <c r="P2441">
        <v>209</v>
      </c>
      <c r="Q2441" t="s">
        <v>5218</v>
      </c>
    </row>
    <row r="2442" spans="1:17" x14ac:dyDescent="0.3">
      <c r="A2442" t="s">
        <v>47</v>
      </c>
      <c r="B2442" t="str">
        <f>"003016"</f>
        <v>003016</v>
      </c>
      <c r="C2442" t="s">
        <v>5219</v>
      </c>
      <c r="D2442" t="s">
        <v>628</v>
      </c>
      <c r="E2442">
        <v>3708233277</v>
      </c>
      <c r="F2442">
        <v>3697583385</v>
      </c>
      <c r="P2442">
        <v>58</v>
      </c>
      <c r="Q2442" t="s">
        <v>5220</v>
      </c>
    </row>
    <row r="2443" spans="1:17" x14ac:dyDescent="0.3">
      <c r="A2443" t="s">
        <v>47</v>
      </c>
      <c r="B2443" t="str">
        <f>"000868"</f>
        <v>000868</v>
      </c>
      <c r="C2443" t="s">
        <v>5221</v>
      </c>
      <c r="D2443" t="s">
        <v>1329</v>
      </c>
      <c r="E2443">
        <v>3707935064</v>
      </c>
      <c r="F2443">
        <v>4515564466</v>
      </c>
      <c r="G2443">
        <v>5081618177</v>
      </c>
      <c r="H2443">
        <v>6846263704</v>
      </c>
      <c r="I2443">
        <v>7992756211</v>
      </c>
      <c r="J2443">
        <v>8982788611</v>
      </c>
      <c r="K2443">
        <v>6650729241</v>
      </c>
      <c r="L2443">
        <v>4914439237</v>
      </c>
      <c r="M2443">
        <v>5012290605</v>
      </c>
      <c r="N2443">
        <v>4197517431</v>
      </c>
      <c r="O2443">
        <v>3569579164</v>
      </c>
      <c r="P2443">
        <v>171</v>
      </c>
      <c r="Q2443" t="s">
        <v>5222</v>
      </c>
    </row>
    <row r="2444" spans="1:17" x14ac:dyDescent="0.3">
      <c r="A2444" t="s">
        <v>17</v>
      </c>
      <c r="B2444" t="str">
        <f>"600200"</f>
        <v>600200</v>
      </c>
      <c r="C2444" t="s">
        <v>5223</v>
      </c>
      <c r="D2444" t="s">
        <v>550</v>
      </c>
      <c r="E2444">
        <v>3704724379</v>
      </c>
      <c r="F2444">
        <v>3865365062</v>
      </c>
      <c r="G2444">
        <v>4272530200</v>
      </c>
      <c r="H2444">
        <v>4925259898</v>
      </c>
      <c r="I2444">
        <v>4691221552</v>
      </c>
      <c r="J2444">
        <v>5165988721</v>
      </c>
      <c r="K2444">
        <v>4388172760</v>
      </c>
      <c r="L2444">
        <v>4133928125</v>
      </c>
      <c r="M2444">
        <v>3908671487</v>
      </c>
      <c r="N2444">
        <v>4383291468</v>
      </c>
      <c r="O2444">
        <v>3902224335</v>
      </c>
      <c r="P2444">
        <v>143</v>
      </c>
      <c r="Q2444" t="s">
        <v>5224</v>
      </c>
    </row>
    <row r="2445" spans="1:17" x14ac:dyDescent="0.3">
      <c r="A2445" t="s">
        <v>17</v>
      </c>
      <c r="B2445" t="str">
        <f>"603158"</f>
        <v>603158</v>
      </c>
      <c r="C2445" t="s">
        <v>5225</v>
      </c>
      <c r="D2445" t="s">
        <v>274</v>
      </c>
      <c r="E2445">
        <v>3704305111</v>
      </c>
      <c r="F2445">
        <v>2959015949</v>
      </c>
      <c r="G2445">
        <v>2406158911</v>
      </c>
      <c r="H2445">
        <v>1564217996</v>
      </c>
      <c r="I2445">
        <v>1572751473</v>
      </c>
      <c r="J2445">
        <v>1263473703</v>
      </c>
      <c r="K2445">
        <v>988546101</v>
      </c>
      <c r="L2445">
        <v>926074773</v>
      </c>
      <c r="P2445">
        <v>145</v>
      </c>
      <c r="Q2445" t="s">
        <v>5226</v>
      </c>
    </row>
    <row r="2446" spans="1:17" x14ac:dyDescent="0.3">
      <c r="A2446" t="s">
        <v>17</v>
      </c>
      <c r="B2446" t="str">
        <f>"603220"</f>
        <v>603220</v>
      </c>
      <c r="C2446" t="s">
        <v>5227</v>
      </c>
      <c r="D2446" t="s">
        <v>2804</v>
      </c>
      <c r="E2446">
        <v>3703494201</v>
      </c>
      <c r="F2446">
        <v>3410548080</v>
      </c>
      <c r="G2446">
        <v>3324953463</v>
      </c>
      <c r="H2446">
        <v>2789261036</v>
      </c>
      <c r="P2446">
        <v>146</v>
      </c>
      <c r="Q2446" t="s">
        <v>5228</v>
      </c>
    </row>
    <row r="2447" spans="1:17" x14ac:dyDescent="0.3">
      <c r="A2447" t="s">
        <v>17</v>
      </c>
      <c r="B2447" t="str">
        <f>"603839"</f>
        <v>603839</v>
      </c>
      <c r="C2447" t="s">
        <v>5229</v>
      </c>
      <c r="D2447" t="s">
        <v>628</v>
      </c>
      <c r="E2447">
        <v>3702487825</v>
      </c>
      <c r="F2447">
        <v>4623822682</v>
      </c>
      <c r="G2447">
        <v>4733889240</v>
      </c>
      <c r="H2447">
        <v>3940056280</v>
      </c>
      <c r="I2447">
        <v>3125550875</v>
      </c>
      <c r="J2447">
        <v>2847509247</v>
      </c>
      <c r="P2447">
        <v>136</v>
      </c>
      <c r="Q2447" t="s">
        <v>5230</v>
      </c>
    </row>
    <row r="2448" spans="1:17" x14ac:dyDescent="0.3">
      <c r="A2448" t="s">
        <v>17</v>
      </c>
      <c r="B2448" t="str">
        <f>"603230"</f>
        <v>603230</v>
      </c>
      <c r="C2448" t="s">
        <v>5231</v>
      </c>
      <c r="D2448" t="s">
        <v>1352</v>
      </c>
      <c r="E2448">
        <v>3702123287</v>
      </c>
      <c r="P2448">
        <v>17</v>
      </c>
      <c r="Q2448" t="s">
        <v>5232</v>
      </c>
    </row>
    <row r="2449" spans="1:17" x14ac:dyDescent="0.3">
      <c r="A2449" t="s">
        <v>47</v>
      </c>
      <c r="B2449" t="str">
        <f>"002096"</f>
        <v>002096</v>
      </c>
      <c r="C2449" t="s">
        <v>5233</v>
      </c>
      <c r="D2449" t="s">
        <v>1995</v>
      </c>
      <c r="E2449">
        <v>3700270804</v>
      </c>
      <c r="F2449">
        <v>3875956220</v>
      </c>
      <c r="G2449">
        <v>3417380068</v>
      </c>
      <c r="H2449">
        <v>3776519669</v>
      </c>
      <c r="I2449">
        <v>3931944493</v>
      </c>
      <c r="J2449">
        <v>4348660030</v>
      </c>
      <c r="K2449">
        <v>3700604969</v>
      </c>
      <c r="L2449">
        <v>3083779850</v>
      </c>
      <c r="M2449">
        <v>2787250142</v>
      </c>
      <c r="N2449">
        <v>2572818085</v>
      </c>
      <c r="O2449">
        <v>832305724</v>
      </c>
      <c r="P2449">
        <v>79</v>
      </c>
      <c r="Q2449" t="s">
        <v>5234</v>
      </c>
    </row>
    <row r="2450" spans="1:17" x14ac:dyDescent="0.3">
      <c r="A2450" t="s">
        <v>47</v>
      </c>
      <c r="B2450" t="str">
        <f>"002526"</f>
        <v>002526</v>
      </c>
      <c r="C2450" t="s">
        <v>5235</v>
      </c>
      <c r="D2450" t="s">
        <v>607</v>
      </c>
      <c r="E2450">
        <v>3700205260</v>
      </c>
      <c r="F2450">
        <v>3452242479</v>
      </c>
      <c r="G2450">
        <v>3488296088</v>
      </c>
      <c r="H2450">
        <v>3288926767</v>
      </c>
      <c r="I2450">
        <v>3089509797</v>
      </c>
      <c r="J2450">
        <v>2589629637</v>
      </c>
      <c r="K2450">
        <v>2964527149</v>
      </c>
      <c r="L2450">
        <v>3316168373</v>
      </c>
      <c r="M2450">
        <v>3645902292</v>
      </c>
      <c r="N2450">
        <v>2981493753</v>
      </c>
      <c r="O2450">
        <v>3371001900</v>
      </c>
      <c r="P2450">
        <v>103</v>
      </c>
      <c r="Q2450" t="s">
        <v>5236</v>
      </c>
    </row>
    <row r="2451" spans="1:17" x14ac:dyDescent="0.3">
      <c r="A2451" t="s">
        <v>47</v>
      </c>
      <c r="B2451" t="str">
        <f>"002959"</f>
        <v>002959</v>
      </c>
      <c r="C2451" t="s">
        <v>5237</v>
      </c>
      <c r="D2451" t="s">
        <v>2285</v>
      </c>
      <c r="E2451">
        <v>3700151357</v>
      </c>
      <c r="F2451">
        <v>3623973054</v>
      </c>
      <c r="G2451">
        <v>2673038989</v>
      </c>
      <c r="H2451">
        <v>1094795967</v>
      </c>
      <c r="P2451">
        <v>1479</v>
      </c>
      <c r="Q2451" t="s">
        <v>5238</v>
      </c>
    </row>
    <row r="2452" spans="1:17" x14ac:dyDescent="0.3">
      <c r="A2452" t="s">
        <v>47</v>
      </c>
      <c r="B2452" t="str">
        <f>"000931"</f>
        <v>000931</v>
      </c>
      <c r="C2452" t="s">
        <v>5239</v>
      </c>
      <c r="D2452" t="s">
        <v>550</v>
      </c>
      <c r="E2452">
        <v>3698418492</v>
      </c>
      <c r="F2452">
        <v>3382909861</v>
      </c>
      <c r="G2452">
        <v>3421929316</v>
      </c>
      <c r="H2452">
        <v>3498126840</v>
      </c>
      <c r="I2452">
        <v>3446058415</v>
      </c>
      <c r="J2452">
        <v>3365982110</v>
      </c>
      <c r="K2452">
        <v>3035835432</v>
      </c>
      <c r="L2452">
        <v>2466233986</v>
      </c>
      <c r="M2452">
        <v>3962260561</v>
      </c>
      <c r="N2452">
        <v>3839008640</v>
      </c>
      <c r="O2452">
        <v>4139822084</v>
      </c>
      <c r="P2452">
        <v>142</v>
      </c>
      <c r="Q2452" t="s">
        <v>5240</v>
      </c>
    </row>
    <row r="2453" spans="1:17" x14ac:dyDescent="0.3">
      <c r="A2453" t="s">
        <v>17</v>
      </c>
      <c r="B2453" t="str">
        <f>"688057"</f>
        <v>688057</v>
      </c>
      <c r="C2453" t="s">
        <v>5241</v>
      </c>
      <c r="D2453" t="s">
        <v>520</v>
      </c>
      <c r="E2453">
        <v>3697342069</v>
      </c>
      <c r="F2453">
        <v>3650380293</v>
      </c>
      <c r="H2453">
        <v>1648133632</v>
      </c>
      <c r="I2453">
        <v>1406495103</v>
      </c>
      <c r="P2453">
        <v>116</v>
      </c>
      <c r="Q2453" t="s">
        <v>5242</v>
      </c>
    </row>
    <row r="2454" spans="1:17" x14ac:dyDescent="0.3">
      <c r="A2454" t="s">
        <v>17</v>
      </c>
      <c r="B2454" t="str">
        <f>"603188"</f>
        <v>603188</v>
      </c>
      <c r="C2454" t="s">
        <v>5243</v>
      </c>
      <c r="D2454" t="s">
        <v>703</v>
      </c>
      <c r="E2454">
        <v>3695383458</v>
      </c>
      <c r="F2454">
        <v>3725002077</v>
      </c>
      <c r="G2454">
        <v>4699044941</v>
      </c>
      <c r="H2454">
        <v>5051581582</v>
      </c>
      <c r="I2454">
        <v>5059739794</v>
      </c>
      <c r="J2454">
        <v>4267124211</v>
      </c>
      <c r="K2454">
        <v>3988087286</v>
      </c>
      <c r="L2454">
        <v>3580917525</v>
      </c>
      <c r="P2454">
        <v>206</v>
      </c>
      <c r="Q2454" t="s">
        <v>5244</v>
      </c>
    </row>
    <row r="2455" spans="1:17" x14ac:dyDescent="0.3">
      <c r="A2455" t="s">
        <v>17</v>
      </c>
      <c r="B2455" t="str">
        <f>"603982"</f>
        <v>603982</v>
      </c>
      <c r="C2455" t="s">
        <v>5245</v>
      </c>
      <c r="D2455" t="s">
        <v>274</v>
      </c>
      <c r="E2455">
        <v>3695276022</v>
      </c>
      <c r="F2455">
        <v>2323901233</v>
      </c>
      <c r="G2455">
        <v>2005089009</v>
      </c>
      <c r="H2455">
        <v>1906091209</v>
      </c>
      <c r="P2455">
        <v>122</v>
      </c>
      <c r="Q2455" t="s">
        <v>5246</v>
      </c>
    </row>
    <row r="2456" spans="1:17" x14ac:dyDescent="0.3">
      <c r="A2456" t="s">
        <v>17</v>
      </c>
      <c r="B2456" t="str">
        <f>"603577"</f>
        <v>603577</v>
      </c>
      <c r="C2456" t="s">
        <v>5247</v>
      </c>
      <c r="D2456" t="s">
        <v>1616</v>
      </c>
      <c r="E2456">
        <v>3691747433</v>
      </c>
      <c r="F2456">
        <v>2997974711</v>
      </c>
      <c r="G2456">
        <v>2440376925</v>
      </c>
      <c r="H2456">
        <v>2387564139</v>
      </c>
      <c r="I2456">
        <v>1724497244</v>
      </c>
      <c r="J2456">
        <v>1572274656</v>
      </c>
      <c r="P2456">
        <v>90</v>
      </c>
      <c r="Q2456" t="s">
        <v>5248</v>
      </c>
    </row>
    <row r="2457" spans="1:17" x14ac:dyDescent="0.3">
      <c r="A2457" t="s">
        <v>17</v>
      </c>
      <c r="B2457" t="str">
        <f>"600794"</f>
        <v>600794</v>
      </c>
      <c r="C2457" t="s">
        <v>5249</v>
      </c>
      <c r="D2457" t="s">
        <v>1477</v>
      </c>
      <c r="E2457">
        <v>3689556428</v>
      </c>
      <c r="F2457">
        <v>3479129953</v>
      </c>
      <c r="G2457">
        <v>3401814826</v>
      </c>
      <c r="H2457">
        <v>3009040818</v>
      </c>
      <c r="I2457">
        <v>3315156231</v>
      </c>
      <c r="J2457">
        <v>3530396228</v>
      </c>
      <c r="K2457">
        <v>3121429988</v>
      </c>
      <c r="L2457">
        <v>2888306536</v>
      </c>
      <c r="M2457">
        <v>2687377077</v>
      </c>
      <c r="N2457">
        <v>2149179275</v>
      </c>
      <c r="O2457">
        <v>1724743808</v>
      </c>
      <c r="P2457">
        <v>100</v>
      </c>
      <c r="Q2457" t="s">
        <v>5250</v>
      </c>
    </row>
    <row r="2458" spans="1:17" x14ac:dyDescent="0.3">
      <c r="A2458" t="s">
        <v>17</v>
      </c>
      <c r="B2458" t="str">
        <f>"600199"</f>
        <v>600199</v>
      </c>
      <c r="C2458" t="s">
        <v>5251</v>
      </c>
      <c r="D2458" t="s">
        <v>286</v>
      </c>
      <c r="E2458">
        <v>3687430478</v>
      </c>
      <c r="F2458">
        <v>3834937466</v>
      </c>
      <c r="G2458">
        <v>3592019783</v>
      </c>
      <c r="H2458">
        <v>3215128004</v>
      </c>
      <c r="I2458">
        <v>3065424585</v>
      </c>
      <c r="J2458">
        <v>3132907167</v>
      </c>
      <c r="K2458">
        <v>3255579865</v>
      </c>
      <c r="L2458">
        <v>3255939399</v>
      </c>
      <c r="M2458">
        <v>3210573042</v>
      </c>
      <c r="N2458">
        <v>3145092199</v>
      </c>
      <c r="O2458">
        <v>2486465322</v>
      </c>
      <c r="P2458">
        <v>383</v>
      </c>
      <c r="Q2458" t="s">
        <v>5252</v>
      </c>
    </row>
    <row r="2459" spans="1:17" x14ac:dyDescent="0.3">
      <c r="A2459" t="s">
        <v>17</v>
      </c>
      <c r="B2459" t="str">
        <f>"603067"</f>
        <v>603067</v>
      </c>
      <c r="C2459" t="s">
        <v>5253</v>
      </c>
      <c r="D2459" t="s">
        <v>1930</v>
      </c>
      <c r="E2459">
        <v>3687296247</v>
      </c>
      <c r="F2459">
        <v>3396513431</v>
      </c>
      <c r="G2459">
        <v>1496455895</v>
      </c>
      <c r="H2459">
        <v>1396881470</v>
      </c>
      <c r="I2459">
        <v>1289408577</v>
      </c>
      <c r="J2459">
        <v>1196250317</v>
      </c>
      <c r="P2459">
        <v>136</v>
      </c>
      <c r="Q2459" t="s">
        <v>5254</v>
      </c>
    </row>
    <row r="2460" spans="1:17" x14ac:dyDescent="0.3">
      <c r="A2460" t="s">
        <v>17</v>
      </c>
      <c r="B2460" t="str">
        <f>"603878"</f>
        <v>603878</v>
      </c>
      <c r="C2460" t="s">
        <v>5255</v>
      </c>
      <c r="D2460" t="s">
        <v>803</v>
      </c>
      <c r="E2460">
        <v>3682669589</v>
      </c>
      <c r="F2460">
        <v>3415849941</v>
      </c>
      <c r="G2460">
        <v>3140460804</v>
      </c>
      <c r="H2460">
        <v>3128441698</v>
      </c>
      <c r="I2460">
        <v>2678393450</v>
      </c>
      <c r="J2460">
        <v>2349831839</v>
      </c>
      <c r="P2460">
        <v>142</v>
      </c>
      <c r="Q2460" t="s">
        <v>5256</v>
      </c>
    </row>
    <row r="2461" spans="1:17" x14ac:dyDescent="0.3">
      <c r="A2461" t="s">
        <v>17</v>
      </c>
      <c r="B2461" t="str">
        <f>"600343"</f>
        <v>600343</v>
      </c>
      <c r="C2461" t="s">
        <v>5257</v>
      </c>
      <c r="D2461" t="s">
        <v>1180</v>
      </c>
      <c r="E2461">
        <v>3681085566</v>
      </c>
      <c r="F2461">
        <v>3770691467</v>
      </c>
      <c r="G2461">
        <v>4030338100</v>
      </c>
      <c r="H2461">
        <v>4589980708</v>
      </c>
      <c r="I2461">
        <v>4192945688</v>
      </c>
      <c r="J2461">
        <v>4368479325</v>
      </c>
      <c r="K2461">
        <v>3970321968</v>
      </c>
      <c r="L2461">
        <v>3851277995</v>
      </c>
      <c r="M2461">
        <v>3715242146</v>
      </c>
      <c r="N2461">
        <v>3771379475</v>
      </c>
      <c r="O2461">
        <v>2725393599</v>
      </c>
      <c r="P2461">
        <v>128</v>
      </c>
      <c r="Q2461" t="s">
        <v>5258</v>
      </c>
    </row>
    <row r="2462" spans="1:17" x14ac:dyDescent="0.3">
      <c r="A2462" t="s">
        <v>47</v>
      </c>
      <c r="B2462" t="str">
        <f>"002755"</f>
        <v>002755</v>
      </c>
      <c r="C2462" t="s">
        <v>5259</v>
      </c>
      <c r="D2462" t="s">
        <v>550</v>
      </c>
      <c r="E2462">
        <v>3678238089</v>
      </c>
      <c r="F2462">
        <v>3838196583</v>
      </c>
      <c r="G2462">
        <v>3558334737</v>
      </c>
      <c r="H2462">
        <v>3093706957</v>
      </c>
      <c r="I2462">
        <v>833326589</v>
      </c>
      <c r="J2462">
        <v>668497410</v>
      </c>
      <c r="K2462">
        <v>679489197</v>
      </c>
      <c r="L2462">
        <v>532697954</v>
      </c>
      <c r="P2462">
        <v>307</v>
      </c>
      <c r="Q2462" t="s">
        <v>5260</v>
      </c>
    </row>
    <row r="2463" spans="1:17" x14ac:dyDescent="0.3">
      <c r="A2463" t="s">
        <v>47</v>
      </c>
      <c r="B2463" t="str">
        <f>"002339"</f>
        <v>002339</v>
      </c>
      <c r="C2463" t="s">
        <v>5261</v>
      </c>
      <c r="D2463" t="s">
        <v>679</v>
      </c>
      <c r="E2463">
        <v>3670822010</v>
      </c>
      <c r="F2463">
        <v>3491619599</v>
      </c>
      <c r="G2463">
        <v>3374501915</v>
      </c>
      <c r="H2463">
        <v>3341153155</v>
      </c>
      <c r="I2463">
        <v>3396637728</v>
      </c>
      <c r="J2463">
        <v>2857597572</v>
      </c>
      <c r="K2463">
        <v>2358076029</v>
      </c>
      <c r="L2463">
        <v>1847532417</v>
      </c>
      <c r="M2463">
        <v>1616833362</v>
      </c>
      <c r="N2463">
        <v>1458141702</v>
      </c>
      <c r="O2463">
        <v>1118009445</v>
      </c>
      <c r="P2463">
        <v>120</v>
      </c>
      <c r="Q2463" t="s">
        <v>5262</v>
      </c>
    </row>
    <row r="2464" spans="1:17" x14ac:dyDescent="0.3">
      <c r="A2464" t="s">
        <v>17</v>
      </c>
      <c r="B2464" t="str">
        <f>"603011"</f>
        <v>603011</v>
      </c>
      <c r="C2464" t="s">
        <v>5263</v>
      </c>
      <c r="D2464" t="s">
        <v>1973</v>
      </c>
      <c r="E2464">
        <v>3670443171</v>
      </c>
      <c r="F2464">
        <v>2658800924</v>
      </c>
      <c r="G2464">
        <v>2552520256</v>
      </c>
      <c r="H2464">
        <v>2217206140</v>
      </c>
      <c r="I2464">
        <v>2244491195</v>
      </c>
      <c r="J2464">
        <v>2033941922</v>
      </c>
      <c r="K2464">
        <v>1756854572</v>
      </c>
      <c r="L2464">
        <v>1011041611</v>
      </c>
      <c r="P2464">
        <v>82</v>
      </c>
      <c r="Q2464" t="s">
        <v>5264</v>
      </c>
    </row>
    <row r="2465" spans="1:17" x14ac:dyDescent="0.3">
      <c r="A2465" t="s">
        <v>47</v>
      </c>
      <c r="B2465" t="str">
        <f>"000812"</f>
        <v>000812</v>
      </c>
      <c r="C2465" t="s">
        <v>5265</v>
      </c>
      <c r="D2465" t="s">
        <v>1842</v>
      </c>
      <c r="E2465">
        <v>3665244007</v>
      </c>
      <c r="F2465">
        <v>3300204291</v>
      </c>
      <c r="G2465">
        <v>2987776729</v>
      </c>
      <c r="H2465">
        <v>2545771905</v>
      </c>
      <c r="I2465">
        <v>2248568894</v>
      </c>
      <c r="J2465">
        <v>1776995902</v>
      </c>
      <c r="K2465">
        <v>1997456436</v>
      </c>
      <c r="L2465">
        <v>1790600253</v>
      </c>
      <c r="M2465">
        <v>1601852109</v>
      </c>
      <c r="N2465">
        <v>1394157065</v>
      </c>
      <c r="O2465">
        <v>1278785505</v>
      </c>
      <c r="P2465">
        <v>111</v>
      </c>
      <c r="Q2465" t="s">
        <v>5266</v>
      </c>
    </row>
    <row r="2466" spans="1:17" x14ac:dyDescent="0.3">
      <c r="A2466" t="s">
        <v>47</v>
      </c>
      <c r="B2466" t="str">
        <f>"300416"</f>
        <v>300416</v>
      </c>
      <c r="C2466" t="s">
        <v>5267</v>
      </c>
      <c r="D2466" t="s">
        <v>3722</v>
      </c>
      <c r="E2466">
        <v>3659824702</v>
      </c>
      <c r="F2466">
        <v>2873188455</v>
      </c>
      <c r="G2466">
        <v>2111199454</v>
      </c>
      <c r="H2466">
        <v>1395613151</v>
      </c>
      <c r="I2466">
        <v>1052105903</v>
      </c>
      <c r="J2466">
        <v>748031463</v>
      </c>
      <c r="K2466">
        <v>593755345</v>
      </c>
      <c r="L2466">
        <v>589880284</v>
      </c>
      <c r="P2466">
        <v>305</v>
      </c>
      <c r="Q2466" t="s">
        <v>5268</v>
      </c>
    </row>
    <row r="2467" spans="1:17" x14ac:dyDescent="0.3">
      <c r="A2467" t="s">
        <v>47</v>
      </c>
      <c r="B2467" t="str">
        <f>"002238"</f>
        <v>002238</v>
      </c>
      <c r="C2467" t="s">
        <v>5269</v>
      </c>
      <c r="D2467" t="s">
        <v>973</v>
      </c>
      <c r="E2467">
        <v>3658546792</v>
      </c>
      <c r="F2467">
        <v>3870538685</v>
      </c>
      <c r="G2467">
        <v>3813337337</v>
      </c>
      <c r="H2467">
        <v>3927444361</v>
      </c>
      <c r="I2467">
        <v>3923294526</v>
      </c>
      <c r="J2467">
        <v>3808657900</v>
      </c>
      <c r="K2467">
        <v>3609880881</v>
      </c>
      <c r="L2467">
        <v>3124016589</v>
      </c>
      <c r="M2467">
        <v>2110753930</v>
      </c>
      <c r="N2467">
        <v>1975033312</v>
      </c>
      <c r="O2467">
        <v>1974217045</v>
      </c>
      <c r="P2467">
        <v>205</v>
      </c>
      <c r="Q2467" t="s">
        <v>5270</v>
      </c>
    </row>
    <row r="2468" spans="1:17" x14ac:dyDescent="0.3">
      <c r="A2468" t="s">
        <v>47</v>
      </c>
      <c r="B2468" t="str">
        <f>"301058"</f>
        <v>301058</v>
      </c>
      <c r="C2468" t="s">
        <v>5271</v>
      </c>
      <c r="D2468" t="s">
        <v>2178</v>
      </c>
      <c r="E2468">
        <v>3653180137</v>
      </c>
      <c r="P2468">
        <v>24</v>
      </c>
      <c r="Q2468" t="s">
        <v>5272</v>
      </c>
    </row>
    <row r="2469" spans="1:17" x14ac:dyDescent="0.3">
      <c r="A2469" t="s">
        <v>17</v>
      </c>
      <c r="B2469" t="str">
        <f>"600706"</f>
        <v>600706</v>
      </c>
      <c r="C2469" t="s">
        <v>5273</v>
      </c>
      <c r="D2469" t="s">
        <v>1942</v>
      </c>
      <c r="E2469">
        <v>3652851748</v>
      </c>
      <c r="F2469">
        <v>3125001926</v>
      </c>
      <c r="G2469">
        <v>2667960011</v>
      </c>
      <c r="H2469">
        <v>2210371523</v>
      </c>
      <c r="I2469">
        <v>1901854326</v>
      </c>
      <c r="J2469">
        <v>1696340373</v>
      </c>
      <c r="K2469">
        <v>1719212722</v>
      </c>
      <c r="L2469">
        <v>1760584716</v>
      </c>
      <c r="M2469">
        <v>1763956116</v>
      </c>
      <c r="N2469">
        <v>1738939128</v>
      </c>
      <c r="O2469">
        <v>16550590</v>
      </c>
      <c r="P2469">
        <v>122</v>
      </c>
      <c r="Q2469" t="s">
        <v>5274</v>
      </c>
    </row>
    <row r="2470" spans="1:17" x14ac:dyDescent="0.3">
      <c r="A2470" t="s">
        <v>17</v>
      </c>
      <c r="B2470" t="str">
        <f>"605122"</f>
        <v>605122</v>
      </c>
      <c r="C2470" t="s">
        <v>5275</v>
      </c>
      <c r="D2470" t="s">
        <v>1318</v>
      </c>
      <c r="E2470">
        <v>3649964317</v>
      </c>
      <c r="F2470">
        <v>3284510240</v>
      </c>
      <c r="P2470">
        <v>36</v>
      </c>
      <c r="Q2470" t="s">
        <v>5276</v>
      </c>
    </row>
    <row r="2471" spans="1:17" x14ac:dyDescent="0.3">
      <c r="A2471" t="s">
        <v>17</v>
      </c>
      <c r="B2471" t="str">
        <f>"605555"</f>
        <v>605555</v>
      </c>
      <c r="C2471" t="s">
        <v>5277</v>
      </c>
      <c r="D2471" t="s">
        <v>2676</v>
      </c>
      <c r="E2471">
        <v>3648446075</v>
      </c>
      <c r="P2471">
        <v>34</v>
      </c>
      <c r="Q2471" t="s">
        <v>5278</v>
      </c>
    </row>
    <row r="2472" spans="1:17" x14ac:dyDescent="0.3">
      <c r="A2472" t="s">
        <v>17</v>
      </c>
      <c r="B2472" t="str">
        <f>"603717"</f>
        <v>603717</v>
      </c>
      <c r="C2472" t="s">
        <v>5279</v>
      </c>
      <c r="D2472" t="s">
        <v>952</v>
      </c>
      <c r="E2472">
        <v>3648364419</v>
      </c>
      <c r="F2472">
        <v>3135581338</v>
      </c>
      <c r="G2472">
        <v>3370724723</v>
      </c>
      <c r="H2472">
        <v>3122147769</v>
      </c>
      <c r="I2472">
        <v>2460017463</v>
      </c>
      <c r="J2472">
        <v>2030155365</v>
      </c>
      <c r="P2472">
        <v>55</v>
      </c>
      <c r="Q2472" t="s">
        <v>5280</v>
      </c>
    </row>
    <row r="2473" spans="1:17" x14ac:dyDescent="0.3">
      <c r="A2473" t="s">
        <v>47</v>
      </c>
      <c r="B2473" t="str">
        <f>"300228"</f>
        <v>300228</v>
      </c>
      <c r="C2473" t="s">
        <v>5281</v>
      </c>
      <c r="D2473" t="s">
        <v>401</v>
      </c>
      <c r="E2473">
        <v>3646319767</v>
      </c>
      <c r="F2473">
        <v>3922146687</v>
      </c>
      <c r="G2473">
        <v>3481842204</v>
      </c>
      <c r="H2473">
        <v>3924241797</v>
      </c>
      <c r="I2473">
        <v>4338657397</v>
      </c>
      <c r="J2473">
        <v>4048842798</v>
      </c>
      <c r="K2473">
        <v>3856865288</v>
      </c>
      <c r="L2473">
        <v>3201285402</v>
      </c>
      <c r="M2473">
        <v>3089591512</v>
      </c>
      <c r="N2473">
        <v>2429985083</v>
      </c>
      <c r="O2473">
        <v>1514817159</v>
      </c>
      <c r="P2473">
        <v>128</v>
      </c>
      <c r="Q2473" t="s">
        <v>5282</v>
      </c>
    </row>
    <row r="2474" spans="1:17" x14ac:dyDescent="0.3">
      <c r="A2474" t="s">
        <v>47</v>
      </c>
      <c r="B2474" t="str">
        <f>"002989"</f>
        <v>002989</v>
      </c>
      <c r="C2474" t="s">
        <v>5283</v>
      </c>
      <c r="D2474" t="s">
        <v>1163</v>
      </c>
      <c r="E2474">
        <v>3645608548</v>
      </c>
      <c r="F2474">
        <v>2591588578</v>
      </c>
      <c r="G2474">
        <v>1621215730</v>
      </c>
      <c r="P2474">
        <v>137</v>
      </c>
      <c r="Q2474" t="s">
        <v>5284</v>
      </c>
    </row>
    <row r="2475" spans="1:17" x14ac:dyDescent="0.3">
      <c r="A2475" t="s">
        <v>47</v>
      </c>
      <c r="B2475" t="str">
        <f>"300443"</f>
        <v>300443</v>
      </c>
      <c r="C2475" t="s">
        <v>5285</v>
      </c>
      <c r="D2475" t="s">
        <v>2013</v>
      </c>
      <c r="E2475">
        <v>3644121394</v>
      </c>
      <c r="F2475">
        <v>3109959287</v>
      </c>
      <c r="G2475">
        <v>2174212132</v>
      </c>
      <c r="H2475">
        <v>1897964616</v>
      </c>
      <c r="I2475">
        <v>1715906008</v>
      </c>
      <c r="J2475">
        <v>1718227904</v>
      </c>
      <c r="K2475">
        <v>1087554859</v>
      </c>
      <c r="L2475">
        <v>694125463</v>
      </c>
      <c r="P2475">
        <v>357</v>
      </c>
      <c r="Q2475" t="s">
        <v>5286</v>
      </c>
    </row>
    <row r="2476" spans="1:17" x14ac:dyDescent="0.3">
      <c r="A2476" t="s">
        <v>47</v>
      </c>
      <c r="B2476" t="str">
        <f>"000802"</f>
        <v>000802</v>
      </c>
      <c r="C2476" t="s">
        <v>5287</v>
      </c>
      <c r="D2476" t="s">
        <v>1673</v>
      </c>
      <c r="E2476">
        <v>3639251705</v>
      </c>
      <c r="F2476">
        <v>4447797725</v>
      </c>
      <c r="G2476">
        <v>4957248461</v>
      </c>
      <c r="H2476">
        <v>6033819042</v>
      </c>
      <c r="I2476">
        <v>5514869566</v>
      </c>
      <c r="J2476">
        <v>5222845550</v>
      </c>
      <c r="K2476">
        <v>4218492391</v>
      </c>
      <c r="L2476">
        <v>1484004923</v>
      </c>
      <c r="M2476">
        <v>1082005643</v>
      </c>
      <c r="N2476">
        <v>963167617</v>
      </c>
      <c r="O2476">
        <v>934227646</v>
      </c>
      <c r="P2476">
        <v>205</v>
      </c>
      <c r="Q2476" t="s">
        <v>5288</v>
      </c>
    </row>
    <row r="2477" spans="1:17" x14ac:dyDescent="0.3">
      <c r="A2477" t="s">
        <v>47</v>
      </c>
      <c r="B2477" t="str">
        <f>"300366"</f>
        <v>300366</v>
      </c>
      <c r="C2477" t="s">
        <v>5289</v>
      </c>
      <c r="D2477" t="s">
        <v>1859</v>
      </c>
      <c r="E2477">
        <v>3636870214</v>
      </c>
      <c r="F2477">
        <v>3221401342</v>
      </c>
      <c r="G2477">
        <v>3822907925</v>
      </c>
      <c r="H2477">
        <v>3806742504</v>
      </c>
      <c r="I2477">
        <v>3649678498</v>
      </c>
      <c r="J2477">
        <v>3490589062</v>
      </c>
      <c r="K2477">
        <v>1762433183</v>
      </c>
      <c r="L2477">
        <v>443257028</v>
      </c>
      <c r="M2477">
        <v>357809196</v>
      </c>
      <c r="P2477">
        <v>222</v>
      </c>
      <c r="Q2477" t="s">
        <v>5290</v>
      </c>
    </row>
    <row r="2478" spans="1:17" x14ac:dyDescent="0.3">
      <c r="A2478" t="s">
        <v>17</v>
      </c>
      <c r="B2478" t="str">
        <f>"688166"</f>
        <v>688166</v>
      </c>
      <c r="C2478" t="s">
        <v>5291</v>
      </c>
      <c r="D2478" t="s">
        <v>550</v>
      </c>
      <c r="E2478">
        <v>3630151545</v>
      </c>
      <c r="F2478">
        <v>2126636828</v>
      </c>
      <c r="G2478">
        <v>1442976657</v>
      </c>
      <c r="H2478">
        <v>869305929</v>
      </c>
      <c r="P2478">
        <v>190</v>
      </c>
      <c r="Q2478" t="s">
        <v>5292</v>
      </c>
    </row>
    <row r="2479" spans="1:17" x14ac:dyDescent="0.3">
      <c r="A2479" t="s">
        <v>17</v>
      </c>
      <c r="B2479" t="str">
        <f>"600468"</f>
        <v>600468</v>
      </c>
      <c r="C2479" t="s">
        <v>5293</v>
      </c>
      <c r="D2479" t="s">
        <v>562</v>
      </c>
      <c r="E2479">
        <v>3626028699</v>
      </c>
      <c r="F2479">
        <v>3591234890</v>
      </c>
      <c r="G2479">
        <v>3368767986</v>
      </c>
      <c r="H2479">
        <v>2644691502</v>
      </c>
      <c r="I2479">
        <v>2784457879</v>
      </c>
      <c r="J2479">
        <v>2639366148</v>
      </c>
      <c r="K2479">
        <v>2560054934</v>
      </c>
      <c r="L2479">
        <v>1458750747</v>
      </c>
      <c r="M2479">
        <v>1286127436</v>
      </c>
      <c r="N2479">
        <v>1250752248</v>
      </c>
      <c r="O2479">
        <v>1273310661</v>
      </c>
      <c r="P2479">
        <v>89</v>
      </c>
      <c r="Q2479" t="s">
        <v>5294</v>
      </c>
    </row>
    <row r="2480" spans="1:17" x14ac:dyDescent="0.3">
      <c r="A2480" t="s">
        <v>47</v>
      </c>
      <c r="B2480" t="str">
        <f>"002823"</f>
        <v>002823</v>
      </c>
      <c r="C2480" t="s">
        <v>5295</v>
      </c>
      <c r="D2480" t="s">
        <v>1594</v>
      </c>
      <c r="E2480">
        <v>3624757758</v>
      </c>
      <c r="F2480">
        <v>3536272299</v>
      </c>
      <c r="G2480">
        <v>3282719247</v>
      </c>
      <c r="H2480">
        <v>2907069085</v>
      </c>
      <c r="I2480">
        <v>2014250403</v>
      </c>
      <c r="J2480">
        <v>1577033274</v>
      </c>
      <c r="P2480">
        <v>158</v>
      </c>
      <c r="Q2480" t="s">
        <v>5296</v>
      </c>
    </row>
    <row r="2481" spans="1:17" x14ac:dyDescent="0.3">
      <c r="A2481" t="s">
        <v>17</v>
      </c>
      <c r="B2481" t="str">
        <f>"603666"</f>
        <v>603666</v>
      </c>
      <c r="C2481" t="s">
        <v>5297</v>
      </c>
      <c r="D2481" t="s">
        <v>2592</v>
      </c>
      <c r="E2481">
        <v>3624305922</v>
      </c>
      <c r="F2481">
        <v>1962022361</v>
      </c>
      <c r="G2481">
        <v>1593838750</v>
      </c>
      <c r="H2481">
        <v>1153802770</v>
      </c>
      <c r="I2481">
        <v>495860756</v>
      </c>
      <c r="P2481">
        <v>449</v>
      </c>
      <c r="Q2481" t="s">
        <v>5298</v>
      </c>
    </row>
    <row r="2482" spans="1:17" x14ac:dyDescent="0.3">
      <c r="A2482" t="s">
        <v>47</v>
      </c>
      <c r="B2482" t="str">
        <f>"300039"</f>
        <v>300039</v>
      </c>
      <c r="C2482" t="s">
        <v>5299</v>
      </c>
      <c r="D2482" t="s">
        <v>695</v>
      </c>
      <c r="E2482">
        <v>3622340111</v>
      </c>
      <c r="F2482">
        <v>2928300822</v>
      </c>
      <c r="G2482">
        <v>2943004366</v>
      </c>
      <c r="H2482">
        <v>2889017502</v>
      </c>
      <c r="I2482">
        <v>2850558742</v>
      </c>
      <c r="J2482">
        <v>2654752071</v>
      </c>
      <c r="K2482">
        <v>2535454359</v>
      </c>
      <c r="L2482">
        <v>2303840295</v>
      </c>
      <c r="M2482">
        <v>1879796345</v>
      </c>
      <c r="N2482">
        <v>1691039211</v>
      </c>
      <c r="O2482">
        <v>1556338657</v>
      </c>
      <c r="P2482">
        <v>223</v>
      </c>
      <c r="Q2482" t="s">
        <v>5300</v>
      </c>
    </row>
    <row r="2483" spans="1:17" x14ac:dyDescent="0.3">
      <c r="A2483" t="s">
        <v>47</v>
      </c>
      <c r="B2483" t="str">
        <f>"301123"</f>
        <v>301123</v>
      </c>
      <c r="C2483" t="s">
        <v>5301</v>
      </c>
      <c r="E2483">
        <v>3613506438</v>
      </c>
      <c r="P2483">
        <v>6</v>
      </c>
      <c r="Q2483" t="s">
        <v>5302</v>
      </c>
    </row>
    <row r="2484" spans="1:17" x14ac:dyDescent="0.3">
      <c r="A2484" t="s">
        <v>47</v>
      </c>
      <c r="B2484" t="str">
        <f>"000668"</f>
        <v>000668</v>
      </c>
      <c r="C2484" t="s">
        <v>5303</v>
      </c>
      <c r="D2484" t="s">
        <v>76</v>
      </c>
      <c r="E2484">
        <v>3612818577</v>
      </c>
      <c r="F2484">
        <v>2572039151</v>
      </c>
      <c r="G2484">
        <v>2713969049</v>
      </c>
      <c r="H2484">
        <v>2790128183</v>
      </c>
      <c r="I2484">
        <v>2551172924</v>
      </c>
      <c r="J2484">
        <v>1788555158</v>
      </c>
      <c r="K2484">
        <v>1860819295</v>
      </c>
      <c r="L2484">
        <v>1663697969</v>
      </c>
      <c r="M2484">
        <v>1535106467</v>
      </c>
      <c r="N2484">
        <v>1111234371</v>
      </c>
      <c r="O2484">
        <v>1078263157</v>
      </c>
      <c r="P2484">
        <v>96</v>
      </c>
      <c r="Q2484" t="s">
        <v>5304</v>
      </c>
    </row>
    <row r="2485" spans="1:17" x14ac:dyDescent="0.3">
      <c r="A2485" t="s">
        <v>47</v>
      </c>
      <c r="B2485" t="str">
        <f>"300768"</f>
        <v>300768</v>
      </c>
      <c r="C2485" t="s">
        <v>5305</v>
      </c>
      <c r="D2485" t="s">
        <v>1010</v>
      </c>
      <c r="E2485">
        <v>3612596071</v>
      </c>
      <c r="F2485">
        <v>2373489384</v>
      </c>
      <c r="G2485">
        <v>2143223171</v>
      </c>
      <c r="H2485">
        <v>1431623157</v>
      </c>
      <c r="P2485">
        <v>240</v>
      </c>
      <c r="Q2485" t="s">
        <v>5306</v>
      </c>
    </row>
    <row r="2486" spans="1:17" x14ac:dyDescent="0.3">
      <c r="A2486" t="s">
        <v>47</v>
      </c>
      <c r="B2486" t="str">
        <f>"002522"</f>
        <v>002522</v>
      </c>
      <c r="C2486" t="s">
        <v>5307</v>
      </c>
      <c r="D2486" t="s">
        <v>2485</v>
      </c>
      <c r="E2486">
        <v>3610773699</v>
      </c>
      <c r="F2486">
        <v>3397706259</v>
      </c>
      <c r="G2486">
        <v>3196264517</v>
      </c>
      <c r="H2486">
        <v>3141300697</v>
      </c>
      <c r="I2486">
        <v>2965824215</v>
      </c>
      <c r="J2486">
        <v>2569427847</v>
      </c>
      <c r="K2486">
        <v>1707964763</v>
      </c>
      <c r="L2486">
        <v>1805353634</v>
      </c>
      <c r="M2486">
        <v>1632675928</v>
      </c>
      <c r="N2486">
        <v>1362975647</v>
      </c>
      <c r="O2486">
        <v>1247925308</v>
      </c>
      <c r="P2486">
        <v>367</v>
      </c>
      <c r="Q2486" t="s">
        <v>5308</v>
      </c>
    </row>
    <row r="2487" spans="1:17" x14ac:dyDescent="0.3">
      <c r="A2487" t="s">
        <v>47</v>
      </c>
      <c r="B2487" t="str">
        <f>"002724"</f>
        <v>002724</v>
      </c>
      <c r="C2487" t="s">
        <v>5309</v>
      </c>
      <c r="D2487" t="s">
        <v>1609</v>
      </c>
      <c r="E2487">
        <v>3610630953</v>
      </c>
      <c r="F2487">
        <v>3196981088</v>
      </c>
      <c r="G2487">
        <v>2319614054</v>
      </c>
      <c r="H2487">
        <v>2100374785</v>
      </c>
      <c r="I2487">
        <v>1967342417</v>
      </c>
      <c r="J2487">
        <v>1801101268</v>
      </c>
      <c r="K2487">
        <v>1702105292</v>
      </c>
      <c r="L2487">
        <v>1657299667</v>
      </c>
      <c r="P2487">
        <v>139</v>
      </c>
      <c r="Q2487" t="s">
        <v>5310</v>
      </c>
    </row>
    <row r="2488" spans="1:17" x14ac:dyDescent="0.3">
      <c r="A2488" t="s">
        <v>17</v>
      </c>
      <c r="B2488" t="str">
        <f>"603489"</f>
        <v>603489</v>
      </c>
      <c r="C2488" t="s">
        <v>5311</v>
      </c>
      <c r="D2488" t="s">
        <v>1594</v>
      </c>
      <c r="E2488">
        <v>3607872244</v>
      </c>
      <c r="F2488">
        <v>3099264430</v>
      </c>
      <c r="G2488">
        <v>2345700787</v>
      </c>
      <c r="P2488">
        <v>490</v>
      </c>
      <c r="Q2488" t="s">
        <v>5312</v>
      </c>
    </row>
    <row r="2489" spans="1:17" x14ac:dyDescent="0.3">
      <c r="A2489" t="s">
        <v>47</v>
      </c>
      <c r="B2489" t="str">
        <f>"002757"</f>
        <v>002757</v>
      </c>
      <c r="C2489" t="s">
        <v>5313</v>
      </c>
      <c r="D2489" t="s">
        <v>1973</v>
      </c>
      <c r="E2489">
        <v>3599003430</v>
      </c>
      <c r="F2489">
        <v>2992405748</v>
      </c>
      <c r="G2489">
        <v>2479741931</v>
      </c>
      <c r="H2489">
        <v>2191602893</v>
      </c>
      <c r="I2489">
        <v>1180563245</v>
      </c>
      <c r="J2489">
        <v>1004668373</v>
      </c>
      <c r="K2489">
        <v>886159016</v>
      </c>
      <c r="L2489">
        <v>642308722</v>
      </c>
      <c r="P2489">
        <v>267</v>
      </c>
      <c r="Q2489" t="s">
        <v>5314</v>
      </c>
    </row>
    <row r="2490" spans="1:17" x14ac:dyDescent="0.3">
      <c r="A2490" t="s">
        <v>17</v>
      </c>
      <c r="B2490" t="str">
        <f>"688029"</f>
        <v>688029</v>
      </c>
      <c r="C2490" t="s">
        <v>5315</v>
      </c>
      <c r="D2490" t="s">
        <v>1650</v>
      </c>
      <c r="E2490">
        <v>3591238588</v>
      </c>
      <c r="F2490">
        <v>3220607551</v>
      </c>
      <c r="G2490">
        <v>2855096974</v>
      </c>
      <c r="H2490">
        <v>984836600</v>
      </c>
      <c r="P2490">
        <v>392</v>
      </c>
      <c r="Q2490" t="s">
        <v>5316</v>
      </c>
    </row>
    <row r="2491" spans="1:17" x14ac:dyDescent="0.3">
      <c r="A2491" t="s">
        <v>47</v>
      </c>
      <c r="B2491" t="str">
        <f>"300834"</f>
        <v>300834</v>
      </c>
      <c r="C2491" t="s">
        <v>5317</v>
      </c>
      <c r="D2491" t="s">
        <v>2290</v>
      </c>
      <c r="E2491">
        <v>3589986340</v>
      </c>
      <c r="P2491">
        <v>19</v>
      </c>
      <c r="Q2491" t="s">
        <v>5318</v>
      </c>
    </row>
    <row r="2492" spans="1:17" x14ac:dyDescent="0.3">
      <c r="A2492" t="s">
        <v>17</v>
      </c>
      <c r="B2492" t="str">
        <f>"600052"</f>
        <v>600052</v>
      </c>
      <c r="C2492" t="s">
        <v>5319</v>
      </c>
      <c r="D2492" t="s">
        <v>1673</v>
      </c>
      <c r="E2492">
        <v>3581692529</v>
      </c>
      <c r="F2492">
        <v>3637735285</v>
      </c>
      <c r="G2492">
        <v>3990645588</v>
      </c>
      <c r="H2492">
        <v>7951180010</v>
      </c>
      <c r="I2492">
        <v>5688655286</v>
      </c>
      <c r="J2492">
        <v>4393539230</v>
      </c>
      <c r="K2492">
        <v>6125489194</v>
      </c>
      <c r="L2492">
        <v>9629803055</v>
      </c>
      <c r="M2492">
        <v>10606646371</v>
      </c>
      <c r="N2492">
        <v>10009646175</v>
      </c>
      <c r="O2492">
        <v>8925012705</v>
      </c>
      <c r="P2492">
        <v>133</v>
      </c>
      <c r="Q2492" t="s">
        <v>5320</v>
      </c>
    </row>
    <row r="2493" spans="1:17" x14ac:dyDescent="0.3">
      <c r="A2493" t="s">
        <v>47</v>
      </c>
      <c r="B2493" t="str">
        <f>"300709"</f>
        <v>300709</v>
      </c>
      <c r="C2493" t="s">
        <v>5321</v>
      </c>
      <c r="D2493" t="s">
        <v>283</v>
      </c>
      <c r="E2493">
        <v>3580758690</v>
      </c>
      <c r="F2493">
        <v>3573084446</v>
      </c>
      <c r="G2493">
        <v>2216182087</v>
      </c>
      <c r="H2493">
        <v>1707444749</v>
      </c>
      <c r="I2493">
        <v>1514907332</v>
      </c>
      <c r="P2493">
        <v>220</v>
      </c>
      <c r="Q2493" t="s">
        <v>5322</v>
      </c>
    </row>
    <row r="2494" spans="1:17" x14ac:dyDescent="0.3">
      <c r="A2494" t="s">
        <v>47</v>
      </c>
      <c r="B2494" t="str">
        <f>"300520"</f>
        <v>300520</v>
      </c>
      <c r="C2494" t="s">
        <v>5323</v>
      </c>
      <c r="D2494" t="s">
        <v>1859</v>
      </c>
      <c r="E2494">
        <v>3578443850</v>
      </c>
      <c r="F2494">
        <v>2616124786</v>
      </c>
      <c r="G2494">
        <v>2500601723</v>
      </c>
      <c r="H2494">
        <v>2000061038</v>
      </c>
      <c r="I2494">
        <v>1104546525</v>
      </c>
      <c r="J2494">
        <v>1038642780</v>
      </c>
      <c r="K2494">
        <v>435940316</v>
      </c>
      <c r="P2494">
        <v>255</v>
      </c>
      <c r="Q2494" t="s">
        <v>5324</v>
      </c>
    </row>
    <row r="2495" spans="1:17" x14ac:dyDescent="0.3">
      <c r="A2495" t="s">
        <v>17</v>
      </c>
      <c r="B2495" t="str">
        <f>"601599"</f>
        <v>601599</v>
      </c>
      <c r="C2495" t="s">
        <v>5325</v>
      </c>
      <c r="D2495" t="s">
        <v>3463</v>
      </c>
      <c r="E2495">
        <v>3577063209</v>
      </c>
      <c r="F2495">
        <v>3731187248</v>
      </c>
      <c r="G2495">
        <v>5998108174</v>
      </c>
      <c r="H2495">
        <v>6522568254</v>
      </c>
      <c r="I2495">
        <v>6809582602</v>
      </c>
      <c r="J2495">
        <v>5401359264</v>
      </c>
      <c r="K2495">
        <v>4333562126</v>
      </c>
      <c r="L2495">
        <v>3271991199</v>
      </c>
      <c r="M2495">
        <v>2615982710</v>
      </c>
      <c r="N2495">
        <v>2417366308</v>
      </c>
      <c r="O2495">
        <v>1763876068</v>
      </c>
      <c r="P2495">
        <v>60</v>
      </c>
      <c r="Q2495" t="s">
        <v>5326</v>
      </c>
    </row>
    <row r="2496" spans="1:17" x14ac:dyDescent="0.3">
      <c r="A2496" t="s">
        <v>47</v>
      </c>
      <c r="B2496" t="str">
        <f>"002334"</f>
        <v>002334</v>
      </c>
      <c r="C2496" t="s">
        <v>5327</v>
      </c>
      <c r="D2496" t="s">
        <v>1360</v>
      </c>
      <c r="E2496">
        <v>3576591677</v>
      </c>
      <c r="F2496">
        <v>3090289162</v>
      </c>
      <c r="G2496">
        <v>2680381146</v>
      </c>
      <c r="H2496">
        <v>3369230129</v>
      </c>
      <c r="I2496">
        <v>3410928114</v>
      </c>
      <c r="J2496">
        <v>2537840033</v>
      </c>
      <c r="K2496">
        <v>2165830122</v>
      </c>
      <c r="L2496">
        <v>1821940408</v>
      </c>
      <c r="M2496">
        <v>1643729663</v>
      </c>
      <c r="N2496">
        <v>1389150884</v>
      </c>
      <c r="O2496">
        <v>1308757235</v>
      </c>
      <c r="P2496">
        <v>222</v>
      </c>
      <c r="Q2496" t="s">
        <v>5328</v>
      </c>
    </row>
    <row r="2497" spans="1:17" x14ac:dyDescent="0.3">
      <c r="A2497" t="s">
        <v>47</v>
      </c>
      <c r="B2497" t="str">
        <f>"300437"</f>
        <v>300437</v>
      </c>
      <c r="C2497" t="s">
        <v>5329</v>
      </c>
      <c r="D2497" t="s">
        <v>520</v>
      </c>
      <c r="E2497">
        <v>3575697228</v>
      </c>
      <c r="F2497">
        <v>4560992346</v>
      </c>
      <c r="G2497">
        <v>4708965008</v>
      </c>
      <c r="H2497">
        <v>4047596232</v>
      </c>
      <c r="I2497">
        <v>3281155447</v>
      </c>
      <c r="J2497">
        <v>1582376148</v>
      </c>
      <c r="K2497">
        <v>481748754</v>
      </c>
      <c r="L2497">
        <v>296104110</v>
      </c>
      <c r="P2497">
        <v>143</v>
      </c>
      <c r="Q2497" t="s">
        <v>5330</v>
      </c>
    </row>
    <row r="2498" spans="1:17" x14ac:dyDescent="0.3">
      <c r="A2498" t="s">
        <v>47</v>
      </c>
      <c r="B2498" t="str">
        <f>"002170"</f>
        <v>002170</v>
      </c>
      <c r="C2498" t="s">
        <v>5331</v>
      </c>
      <c r="D2498" t="s">
        <v>2175</v>
      </c>
      <c r="E2498">
        <v>3572773143</v>
      </c>
      <c r="F2498">
        <v>3383263805</v>
      </c>
      <c r="G2498">
        <v>3932628771</v>
      </c>
      <c r="H2498">
        <v>3456389016</v>
      </c>
      <c r="I2498">
        <v>3857457221</v>
      </c>
      <c r="J2498">
        <v>3897120742</v>
      </c>
      <c r="K2498">
        <v>4159450679</v>
      </c>
      <c r="L2498">
        <v>3292278581</v>
      </c>
      <c r="M2498">
        <v>2441115486</v>
      </c>
      <c r="N2498">
        <v>2277560370</v>
      </c>
      <c r="O2498">
        <v>1193833507</v>
      </c>
      <c r="P2498">
        <v>103</v>
      </c>
      <c r="Q2498" t="s">
        <v>5332</v>
      </c>
    </row>
    <row r="2499" spans="1:17" x14ac:dyDescent="0.3">
      <c r="A2499" t="s">
        <v>17</v>
      </c>
      <c r="B2499" t="str">
        <f>"688536"</f>
        <v>688536</v>
      </c>
      <c r="C2499" t="s">
        <v>5333</v>
      </c>
      <c r="D2499" t="s">
        <v>2795</v>
      </c>
      <c r="E2499">
        <v>3571639933</v>
      </c>
      <c r="F2499">
        <v>2746628501</v>
      </c>
      <c r="P2499">
        <v>199</v>
      </c>
      <c r="Q2499" t="s">
        <v>5334</v>
      </c>
    </row>
    <row r="2500" spans="1:17" x14ac:dyDescent="0.3">
      <c r="A2500" t="s">
        <v>47</v>
      </c>
      <c r="B2500" t="str">
        <f>"002833"</f>
        <v>002833</v>
      </c>
      <c r="C2500" t="s">
        <v>5335</v>
      </c>
      <c r="D2500" t="s">
        <v>1973</v>
      </c>
      <c r="E2500">
        <v>3569441798</v>
      </c>
      <c r="F2500">
        <v>2477004851</v>
      </c>
      <c r="G2500">
        <v>1969504557</v>
      </c>
      <c r="H2500">
        <v>1549958509</v>
      </c>
      <c r="I2500">
        <v>1193329316</v>
      </c>
      <c r="J2500">
        <v>866920512</v>
      </c>
      <c r="P2500">
        <v>2869</v>
      </c>
      <c r="Q2500" t="s">
        <v>5336</v>
      </c>
    </row>
    <row r="2501" spans="1:17" x14ac:dyDescent="0.3">
      <c r="A2501" t="s">
        <v>47</v>
      </c>
      <c r="B2501" t="str">
        <f>"000159"</f>
        <v>000159</v>
      </c>
      <c r="C2501" t="s">
        <v>5337</v>
      </c>
      <c r="D2501" t="s">
        <v>731</v>
      </c>
      <c r="E2501">
        <v>3568572950</v>
      </c>
      <c r="F2501">
        <v>2563647669</v>
      </c>
      <c r="G2501">
        <v>2725579615</v>
      </c>
      <c r="H2501">
        <v>2722807772</v>
      </c>
      <c r="I2501">
        <v>2856486762</v>
      </c>
      <c r="J2501">
        <v>3143784029</v>
      </c>
      <c r="K2501">
        <v>2926138932</v>
      </c>
      <c r="L2501">
        <v>3163468472</v>
      </c>
      <c r="M2501">
        <v>3004810546</v>
      </c>
      <c r="N2501">
        <v>3057517961</v>
      </c>
      <c r="O2501">
        <v>3106909152</v>
      </c>
      <c r="P2501">
        <v>100</v>
      </c>
      <c r="Q2501" t="s">
        <v>5338</v>
      </c>
    </row>
    <row r="2502" spans="1:17" x14ac:dyDescent="0.3">
      <c r="A2502" t="s">
        <v>17</v>
      </c>
      <c r="B2502" t="str">
        <f>"688048"</f>
        <v>688048</v>
      </c>
      <c r="C2502" t="s">
        <v>5339</v>
      </c>
      <c r="E2502">
        <v>3567037005</v>
      </c>
      <c r="P2502">
        <v>12</v>
      </c>
      <c r="Q2502" t="s">
        <v>5340</v>
      </c>
    </row>
    <row r="2503" spans="1:17" x14ac:dyDescent="0.3">
      <c r="A2503" t="s">
        <v>17</v>
      </c>
      <c r="B2503" t="str">
        <f>"688339"</f>
        <v>688339</v>
      </c>
      <c r="C2503" t="s">
        <v>5341</v>
      </c>
      <c r="D2503" t="s">
        <v>5342</v>
      </c>
      <c r="E2503">
        <v>3563345115</v>
      </c>
      <c r="F2503">
        <v>2989598615</v>
      </c>
      <c r="G2503">
        <v>1674415000</v>
      </c>
      <c r="H2503">
        <v>1437859140</v>
      </c>
      <c r="P2503">
        <v>153</v>
      </c>
      <c r="Q2503" t="s">
        <v>5343</v>
      </c>
    </row>
    <row r="2504" spans="1:17" x14ac:dyDescent="0.3">
      <c r="A2504" t="s">
        <v>47</v>
      </c>
      <c r="B2504" t="str">
        <f>"300429"</f>
        <v>300429</v>
      </c>
      <c r="C2504" t="s">
        <v>5344</v>
      </c>
      <c r="D2504" t="s">
        <v>3050</v>
      </c>
      <c r="E2504">
        <v>3562567546</v>
      </c>
      <c r="F2504">
        <v>3012372489</v>
      </c>
      <c r="G2504">
        <v>2040345688</v>
      </c>
      <c r="H2504">
        <v>1939533831</v>
      </c>
      <c r="I2504">
        <v>1386696095</v>
      </c>
      <c r="J2504">
        <v>1156896996</v>
      </c>
      <c r="K2504">
        <v>673009201</v>
      </c>
      <c r="L2504">
        <v>665148505</v>
      </c>
      <c r="P2504">
        <v>261</v>
      </c>
      <c r="Q2504" t="s">
        <v>5345</v>
      </c>
    </row>
    <row r="2505" spans="1:17" x14ac:dyDescent="0.3">
      <c r="A2505" t="s">
        <v>17</v>
      </c>
      <c r="B2505" t="str">
        <f>"603387"</f>
        <v>603387</v>
      </c>
      <c r="C2505" t="s">
        <v>5346</v>
      </c>
      <c r="D2505" t="s">
        <v>2322</v>
      </c>
      <c r="E2505">
        <v>3561523416</v>
      </c>
      <c r="F2505">
        <v>2731985607</v>
      </c>
      <c r="G2505">
        <v>2233890371</v>
      </c>
      <c r="H2505">
        <v>1669056011</v>
      </c>
      <c r="I2505">
        <v>1335479169</v>
      </c>
      <c r="J2505">
        <v>450759705</v>
      </c>
      <c r="P2505">
        <v>1500</v>
      </c>
      <c r="Q2505" t="s">
        <v>5347</v>
      </c>
    </row>
    <row r="2506" spans="1:17" x14ac:dyDescent="0.3">
      <c r="A2506" t="s">
        <v>47</v>
      </c>
      <c r="B2506" t="str">
        <f>"300513"</f>
        <v>300513</v>
      </c>
      <c r="C2506" t="s">
        <v>5348</v>
      </c>
      <c r="D2506" t="s">
        <v>2804</v>
      </c>
      <c r="E2506">
        <v>3561385660</v>
      </c>
      <c r="F2506">
        <v>3628431679</v>
      </c>
      <c r="G2506">
        <v>3650754809</v>
      </c>
      <c r="H2506">
        <v>3228131170</v>
      </c>
      <c r="I2506">
        <v>847067139</v>
      </c>
      <c r="J2506">
        <v>701086966</v>
      </c>
      <c r="K2506">
        <v>427397352</v>
      </c>
      <c r="P2506">
        <v>160</v>
      </c>
      <c r="Q2506" t="s">
        <v>5349</v>
      </c>
    </row>
    <row r="2507" spans="1:17" x14ac:dyDescent="0.3">
      <c r="A2507" t="s">
        <v>47</v>
      </c>
      <c r="B2507" t="str">
        <f>"300777"</f>
        <v>300777</v>
      </c>
      <c r="C2507" t="s">
        <v>5350</v>
      </c>
      <c r="D2507" t="s">
        <v>570</v>
      </c>
      <c r="E2507">
        <v>3558515846</v>
      </c>
      <c r="F2507">
        <v>1335631360</v>
      </c>
      <c r="G2507">
        <v>1198142888</v>
      </c>
      <c r="H2507">
        <v>924526303</v>
      </c>
      <c r="P2507">
        <v>371</v>
      </c>
      <c r="Q2507" t="s">
        <v>5351</v>
      </c>
    </row>
    <row r="2508" spans="1:17" x14ac:dyDescent="0.3">
      <c r="A2508" t="s">
        <v>47</v>
      </c>
      <c r="B2508" t="str">
        <f>"300326"</f>
        <v>300326</v>
      </c>
      <c r="C2508" t="s">
        <v>5352</v>
      </c>
      <c r="D2508" t="s">
        <v>1650</v>
      </c>
      <c r="E2508">
        <v>3558066806</v>
      </c>
      <c r="F2508">
        <v>3687811557</v>
      </c>
      <c r="G2508">
        <v>3760460097</v>
      </c>
      <c r="H2508">
        <v>3591568197</v>
      </c>
      <c r="I2508">
        <v>2774494165</v>
      </c>
      <c r="J2508">
        <v>2455546767</v>
      </c>
      <c r="K2508">
        <v>1738936687</v>
      </c>
      <c r="L2508">
        <v>1495901515</v>
      </c>
      <c r="M2508">
        <v>636281712</v>
      </c>
      <c r="N2508">
        <v>479956331</v>
      </c>
      <c r="O2508">
        <v>125924624</v>
      </c>
      <c r="P2508">
        <v>854</v>
      </c>
      <c r="Q2508" t="s">
        <v>5353</v>
      </c>
    </row>
    <row r="2509" spans="1:17" x14ac:dyDescent="0.3">
      <c r="A2509" t="s">
        <v>17</v>
      </c>
      <c r="B2509" t="str">
        <f>"600824"</f>
        <v>600824</v>
      </c>
      <c r="C2509" t="s">
        <v>5354</v>
      </c>
      <c r="D2509" t="s">
        <v>780</v>
      </c>
      <c r="E2509">
        <v>3557371845</v>
      </c>
      <c r="F2509">
        <v>3536066733</v>
      </c>
      <c r="G2509">
        <v>3186897258</v>
      </c>
      <c r="H2509">
        <v>3187338860</v>
      </c>
      <c r="I2509">
        <v>2950271280</v>
      </c>
      <c r="J2509">
        <v>2907689504</v>
      </c>
      <c r="K2509">
        <v>2902344273</v>
      </c>
      <c r="L2509">
        <v>2846525539</v>
      </c>
      <c r="M2509">
        <v>2599759315</v>
      </c>
      <c r="N2509">
        <v>2448759150</v>
      </c>
      <c r="O2509">
        <v>2333075198</v>
      </c>
      <c r="P2509">
        <v>81</v>
      </c>
      <c r="Q2509" t="s">
        <v>5355</v>
      </c>
    </row>
    <row r="2510" spans="1:17" x14ac:dyDescent="0.3">
      <c r="A2510" t="s">
        <v>47</v>
      </c>
      <c r="B2510" t="str">
        <f>"300566"</f>
        <v>300566</v>
      </c>
      <c r="C2510" t="s">
        <v>5356</v>
      </c>
      <c r="D2510" t="s">
        <v>1487</v>
      </c>
      <c r="E2510">
        <v>3549310627</v>
      </c>
      <c r="F2510">
        <v>2464558895</v>
      </c>
      <c r="G2510">
        <v>2116976627</v>
      </c>
      <c r="H2510">
        <v>1902357198</v>
      </c>
      <c r="I2510">
        <v>1686325683</v>
      </c>
      <c r="J2510">
        <v>1388768224</v>
      </c>
      <c r="P2510">
        <v>197</v>
      </c>
      <c r="Q2510" t="s">
        <v>5357</v>
      </c>
    </row>
    <row r="2511" spans="1:17" x14ac:dyDescent="0.3">
      <c r="A2511" t="s">
        <v>47</v>
      </c>
      <c r="B2511" t="str">
        <f>"300487"</f>
        <v>300487</v>
      </c>
      <c r="C2511" t="s">
        <v>5358</v>
      </c>
      <c r="D2511" t="s">
        <v>2290</v>
      </c>
      <c r="E2511">
        <v>3546288398</v>
      </c>
      <c r="F2511">
        <v>2753570173</v>
      </c>
      <c r="G2511">
        <v>2299837420</v>
      </c>
      <c r="H2511">
        <v>1966526688</v>
      </c>
      <c r="I2511">
        <v>1113302576</v>
      </c>
      <c r="J2511">
        <v>886485992</v>
      </c>
      <c r="K2511">
        <v>801814443</v>
      </c>
      <c r="L2511">
        <v>474932900</v>
      </c>
      <c r="P2511">
        <v>374</v>
      </c>
      <c r="Q2511" t="s">
        <v>5359</v>
      </c>
    </row>
    <row r="2512" spans="1:17" x14ac:dyDescent="0.3">
      <c r="A2512" t="s">
        <v>17</v>
      </c>
      <c r="B2512" t="str">
        <f>"603117"</f>
        <v>603117</v>
      </c>
      <c r="C2512" t="s">
        <v>5360</v>
      </c>
      <c r="D2512" t="s">
        <v>618</v>
      </c>
      <c r="E2512">
        <v>3544354087</v>
      </c>
      <c r="F2512">
        <v>5379674942</v>
      </c>
      <c r="G2512">
        <v>6076366422</v>
      </c>
      <c r="H2512">
        <v>5625710185</v>
      </c>
      <c r="I2512">
        <v>5254535506</v>
      </c>
      <c r="J2512">
        <v>4389525160</v>
      </c>
      <c r="K2512">
        <v>3619051011</v>
      </c>
      <c r="L2512">
        <v>3492334907</v>
      </c>
      <c r="P2512">
        <v>64</v>
      </c>
      <c r="Q2512" t="s">
        <v>5361</v>
      </c>
    </row>
    <row r="2513" spans="1:17" x14ac:dyDescent="0.3">
      <c r="A2513" t="s">
        <v>17</v>
      </c>
      <c r="B2513" t="str">
        <f>"603955"</f>
        <v>603955</v>
      </c>
      <c r="C2513" t="s">
        <v>5362</v>
      </c>
      <c r="D2513" t="s">
        <v>952</v>
      </c>
      <c r="E2513">
        <v>3542841156</v>
      </c>
      <c r="F2513">
        <v>3425117931</v>
      </c>
      <c r="G2513">
        <v>3092426321</v>
      </c>
      <c r="H2513">
        <v>2759801774</v>
      </c>
      <c r="I2513">
        <v>2184924043</v>
      </c>
      <c r="J2513">
        <v>1614789344</v>
      </c>
      <c r="P2513">
        <v>60</v>
      </c>
      <c r="Q2513" t="s">
        <v>5363</v>
      </c>
    </row>
    <row r="2514" spans="1:17" x14ac:dyDescent="0.3">
      <c r="A2514" t="s">
        <v>47</v>
      </c>
      <c r="B2514" t="str">
        <f>"002751"</f>
        <v>002751</v>
      </c>
      <c r="C2514" t="s">
        <v>5364</v>
      </c>
      <c r="D2514" t="s">
        <v>4441</v>
      </c>
      <c r="E2514">
        <v>3542134737</v>
      </c>
      <c r="F2514">
        <v>4002834528</v>
      </c>
      <c r="G2514">
        <v>3692332952</v>
      </c>
      <c r="H2514">
        <v>2997586636</v>
      </c>
      <c r="I2514">
        <v>2691620039</v>
      </c>
      <c r="J2514">
        <v>1950017185</v>
      </c>
      <c r="K2514">
        <v>1641450909</v>
      </c>
      <c r="L2514">
        <v>715012393</v>
      </c>
      <c r="P2514">
        <v>145</v>
      </c>
      <c r="Q2514" t="s">
        <v>5365</v>
      </c>
    </row>
    <row r="2515" spans="1:17" x14ac:dyDescent="0.3">
      <c r="A2515" t="s">
        <v>17</v>
      </c>
      <c r="B2515" t="str">
        <f>"603333"</f>
        <v>603333</v>
      </c>
      <c r="C2515" t="s">
        <v>5366</v>
      </c>
      <c r="D2515" t="s">
        <v>1616</v>
      </c>
      <c r="E2515">
        <v>3535346072</v>
      </c>
      <c r="F2515">
        <v>2972942227</v>
      </c>
      <c r="G2515">
        <v>2868514298</v>
      </c>
      <c r="H2515">
        <v>2386050791</v>
      </c>
      <c r="I2515">
        <v>1853037913</v>
      </c>
      <c r="J2515">
        <v>1653492422</v>
      </c>
      <c r="K2515">
        <v>1726868131</v>
      </c>
      <c r="L2515">
        <v>1723581574</v>
      </c>
      <c r="M2515">
        <v>1888725161</v>
      </c>
      <c r="N2515">
        <v>2350069487</v>
      </c>
      <c r="P2515">
        <v>134</v>
      </c>
      <c r="Q2515" t="s">
        <v>5367</v>
      </c>
    </row>
    <row r="2516" spans="1:17" x14ac:dyDescent="0.3">
      <c r="A2516" t="s">
        <v>47</v>
      </c>
      <c r="B2516" t="str">
        <f>"002647"</f>
        <v>002647</v>
      </c>
      <c r="C2516" t="s">
        <v>5368</v>
      </c>
      <c r="D2516" t="s">
        <v>2663</v>
      </c>
      <c r="E2516">
        <v>3531307543</v>
      </c>
      <c r="F2516">
        <v>3707839880</v>
      </c>
      <c r="G2516">
        <v>3385280319</v>
      </c>
      <c r="H2516">
        <v>3107751287</v>
      </c>
      <c r="I2516">
        <v>2510296208</v>
      </c>
      <c r="J2516">
        <v>2603217020</v>
      </c>
      <c r="K2516">
        <v>2234169368</v>
      </c>
      <c r="L2516">
        <v>2541134533</v>
      </c>
      <c r="M2516">
        <v>2523286805</v>
      </c>
      <c r="N2516">
        <v>2868529394</v>
      </c>
      <c r="O2516">
        <v>2189902014</v>
      </c>
      <c r="P2516">
        <v>180</v>
      </c>
      <c r="Q2516" t="s">
        <v>5369</v>
      </c>
    </row>
    <row r="2517" spans="1:17" x14ac:dyDescent="0.3">
      <c r="A2517" t="s">
        <v>47</v>
      </c>
      <c r="B2517" t="str">
        <f>"300458"</f>
        <v>300458</v>
      </c>
      <c r="C2517" t="s">
        <v>5370</v>
      </c>
      <c r="D2517" t="s">
        <v>967</v>
      </c>
      <c r="E2517">
        <v>3528267464</v>
      </c>
      <c r="F2517">
        <v>2798251765</v>
      </c>
      <c r="G2517">
        <v>2555690047</v>
      </c>
      <c r="H2517">
        <v>2451618743</v>
      </c>
      <c r="I2517">
        <v>2271405457</v>
      </c>
      <c r="J2517">
        <v>2409662771</v>
      </c>
      <c r="K2517">
        <v>1767929952</v>
      </c>
      <c r="L2517">
        <v>1236429300</v>
      </c>
      <c r="P2517">
        <v>561</v>
      </c>
      <c r="Q2517" t="s">
        <v>5371</v>
      </c>
    </row>
    <row r="2518" spans="1:17" x14ac:dyDescent="0.3">
      <c r="A2518" t="s">
        <v>47</v>
      </c>
      <c r="B2518" t="str">
        <f>"300439"</f>
        <v>300439</v>
      </c>
      <c r="C2518" t="s">
        <v>5372</v>
      </c>
      <c r="D2518" t="s">
        <v>2322</v>
      </c>
      <c r="E2518">
        <v>3528193892</v>
      </c>
      <c r="F2518">
        <v>3730340991</v>
      </c>
      <c r="G2518">
        <v>3559179434</v>
      </c>
      <c r="H2518">
        <v>4698667476</v>
      </c>
      <c r="I2518">
        <v>3342350120</v>
      </c>
      <c r="J2518">
        <v>2590822914</v>
      </c>
      <c r="K2518">
        <v>1685110820</v>
      </c>
      <c r="L2518">
        <v>603057568</v>
      </c>
      <c r="P2518">
        <v>209</v>
      </c>
      <c r="Q2518" t="s">
        <v>5373</v>
      </c>
    </row>
    <row r="2519" spans="1:17" x14ac:dyDescent="0.3">
      <c r="A2519" t="s">
        <v>47</v>
      </c>
      <c r="B2519" t="str">
        <f>"000151"</f>
        <v>000151</v>
      </c>
      <c r="C2519" t="s">
        <v>5374</v>
      </c>
      <c r="D2519" t="s">
        <v>768</v>
      </c>
      <c r="E2519">
        <v>3525611284</v>
      </c>
      <c r="F2519">
        <v>1933610859</v>
      </c>
      <c r="G2519">
        <v>2208820374</v>
      </c>
      <c r="H2519">
        <v>2193040073</v>
      </c>
      <c r="I2519">
        <v>2315046517</v>
      </c>
      <c r="J2519">
        <v>2406439804</v>
      </c>
      <c r="K2519">
        <v>2654498427</v>
      </c>
      <c r="L2519">
        <v>2930493406</v>
      </c>
      <c r="M2519">
        <v>2768450307</v>
      </c>
      <c r="N2519">
        <v>1691749097</v>
      </c>
      <c r="O2519">
        <v>1227541403</v>
      </c>
      <c r="P2519">
        <v>95</v>
      </c>
      <c r="Q2519" t="s">
        <v>5375</v>
      </c>
    </row>
    <row r="2520" spans="1:17" x14ac:dyDescent="0.3">
      <c r="A2520" t="s">
        <v>47</v>
      </c>
      <c r="B2520" t="str">
        <f>"300604"</f>
        <v>300604</v>
      </c>
      <c r="C2520" t="s">
        <v>5376</v>
      </c>
      <c r="D2520" t="s">
        <v>1252</v>
      </c>
      <c r="E2520">
        <v>3525327568</v>
      </c>
      <c r="F2520">
        <v>2166037318</v>
      </c>
      <c r="G2520">
        <v>1283250224</v>
      </c>
      <c r="H2520">
        <v>658482837</v>
      </c>
      <c r="I2520">
        <v>570174033</v>
      </c>
      <c r="J2520">
        <v>267397716</v>
      </c>
      <c r="P2520">
        <v>370</v>
      </c>
      <c r="Q2520" t="s">
        <v>5377</v>
      </c>
    </row>
    <row r="2521" spans="1:17" x14ac:dyDescent="0.3">
      <c r="A2521" t="s">
        <v>17</v>
      </c>
      <c r="B2521" t="str">
        <f>"600255"</f>
        <v>600255</v>
      </c>
      <c r="C2521" t="s">
        <v>5378</v>
      </c>
      <c r="D2521" t="s">
        <v>2432</v>
      </c>
      <c r="E2521">
        <v>3518206075</v>
      </c>
      <c r="F2521">
        <v>3000320024</v>
      </c>
      <c r="G2521">
        <v>3093606027</v>
      </c>
      <c r="H2521">
        <v>4504377487</v>
      </c>
      <c r="I2521">
        <v>6080505867</v>
      </c>
      <c r="J2521">
        <v>5437031119</v>
      </c>
      <c r="K2521">
        <v>5060456407</v>
      </c>
      <c r="L2521">
        <v>3618156768</v>
      </c>
      <c r="M2521">
        <v>3332896582</v>
      </c>
      <c r="N2521">
        <v>2260764789</v>
      </c>
      <c r="O2521">
        <v>2618898477</v>
      </c>
      <c r="P2521">
        <v>82</v>
      </c>
      <c r="Q2521" t="s">
        <v>5379</v>
      </c>
    </row>
    <row r="2522" spans="1:17" x14ac:dyDescent="0.3">
      <c r="A2522" t="s">
        <v>47</v>
      </c>
      <c r="B2522" t="str">
        <f>"300331"</f>
        <v>300331</v>
      </c>
      <c r="C2522" t="s">
        <v>5380</v>
      </c>
      <c r="D2522" t="s">
        <v>181</v>
      </c>
      <c r="E2522">
        <v>3516349210</v>
      </c>
      <c r="F2522">
        <v>3233584763</v>
      </c>
      <c r="G2522">
        <v>2552439469</v>
      </c>
      <c r="H2522">
        <v>1996511187</v>
      </c>
      <c r="I2522">
        <v>1997336722</v>
      </c>
      <c r="J2522">
        <v>1807596553</v>
      </c>
      <c r="K2522">
        <v>706493111</v>
      </c>
      <c r="L2522">
        <v>697105298</v>
      </c>
      <c r="M2522">
        <v>609228166</v>
      </c>
      <c r="N2522">
        <v>595059648</v>
      </c>
      <c r="O2522">
        <v>275978851</v>
      </c>
      <c r="P2522">
        <v>164</v>
      </c>
      <c r="Q2522" t="s">
        <v>5381</v>
      </c>
    </row>
    <row r="2523" spans="1:17" x14ac:dyDescent="0.3">
      <c r="A2523" t="s">
        <v>17</v>
      </c>
      <c r="B2523" t="str">
        <f>"601595"</f>
        <v>601595</v>
      </c>
      <c r="C2523" t="s">
        <v>5382</v>
      </c>
      <c r="D2523" t="s">
        <v>1673</v>
      </c>
      <c r="E2523">
        <v>3512960437</v>
      </c>
      <c r="F2523">
        <v>3990879294</v>
      </c>
      <c r="G2523">
        <v>3415097100</v>
      </c>
      <c r="H2523">
        <v>3164730171</v>
      </c>
      <c r="I2523">
        <v>2959501499</v>
      </c>
      <c r="J2523">
        <v>2772684297</v>
      </c>
      <c r="K2523">
        <v>1712856062</v>
      </c>
      <c r="P2523">
        <v>158</v>
      </c>
      <c r="Q2523" t="s">
        <v>5383</v>
      </c>
    </row>
    <row r="2524" spans="1:17" x14ac:dyDescent="0.3">
      <c r="A2524" t="s">
        <v>17</v>
      </c>
      <c r="B2524" t="str">
        <f>"688556"</f>
        <v>688556</v>
      </c>
      <c r="C2524" t="s">
        <v>5384</v>
      </c>
      <c r="D2524" t="s">
        <v>1789</v>
      </c>
      <c r="E2524">
        <v>3508805081</v>
      </c>
      <c r="F2524">
        <v>2167706954</v>
      </c>
      <c r="G2524">
        <v>1430258568</v>
      </c>
      <c r="P2524">
        <v>69</v>
      </c>
      <c r="Q2524" t="s">
        <v>5385</v>
      </c>
    </row>
    <row r="2525" spans="1:17" x14ac:dyDescent="0.3">
      <c r="A2525" t="s">
        <v>47</v>
      </c>
      <c r="B2525" t="str">
        <f>"002546"</f>
        <v>002546</v>
      </c>
      <c r="C2525" t="s">
        <v>5386</v>
      </c>
      <c r="D2525" t="s">
        <v>2197</v>
      </c>
      <c r="E2525">
        <v>3507240131</v>
      </c>
      <c r="F2525">
        <v>3454464860</v>
      </c>
      <c r="G2525">
        <v>3384325954</v>
      </c>
      <c r="H2525">
        <v>3423383681</v>
      </c>
      <c r="I2525">
        <v>3334008082</v>
      </c>
      <c r="J2525">
        <v>3180534454</v>
      </c>
      <c r="K2525">
        <v>1766194334</v>
      </c>
      <c r="L2525">
        <v>1713155148</v>
      </c>
      <c r="M2525">
        <v>1442995672</v>
      </c>
      <c r="N2525">
        <v>1277913774</v>
      </c>
      <c r="O2525">
        <v>1109601057</v>
      </c>
      <c r="P2525">
        <v>76</v>
      </c>
      <c r="Q2525" t="s">
        <v>5387</v>
      </c>
    </row>
    <row r="2526" spans="1:17" x14ac:dyDescent="0.3">
      <c r="A2526" t="s">
        <v>17</v>
      </c>
      <c r="B2526" t="str">
        <f>"688116"</f>
        <v>688116</v>
      </c>
      <c r="C2526" t="s">
        <v>5388</v>
      </c>
      <c r="D2526" t="s">
        <v>1017</v>
      </c>
      <c r="E2526">
        <v>3505050155</v>
      </c>
      <c r="F2526">
        <v>2064012772</v>
      </c>
      <c r="G2526">
        <v>1777655573</v>
      </c>
      <c r="P2526">
        <v>197</v>
      </c>
      <c r="Q2526" t="s">
        <v>5389</v>
      </c>
    </row>
    <row r="2527" spans="1:17" x14ac:dyDescent="0.3">
      <c r="A2527" t="s">
        <v>47</v>
      </c>
      <c r="B2527" t="str">
        <f>"300198"</f>
        <v>300198</v>
      </c>
      <c r="C2527" t="s">
        <v>5390</v>
      </c>
      <c r="D2527" t="s">
        <v>2927</v>
      </c>
      <c r="E2527">
        <v>3504743574</v>
      </c>
      <c r="F2527">
        <v>3789827514</v>
      </c>
      <c r="G2527">
        <v>3314142208</v>
      </c>
      <c r="H2527">
        <v>3031408647</v>
      </c>
      <c r="I2527">
        <v>3262970900</v>
      </c>
      <c r="J2527">
        <v>2763460121</v>
      </c>
      <c r="K2527">
        <v>2112296056</v>
      </c>
      <c r="L2527">
        <v>1639058625</v>
      </c>
      <c r="M2527">
        <v>1295380341</v>
      </c>
      <c r="N2527">
        <v>1152697390</v>
      </c>
      <c r="O2527">
        <v>1018226653</v>
      </c>
      <c r="P2527">
        <v>82</v>
      </c>
      <c r="Q2527" t="s">
        <v>5391</v>
      </c>
    </row>
    <row r="2528" spans="1:17" x14ac:dyDescent="0.3">
      <c r="A2528" t="s">
        <v>17</v>
      </c>
      <c r="B2528" t="str">
        <f>"603660"</f>
        <v>603660</v>
      </c>
      <c r="C2528" t="s">
        <v>5392</v>
      </c>
      <c r="D2528" t="s">
        <v>765</v>
      </c>
      <c r="E2528">
        <v>3493985861</v>
      </c>
      <c r="F2528">
        <v>3298054431</v>
      </c>
      <c r="G2528">
        <v>3253726129</v>
      </c>
      <c r="H2528">
        <v>2644334522</v>
      </c>
      <c r="I2528">
        <v>2050557547</v>
      </c>
      <c r="J2528">
        <v>1508862880</v>
      </c>
      <c r="P2528">
        <v>291</v>
      </c>
      <c r="Q2528" t="s">
        <v>5393</v>
      </c>
    </row>
    <row r="2529" spans="1:17" x14ac:dyDescent="0.3">
      <c r="A2529" t="s">
        <v>47</v>
      </c>
      <c r="B2529" t="str">
        <f>"002397"</f>
        <v>002397</v>
      </c>
      <c r="C2529" t="s">
        <v>5394</v>
      </c>
      <c r="D2529" t="s">
        <v>3807</v>
      </c>
      <c r="E2529">
        <v>3491352951</v>
      </c>
      <c r="F2529">
        <v>3422125777</v>
      </c>
      <c r="G2529">
        <v>3410913587</v>
      </c>
      <c r="H2529">
        <v>3372061056</v>
      </c>
      <c r="I2529">
        <v>3311138437</v>
      </c>
      <c r="J2529">
        <v>2460483816</v>
      </c>
      <c r="K2529">
        <v>1954073429</v>
      </c>
      <c r="L2529">
        <v>1800785249</v>
      </c>
      <c r="M2529">
        <v>1642214055</v>
      </c>
      <c r="N2529">
        <v>1561460526</v>
      </c>
      <c r="O2529">
        <v>1565170734</v>
      </c>
      <c r="P2529">
        <v>109</v>
      </c>
      <c r="Q2529" t="s">
        <v>5395</v>
      </c>
    </row>
    <row r="2530" spans="1:17" x14ac:dyDescent="0.3">
      <c r="A2530" t="s">
        <v>17</v>
      </c>
      <c r="B2530" t="str">
        <f>"600288"</f>
        <v>600288</v>
      </c>
      <c r="C2530" t="s">
        <v>5396</v>
      </c>
      <c r="D2530" t="s">
        <v>1609</v>
      </c>
      <c r="E2530">
        <v>3482885161</v>
      </c>
      <c r="F2530">
        <v>3593141508</v>
      </c>
      <c r="G2530">
        <v>3252729533</v>
      </c>
      <c r="H2530">
        <v>3185411562</v>
      </c>
      <c r="I2530">
        <v>3079172934</v>
      </c>
      <c r="J2530">
        <v>3025247718</v>
      </c>
      <c r="K2530">
        <v>2959846685</v>
      </c>
      <c r="L2530">
        <v>2943301214</v>
      </c>
      <c r="M2530">
        <v>3341422595</v>
      </c>
      <c r="N2530">
        <v>3311243926</v>
      </c>
      <c r="O2530">
        <v>3084915470</v>
      </c>
      <c r="P2530">
        <v>95</v>
      </c>
      <c r="Q2530" t="s">
        <v>5397</v>
      </c>
    </row>
    <row r="2531" spans="1:17" x14ac:dyDescent="0.3">
      <c r="A2531" t="s">
        <v>47</v>
      </c>
      <c r="B2531" t="str">
        <f>"002189"</f>
        <v>002189</v>
      </c>
      <c r="C2531" t="s">
        <v>5398</v>
      </c>
      <c r="D2531" t="s">
        <v>1385</v>
      </c>
      <c r="E2531">
        <v>3482594308</v>
      </c>
      <c r="F2531">
        <v>3242323853</v>
      </c>
      <c r="G2531">
        <v>3257742356</v>
      </c>
      <c r="H2531">
        <v>2932176688</v>
      </c>
      <c r="I2531">
        <v>957022344</v>
      </c>
      <c r="J2531">
        <v>923680100</v>
      </c>
      <c r="K2531">
        <v>848898545</v>
      </c>
      <c r="L2531">
        <v>823837342</v>
      </c>
      <c r="M2531">
        <v>730628815</v>
      </c>
      <c r="N2531">
        <v>712966222</v>
      </c>
      <c r="O2531">
        <v>708147127</v>
      </c>
      <c r="P2531">
        <v>221</v>
      </c>
      <c r="Q2531" t="s">
        <v>5399</v>
      </c>
    </row>
    <row r="2532" spans="1:17" x14ac:dyDescent="0.3">
      <c r="A2532" t="s">
        <v>47</v>
      </c>
      <c r="B2532" t="str">
        <f>"300161"</f>
        <v>300161</v>
      </c>
      <c r="C2532" t="s">
        <v>5400</v>
      </c>
      <c r="D2532" t="s">
        <v>3186</v>
      </c>
      <c r="E2532">
        <v>3482366404</v>
      </c>
      <c r="F2532">
        <v>2703285258</v>
      </c>
      <c r="G2532">
        <v>2805879514</v>
      </c>
      <c r="H2532">
        <v>2350998181</v>
      </c>
      <c r="I2532">
        <v>2220557597</v>
      </c>
      <c r="J2532">
        <v>2099080190</v>
      </c>
      <c r="K2532">
        <v>1483284279</v>
      </c>
      <c r="L2532">
        <v>1345915004</v>
      </c>
      <c r="M2532">
        <v>1278216383</v>
      </c>
      <c r="N2532">
        <v>1153842235</v>
      </c>
      <c r="O2532">
        <v>1222894097</v>
      </c>
      <c r="P2532">
        <v>159</v>
      </c>
      <c r="Q2532" t="s">
        <v>5401</v>
      </c>
    </row>
    <row r="2533" spans="1:17" x14ac:dyDescent="0.3">
      <c r="A2533" t="s">
        <v>47</v>
      </c>
      <c r="B2533" t="str">
        <f>"002354"</f>
        <v>002354</v>
      </c>
      <c r="C2533" t="s">
        <v>5402</v>
      </c>
      <c r="D2533" t="s">
        <v>1032</v>
      </c>
      <c r="E2533">
        <v>3482110399</v>
      </c>
      <c r="F2533">
        <v>3716292918</v>
      </c>
      <c r="G2533">
        <v>6377588971</v>
      </c>
      <c r="H2533">
        <v>8435597799</v>
      </c>
      <c r="I2533">
        <v>13659797987</v>
      </c>
      <c r="J2533">
        <v>12749601267</v>
      </c>
      <c r="K2533">
        <v>6996777595</v>
      </c>
      <c r="L2533">
        <v>1356663751</v>
      </c>
      <c r="M2533">
        <v>907495236</v>
      </c>
      <c r="N2533">
        <v>918850081</v>
      </c>
      <c r="O2533">
        <v>870936276</v>
      </c>
      <c r="P2533">
        <v>265</v>
      </c>
      <c r="Q2533" t="s">
        <v>5403</v>
      </c>
    </row>
    <row r="2534" spans="1:17" x14ac:dyDescent="0.3">
      <c r="A2534" t="s">
        <v>17</v>
      </c>
      <c r="B2534" t="str">
        <f>"688225"</f>
        <v>688225</v>
      </c>
      <c r="C2534" t="s">
        <v>5404</v>
      </c>
      <c r="E2534">
        <v>3481373693</v>
      </c>
      <c r="P2534">
        <v>9</v>
      </c>
      <c r="Q2534" t="s">
        <v>5405</v>
      </c>
    </row>
    <row r="2535" spans="1:17" x14ac:dyDescent="0.3">
      <c r="A2535" t="s">
        <v>47</v>
      </c>
      <c r="B2535" t="str">
        <f>"300577"</f>
        <v>300577</v>
      </c>
      <c r="C2535" t="s">
        <v>5406</v>
      </c>
      <c r="D2535" t="s">
        <v>4276</v>
      </c>
      <c r="E2535">
        <v>3480629813</v>
      </c>
      <c r="F2535">
        <v>2929123375</v>
      </c>
      <c r="G2535">
        <v>2077545216</v>
      </c>
      <c r="H2535">
        <v>1438664845</v>
      </c>
      <c r="I2535">
        <v>991164782</v>
      </c>
      <c r="J2535">
        <v>789886145</v>
      </c>
      <c r="P2535">
        <v>486</v>
      </c>
      <c r="Q2535" t="s">
        <v>5407</v>
      </c>
    </row>
    <row r="2536" spans="1:17" x14ac:dyDescent="0.3">
      <c r="A2536" t="s">
        <v>47</v>
      </c>
      <c r="B2536" t="str">
        <f>"002453"</f>
        <v>002453</v>
      </c>
      <c r="C2536" t="s">
        <v>5408</v>
      </c>
      <c r="D2536" t="s">
        <v>710</v>
      </c>
      <c r="E2536">
        <v>3477663874</v>
      </c>
      <c r="F2536">
        <v>2973417475</v>
      </c>
      <c r="G2536">
        <v>2159009618</v>
      </c>
      <c r="H2536">
        <v>2844804437</v>
      </c>
      <c r="I2536">
        <v>2307833229</v>
      </c>
      <c r="J2536">
        <v>1942025161</v>
      </c>
      <c r="K2536">
        <v>2017367745</v>
      </c>
      <c r="L2536">
        <v>2076871788</v>
      </c>
      <c r="M2536">
        <v>1850733853</v>
      </c>
      <c r="N2536">
        <v>1359730311</v>
      </c>
      <c r="O2536">
        <v>1256080576</v>
      </c>
      <c r="P2536">
        <v>125</v>
      </c>
      <c r="Q2536" t="s">
        <v>5409</v>
      </c>
    </row>
    <row r="2537" spans="1:17" x14ac:dyDescent="0.3">
      <c r="A2537" t="s">
        <v>47</v>
      </c>
      <c r="B2537" t="str">
        <f>"300485"</f>
        <v>300485</v>
      </c>
      <c r="C2537" t="s">
        <v>5410</v>
      </c>
      <c r="D2537" t="s">
        <v>1480</v>
      </c>
      <c r="E2537">
        <v>3476583352</v>
      </c>
      <c r="F2537">
        <v>3778178573</v>
      </c>
      <c r="G2537">
        <v>2818250326</v>
      </c>
      <c r="H2537">
        <v>2699394768</v>
      </c>
      <c r="I2537">
        <v>2537116357</v>
      </c>
      <c r="J2537">
        <v>2227538640</v>
      </c>
      <c r="K2537">
        <v>2005304004</v>
      </c>
      <c r="L2537">
        <v>688767900</v>
      </c>
      <c r="P2537">
        <v>196</v>
      </c>
      <c r="Q2537" t="s">
        <v>5411</v>
      </c>
    </row>
    <row r="2538" spans="1:17" x14ac:dyDescent="0.3">
      <c r="A2538" t="s">
        <v>47</v>
      </c>
      <c r="B2538" t="str">
        <f>"002363"</f>
        <v>002363</v>
      </c>
      <c r="C2538" t="s">
        <v>5412</v>
      </c>
      <c r="D2538" t="s">
        <v>274</v>
      </c>
      <c r="E2538">
        <v>3475255924</v>
      </c>
      <c r="F2538">
        <v>3298181934</v>
      </c>
      <c r="G2538">
        <v>3458612305</v>
      </c>
      <c r="H2538">
        <v>3462676184</v>
      </c>
      <c r="I2538">
        <v>3250965784</v>
      </c>
      <c r="J2538">
        <v>2713835927</v>
      </c>
      <c r="K2538">
        <v>2519314718</v>
      </c>
      <c r="L2538">
        <v>2236694026</v>
      </c>
      <c r="M2538">
        <v>2351146096</v>
      </c>
      <c r="N2538">
        <v>1949370145</v>
      </c>
      <c r="O2538">
        <v>1760057748</v>
      </c>
      <c r="P2538">
        <v>126</v>
      </c>
      <c r="Q2538" t="s">
        <v>5413</v>
      </c>
    </row>
    <row r="2539" spans="1:17" x14ac:dyDescent="0.3">
      <c r="A2539" t="s">
        <v>17</v>
      </c>
      <c r="B2539" t="str">
        <f>"600731"</f>
        <v>600731</v>
      </c>
      <c r="C2539" t="s">
        <v>5414</v>
      </c>
      <c r="D2539" t="s">
        <v>819</v>
      </c>
      <c r="E2539">
        <v>3469732070</v>
      </c>
      <c r="F2539">
        <v>3152402607</v>
      </c>
      <c r="G2539">
        <v>2544282676</v>
      </c>
      <c r="H2539">
        <v>2292220489</v>
      </c>
      <c r="I2539">
        <v>2081657179</v>
      </c>
      <c r="J2539">
        <v>1851201477</v>
      </c>
      <c r="K2539">
        <v>1820328457</v>
      </c>
      <c r="L2539">
        <v>1708095931</v>
      </c>
      <c r="M2539">
        <v>1556007472</v>
      </c>
      <c r="N2539">
        <v>1560695479</v>
      </c>
      <c r="O2539">
        <v>1443995054</v>
      </c>
      <c r="P2539">
        <v>244</v>
      </c>
      <c r="Q2539" t="s">
        <v>5415</v>
      </c>
    </row>
    <row r="2540" spans="1:17" x14ac:dyDescent="0.3">
      <c r="A2540" t="s">
        <v>47</v>
      </c>
      <c r="B2540" t="str">
        <f>"300474"</f>
        <v>300474</v>
      </c>
      <c r="C2540" t="s">
        <v>5416</v>
      </c>
      <c r="D2540" t="s">
        <v>1385</v>
      </c>
      <c r="E2540">
        <v>3468808736</v>
      </c>
      <c r="F2540">
        <v>3125894571</v>
      </c>
      <c r="G2540">
        <v>2658961011</v>
      </c>
      <c r="H2540">
        <v>2425301970</v>
      </c>
      <c r="I2540">
        <v>1137310042</v>
      </c>
      <c r="J2540">
        <v>963530759</v>
      </c>
      <c r="K2540">
        <v>921332384</v>
      </c>
      <c r="P2540">
        <v>513</v>
      </c>
      <c r="Q2540" t="s">
        <v>5417</v>
      </c>
    </row>
    <row r="2541" spans="1:17" x14ac:dyDescent="0.3">
      <c r="A2541" t="s">
        <v>17</v>
      </c>
      <c r="B2541" t="str">
        <f>"603823"</f>
        <v>603823</v>
      </c>
      <c r="C2541" t="s">
        <v>5418</v>
      </c>
      <c r="D2541" t="s">
        <v>5419</v>
      </c>
      <c r="E2541">
        <v>3467715048</v>
      </c>
      <c r="F2541">
        <v>3103704822</v>
      </c>
      <c r="G2541">
        <v>2602395236</v>
      </c>
      <c r="H2541">
        <v>2328281860</v>
      </c>
      <c r="I2541">
        <v>2133997485</v>
      </c>
      <c r="J2541">
        <v>1921599885</v>
      </c>
      <c r="P2541">
        <v>142</v>
      </c>
      <c r="Q2541" t="s">
        <v>5420</v>
      </c>
    </row>
    <row r="2542" spans="1:17" x14ac:dyDescent="0.3">
      <c r="A2542" t="s">
        <v>47</v>
      </c>
      <c r="B2542" t="str">
        <f>"300395"</f>
        <v>300395</v>
      </c>
      <c r="C2542" t="s">
        <v>5421</v>
      </c>
      <c r="D2542" t="s">
        <v>570</v>
      </c>
      <c r="E2542">
        <v>3462537766</v>
      </c>
      <c r="F2542">
        <v>2706878631</v>
      </c>
      <c r="G2542">
        <v>2142502229</v>
      </c>
      <c r="H2542">
        <v>1365844138</v>
      </c>
      <c r="I2542">
        <v>1209572177</v>
      </c>
      <c r="J2542">
        <v>1068109346</v>
      </c>
      <c r="K2542">
        <v>929273024</v>
      </c>
      <c r="L2542">
        <v>737825138</v>
      </c>
      <c r="P2542">
        <v>553</v>
      </c>
      <c r="Q2542" t="s">
        <v>5422</v>
      </c>
    </row>
    <row r="2543" spans="1:17" x14ac:dyDescent="0.3">
      <c r="A2543" t="s">
        <v>47</v>
      </c>
      <c r="B2543" t="str">
        <f>"000655"</f>
        <v>000655</v>
      </c>
      <c r="C2543" t="s">
        <v>5423</v>
      </c>
      <c r="D2543" t="s">
        <v>2087</v>
      </c>
      <c r="E2543">
        <v>3461184847</v>
      </c>
      <c r="F2543">
        <v>3249519996</v>
      </c>
      <c r="G2543">
        <v>2879804302</v>
      </c>
      <c r="H2543">
        <v>2647295623</v>
      </c>
      <c r="I2543">
        <v>2664662374</v>
      </c>
      <c r="J2543">
        <v>2921795403</v>
      </c>
      <c r="K2543">
        <v>3444016778</v>
      </c>
      <c r="L2543">
        <v>3586404855</v>
      </c>
      <c r="M2543">
        <v>3726044055</v>
      </c>
      <c r="N2543">
        <v>3262473511</v>
      </c>
      <c r="O2543">
        <v>3464419860</v>
      </c>
      <c r="P2543">
        <v>145</v>
      </c>
      <c r="Q2543" t="s">
        <v>5424</v>
      </c>
    </row>
    <row r="2544" spans="1:17" x14ac:dyDescent="0.3">
      <c r="A2544" t="s">
        <v>47</v>
      </c>
      <c r="B2544" t="str">
        <f>"000888"</f>
        <v>000888</v>
      </c>
      <c r="C2544" t="s">
        <v>5425</v>
      </c>
      <c r="D2544" t="s">
        <v>4410</v>
      </c>
      <c r="E2544">
        <v>3460603726</v>
      </c>
      <c r="F2544">
        <v>3456038275</v>
      </c>
      <c r="G2544">
        <v>2924406601</v>
      </c>
      <c r="H2544">
        <v>2867505587</v>
      </c>
      <c r="I2544">
        <v>2675520704</v>
      </c>
      <c r="J2544">
        <v>2608592633</v>
      </c>
      <c r="K2544">
        <v>2464377075</v>
      </c>
      <c r="L2544">
        <v>2145290614</v>
      </c>
      <c r="M2544">
        <v>1871013685</v>
      </c>
      <c r="N2544">
        <v>1258689341</v>
      </c>
      <c r="O2544">
        <v>1167056951</v>
      </c>
      <c r="P2544">
        <v>218</v>
      </c>
      <c r="Q2544" t="s">
        <v>5426</v>
      </c>
    </row>
    <row r="2545" spans="1:17" x14ac:dyDescent="0.3">
      <c r="A2545" t="s">
        <v>47</v>
      </c>
      <c r="B2545" t="str">
        <f>"002866"</f>
        <v>002866</v>
      </c>
      <c r="C2545" t="s">
        <v>5427</v>
      </c>
      <c r="D2545" t="s">
        <v>283</v>
      </c>
      <c r="E2545">
        <v>3459589651</v>
      </c>
      <c r="F2545">
        <v>2895354589</v>
      </c>
      <c r="G2545">
        <v>1680873357</v>
      </c>
      <c r="H2545">
        <v>1572683731</v>
      </c>
      <c r="I2545">
        <v>1057062962</v>
      </c>
      <c r="J2545">
        <v>524966612</v>
      </c>
      <c r="P2545">
        <v>161</v>
      </c>
      <c r="Q2545" t="s">
        <v>5428</v>
      </c>
    </row>
    <row r="2546" spans="1:17" x14ac:dyDescent="0.3">
      <c r="A2546" t="s">
        <v>47</v>
      </c>
      <c r="B2546" t="str">
        <f>"000526"</f>
        <v>000526</v>
      </c>
      <c r="C2546" t="s">
        <v>5429</v>
      </c>
      <c r="D2546" t="s">
        <v>2954</v>
      </c>
      <c r="E2546">
        <v>3456851903</v>
      </c>
      <c r="F2546">
        <v>5236813716</v>
      </c>
      <c r="G2546">
        <v>3487799266</v>
      </c>
      <c r="H2546">
        <v>3937788669</v>
      </c>
      <c r="I2546">
        <v>3862254024</v>
      </c>
      <c r="J2546">
        <v>3726965755</v>
      </c>
      <c r="K2546">
        <v>332400977</v>
      </c>
      <c r="L2546">
        <v>201286069</v>
      </c>
      <c r="M2546">
        <v>192755369</v>
      </c>
      <c r="N2546">
        <v>203610449</v>
      </c>
      <c r="O2546">
        <v>196035839</v>
      </c>
      <c r="P2546">
        <v>201</v>
      </c>
      <c r="Q2546" t="s">
        <v>5430</v>
      </c>
    </row>
    <row r="2547" spans="1:17" x14ac:dyDescent="0.3">
      <c r="A2547" t="s">
        <v>17</v>
      </c>
      <c r="B2547" t="str">
        <f>"688586"</f>
        <v>688586</v>
      </c>
      <c r="C2547" t="s">
        <v>5431</v>
      </c>
      <c r="D2547" t="s">
        <v>570</v>
      </c>
      <c r="E2547">
        <v>3456458274</v>
      </c>
      <c r="F2547">
        <v>2976365357</v>
      </c>
      <c r="G2547">
        <v>1715816580</v>
      </c>
      <c r="P2547">
        <v>70</v>
      </c>
      <c r="Q2547" t="s">
        <v>5432</v>
      </c>
    </row>
    <row r="2548" spans="1:17" x14ac:dyDescent="0.3">
      <c r="A2548" t="s">
        <v>17</v>
      </c>
      <c r="B2548" t="str">
        <f>"688066"</f>
        <v>688066</v>
      </c>
      <c r="C2548" t="s">
        <v>5433</v>
      </c>
      <c r="D2548" t="s">
        <v>700</v>
      </c>
      <c r="E2548">
        <v>3455354939</v>
      </c>
      <c r="F2548">
        <v>1852665385</v>
      </c>
      <c r="G2548">
        <v>1462143463</v>
      </c>
      <c r="H2548">
        <v>706870500</v>
      </c>
      <c r="P2548">
        <v>159</v>
      </c>
      <c r="Q2548" t="s">
        <v>5434</v>
      </c>
    </row>
    <row r="2549" spans="1:17" x14ac:dyDescent="0.3">
      <c r="A2549" t="s">
        <v>47</v>
      </c>
      <c r="B2549" t="str">
        <f>"002731"</f>
        <v>002731</v>
      </c>
      <c r="C2549" t="s">
        <v>5435</v>
      </c>
      <c r="D2549" t="s">
        <v>1508</v>
      </c>
      <c r="E2549">
        <v>3448830612</v>
      </c>
      <c r="F2549">
        <v>3655205633</v>
      </c>
      <c r="G2549">
        <v>3580310607</v>
      </c>
      <c r="H2549">
        <v>3169397057</v>
      </c>
      <c r="I2549">
        <v>2819763359</v>
      </c>
      <c r="J2549">
        <v>2635319022</v>
      </c>
      <c r="K2549">
        <v>2312513385</v>
      </c>
      <c r="L2549">
        <v>2076634770</v>
      </c>
      <c r="P2549">
        <v>81</v>
      </c>
      <c r="Q2549" t="s">
        <v>5436</v>
      </c>
    </row>
    <row r="2550" spans="1:17" x14ac:dyDescent="0.3">
      <c r="A2550" t="s">
        <v>47</v>
      </c>
      <c r="B2550" t="str">
        <f>"300287"</f>
        <v>300287</v>
      </c>
      <c r="C2550" t="s">
        <v>5437</v>
      </c>
      <c r="D2550" t="s">
        <v>700</v>
      </c>
      <c r="E2550">
        <v>3444450876</v>
      </c>
      <c r="F2550">
        <v>3483667209</v>
      </c>
      <c r="G2550">
        <v>4928233078</v>
      </c>
      <c r="H2550">
        <v>5813951845</v>
      </c>
      <c r="I2550">
        <v>7990623493</v>
      </c>
      <c r="J2550">
        <v>6602387021</v>
      </c>
      <c r="K2550">
        <v>5566665769</v>
      </c>
      <c r="L2550">
        <v>2632773003</v>
      </c>
      <c r="M2550">
        <v>1073531213</v>
      </c>
      <c r="N2550">
        <v>753094759</v>
      </c>
      <c r="O2550">
        <v>650405282</v>
      </c>
      <c r="P2550">
        <v>288</v>
      </c>
      <c r="Q2550" t="s">
        <v>5438</v>
      </c>
    </row>
    <row r="2551" spans="1:17" x14ac:dyDescent="0.3">
      <c r="A2551" t="s">
        <v>47</v>
      </c>
      <c r="B2551" t="str">
        <f>"300010"</f>
        <v>300010</v>
      </c>
      <c r="C2551" t="s">
        <v>5439</v>
      </c>
      <c r="D2551" t="s">
        <v>2954</v>
      </c>
      <c r="E2551">
        <v>3444245235</v>
      </c>
      <c r="F2551">
        <v>4312666887</v>
      </c>
      <c r="G2551">
        <v>7353223867</v>
      </c>
      <c r="H2551">
        <v>7166574268</v>
      </c>
      <c r="I2551">
        <v>8335785667</v>
      </c>
      <c r="J2551">
        <v>7404615772</v>
      </c>
      <c r="K2551">
        <v>4960525198</v>
      </c>
      <c r="L2551">
        <v>1911402714</v>
      </c>
      <c r="M2551">
        <v>1209042937</v>
      </c>
      <c r="N2551">
        <v>1071294939</v>
      </c>
      <c r="O2551">
        <v>889724157</v>
      </c>
      <c r="P2551">
        <v>262</v>
      </c>
      <c r="Q2551" t="s">
        <v>5440</v>
      </c>
    </row>
    <row r="2552" spans="1:17" x14ac:dyDescent="0.3">
      <c r="A2552" t="s">
        <v>47</v>
      </c>
      <c r="B2552" t="str">
        <f>"000710"</f>
        <v>000710</v>
      </c>
      <c r="C2552" t="s">
        <v>5441</v>
      </c>
      <c r="D2552" t="s">
        <v>2322</v>
      </c>
      <c r="E2552">
        <v>3443319312</v>
      </c>
      <c r="F2552">
        <v>3175283029</v>
      </c>
      <c r="G2552">
        <v>3040861492</v>
      </c>
      <c r="H2552">
        <v>2516911140</v>
      </c>
      <c r="I2552">
        <v>1794600608</v>
      </c>
      <c r="J2552">
        <v>493468210</v>
      </c>
      <c r="K2552">
        <v>510188388</v>
      </c>
      <c r="L2552">
        <v>450862798</v>
      </c>
      <c r="M2552">
        <v>389877086</v>
      </c>
      <c r="N2552">
        <v>393895421</v>
      </c>
      <c r="O2552">
        <v>348815112</v>
      </c>
      <c r="P2552">
        <v>460</v>
      </c>
      <c r="Q2552" t="s">
        <v>5442</v>
      </c>
    </row>
    <row r="2553" spans="1:17" x14ac:dyDescent="0.3">
      <c r="A2553" t="s">
        <v>17</v>
      </c>
      <c r="B2553" t="str">
        <f>"603105"</f>
        <v>603105</v>
      </c>
      <c r="C2553" t="s">
        <v>5443</v>
      </c>
      <c r="D2553" t="s">
        <v>976</v>
      </c>
      <c r="E2553">
        <v>3441918946</v>
      </c>
      <c r="F2553">
        <v>2985117209</v>
      </c>
      <c r="G2553">
        <v>2825996872</v>
      </c>
      <c r="H2553">
        <v>2493202454</v>
      </c>
      <c r="I2553">
        <v>2192105926</v>
      </c>
      <c r="P2553">
        <v>144</v>
      </c>
      <c r="Q2553" t="s">
        <v>5444</v>
      </c>
    </row>
    <row r="2554" spans="1:17" x14ac:dyDescent="0.3">
      <c r="A2554" t="s">
        <v>47</v>
      </c>
      <c r="B2554" t="str">
        <f>"002658"</f>
        <v>002658</v>
      </c>
      <c r="C2554" t="s">
        <v>5445</v>
      </c>
      <c r="D2554" t="s">
        <v>1347</v>
      </c>
      <c r="E2554">
        <v>3441802608</v>
      </c>
      <c r="F2554">
        <v>3217038011</v>
      </c>
      <c r="G2554">
        <v>3000420847</v>
      </c>
      <c r="H2554">
        <v>2807540653</v>
      </c>
      <c r="I2554">
        <v>2660281641</v>
      </c>
      <c r="J2554">
        <v>1959621744</v>
      </c>
      <c r="K2554">
        <v>1765674931</v>
      </c>
      <c r="L2554">
        <v>1627103887</v>
      </c>
      <c r="M2554">
        <v>1365879831</v>
      </c>
      <c r="N2554">
        <v>1165440716</v>
      </c>
      <c r="O2554">
        <v>1097580617</v>
      </c>
      <c r="P2554">
        <v>231</v>
      </c>
      <c r="Q2554" t="s">
        <v>5446</v>
      </c>
    </row>
    <row r="2555" spans="1:17" x14ac:dyDescent="0.3">
      <c r="A2555" t="s">
        <v>17</v>
      </c>
      <c r="B2555" t="str">
        <f>"603533"</f>
        <v>603533</v>
      </c>
      <c r="C2555" t="s">
        <v>5447</v>
      </c>
      <c r="D2555" t="s">
        <v>5448</v>
      </c>
      <c r="E2555">
        <v>3441614450</v>
      </c>
      <c r="F2555">
        <v>3385895826</v>
      </c>
      <c r="G2555">
        <v>2033310439</v>
      </c>
      <c r="H2555">
        <v>1680672261</v>
      </c>
      <c r="I2555">
        <v>1440925656</v>
      </c>
      <c r="J2555">
        <v>1033710801</v>
      </c>
      <c r="P2555">
        <v>872</v>
      </c>
      <c r="Q2555" t="s">
        <v>5449</v>
      </c>
    </row>
    <row r="2556" spans="1:17" x14ac:dyDescent="0.3">
      <c r="A2556" t="s">
        <v>47</v>
      </c>
      <c r="B2556" t="str">
        <f>"300131"</f>
        <v>300131</v>
      </c>
      <c r="C2556" t="s">
        <v>5450</v>
      </c>
      <c r="D2556" t="s">
        <v>283</v>
      </c>
      <c r="E2556">
        <v>3440942052</v>
      </c>
      <c r="F2556">
        <v>3869586073</v>
      </c>
      <c r="G2556">
        <v>5501504441</v>
      </c>
      <c r="H2556">
        <v>5467058923</v>
      </c>
      <c r="I2556">
        <v>5422574302</v>
      </c>
      <c r="J2556">
        <v>3867782744</v>
      </c>
      <c r="K2556">
        <v>2603667283</v>
      </c>
      <c r="L2556">
        <v>812086311</v>
      </c>
      <c r="M2556">
        <v>979659148</v>
      </c>
      <c r="N2556">
        <v>1087498972</v>
      </c>
      <c r="O2556">
        <v>641127301</v>
      </c>
      <c r="P2556">
        <v>207</v>
      </c>
      <c r="Q2556" t="s">
        <v>5451</v>
      </c>
    </row>
    <row r="2557" spans="1:17" x14ac:dyDescent="0.3">
      <c r="A2557" t="s">
        <v>47</v>
      </c>
      <c r="B2557" t="str">
        <f>"000796"</f>
        <v>000796</v>
      </c>
      <c r="C2557" t="s">
        <v>5452</v>
      </c>
      <c r="D2557" t="s">
        <v>4931</v>
      </c>
      <c r="E2557">
        <v>3440531627</v>
      </c>
      <c r="F2557">
        <v>4451415914</v>
      </c>
      <c r="G2557">
        <v>6247721389</v>
      </c>
      <c r="H2557">
        <v>5877014311</v>
      </c>
      <c r="I2557">
        <v>6093075169</v>
      </c>
      <c r="J2557">
        <v>5192439721</v>
      </c>
      <c r="K2557">
        <v>3797283883</v>
      </c>
      <c r="L2557">
        <v>1273040387</v>
      </c>
      <c r="M2557">
        <v>1369451428</v>
      </c>
      <c r="N2557">
        <v>1073982734</v>
      </c>
      <c r="O2557">
        <v>1170594450</v>
      </c>
      <c r="P2557">
        <v>224</v>
      </c>
      <c r="Q2557" t="s">
        <v>5453</v>
      </c>
    </row>
    <row r="2558" spans="1:17" x14ac:dyDescent="0.3">
      <c r="A2558" t="s">
        <v>17</v>
      </c>
      <c r="B2558" t="str">
        <f>"600419"</f>
        <v>600419</v>
      </c>
      <c r="C2558" t="s">
        <v>5454</v>
      </c>
      <c r="D2558" t="s">
        <v>487</v>
      </c>
      <c r="E2558">
        <v>3437073640</v>
      </c>
      <c r="F2558">
        <v>2580158252</v>
      </c>
      <c r="G2558">
        <v>2429768838</v>
      </c>
      <c r="H2558">
        <v>1815878576</v>
      </c>
      <c r="I2558">
        <v>1437319624</v>
      </c>
      <c r="J2558">
        <v>1216940686</v>
      </c>
      <c r="K2558">
        <v>1102565777</v>
      </c>
      <c r="L2558">
        <v>535777998</v>
      </c>
      <c r="M2558">
        <v>469903096</v>
      </c>
      <c r="N2558">
        <v>208922812</v>
      </c>
      <c r="O2558">
        <v>326074111</v>
      </c>
      <c r="P2558">
        <v>626</v>
      </c>
      <c r="Q2558" t="s">
        <v>5455</v>
      </c>
    </row>
    <row r="2559" spans="1:17" x14ac:dyDescent="0.3">
      <c r="A2559" t="s">
        <v>17</v>
      </c>
      <c r="B2559" t="str">
        <f>"603277"</f>
        <v>603277</v>
      </c>
      <c r="C2559" t="s">
        <v>5456</v>
      </c>
      <c r="D2559" t="s">
        <v>2730</v>
      </c>
      <c r="E2559">
        <v>3433649309</v>
      </c>
      <c r="F2559">
        <v>2995622527</v>
      </c>
      <c r="G2559">
        <v>2615903371</v>
      </c>
      <c r="H2559">
        <v>2307530604</v>
      </c>
      <c r="I2559">
        <v>1864358718</v>
      </c>
      <c r="J2559">
        <v>947625268</v>
      </c>
      <c r="P2559">
        <v>136</v>
      </c>
      <c r="Q2559" t="s">
        <v>5457</v>
      </c>
    </row>
    <row r="2560" spans="1:17" x14ac:dyDescent="0.3">
      <c r="A2560" t="s">
        <v>47</v>
      </c>
      <c r="B2560" t="str">
        <f>"002837"</f>
        <v>002837</v>
      </c>
      <c r="C2560" t="s">
        <v>5458</v>
      </c>
      <c r="D2560" t="s">
        <v>1973</v>
      </c>
      <c r="E2560">
        <v>3433164379</v>
      </c>
      <c r="F2560">
        <v>2929238908</v>
      </c>
      <c r="G2560">
        <v>2288560750</v>
      </c>
      <c r="H2560">
        <v>2126523132</v>
      </c>
      <c r="I2560">
        <v>1213758546</v>
      </c>
      <c r="J2560">
        <v>852244242</v>
      </c>
      <c r="P2560">
        <v>396</v>
      </c>
      <c r="Q2560" t="s">
        <v>5459</v>
      </c>
    </row>
    <row r="2561" spans="1:17" x14ac:dyDescent="0.3">
      <c r="A2561" t="s">
        <v>17</v>
      </c>
      <c r="B2561" t="str">
        <f>"603893"</f>
        <v>603893</v>
      </c>
      <c r="C2561" t="s">
        <v>5460</v>
      </c>
      <c r="D2561" t="s">
        <v>967</v>
      </c>
      <c r="E2561">
        <v>3431974305</v>
      </c>
      <c r="F2561">
        <v>2809370648</v>
      </c>
      <c r="G2561">
        <v>2312385945</v>
      </c>
      <c r="P2561">
        <v>444</v>
      </c>
      <c r="Q2561" t="s">
        <v>5461</v>
      </c>
    </row>
    <row r="2562" spans="1:17" x14ac:dyDescent="0.3">
      <c r="A2562" t="s">
        <v>47</v>
      </c>
      <c r="B2562" t="str">
        <f>"300825"</f>
        <v>300825</v>
      </c>
      <c r="C2562" t="s">
        <v>5462</v>
      </c>
      <c r="D2562" t="s">
        <v>3522</v>
      </c>
      <c r="E2562">
        <v>3429612807</v>
      </c>
      <c r="F2562">
        <v>2208757438</v>
      </c>
      <c r="G2562">
        <v>1860100430</v>
      </c>
      <c r="P2562">
        <v>92</v>
      </c>
      <c r="Q2562" t="s">
        <v>5463</v>
      </c>
    </row>
    <row r="2563" spans="1:17" x14ac:dyDescent="0.3">
      <c r="A2563" t="s">
        <v>17</v>
      </c>
      <c r="B2563" t="str">
        <f>"600215"</f>
        <v>600215</v>
      </c>
      <c r="C2563" t="s">
        <v>5464</v>
      </c>
      <c r="D2563" t="s">
        <v>76</v>
      </c>
      <c r="E2563">
        <v>3423269121</v>
      </c>
      <c r="F2563">
        <v>2807042325</v>
      </c>
      <c r="G2563">
        <v>2850615685</v>
      </c>
      <c r="H2563">
        <v>2913598146</v>
      </c>
      <c r="I2563">
        <v>3164809549</v>
      </c>
      <c r="J2563">
        <v>3231529142</v>
      </c>
      <c r="K2563">
        <v>3906272892</v>
      </c>
      <c r="L2563">
        <v>3983364732</v>
      </c>
      <c r="M2563">
        <v>4466794987</v>
      </c>
      <c r="N2563">
        <v>4497365786</v>
      </c>
      <c r="O2563">
        <v>4181353050</v>
      </c>
      <c r="P2563">
        <v>77</v>
      </c>
      <c r="Q2563" t="s">
        <v>5465</v>
      </c>
    </row>
    <row r="2564" spans="1:17" x14ac:dyDescent="0.3">
      <c r="A2564" t="s">
        <v>17</v>
      </c>
      <c r="B2564" t="str">
        <f>"600592"</f>
        <v>600592</v>
      </c>
      <c r="C2564" t="s">
        <v>5466</v>
      </c>
      <c r="D2564" t="s">
        <v>401</v>
      </c>
      <c r="E2564">
        <v>3422123330</v>
      </c>
      <c r="F2564">
        <v>2927545400</v>
      </c>
      <c r="G2564">
        <v>2701415633</v>
      </c>
      <c r="H2564">
        <v>2715112775</v>
      </c>
      <c r="I2564">
        <v>2739425676</v>
      </c>
      <c r="J2564">
        <v>2583593445</v>
      </c>
      <c r="K2564">
        <v>2684141827</v>
      </c>
      <c r="L2564">
        <v>3098708298</v>
      </c>
      <c r="M2564">
        <v>2674349314</v>
      </c>
      <c r="N2564">
        <v>2335112754</v>
      </c>
      <c r="O2564">
        <v>2105219746</v>
      </c>
      <c r="P2564">
        <v>75</v>
      </c>
      <c r="Q2564" t="s">
        <v>5467</v>
      </c>
    </row>
    <row r="2565" spans="1:17" x14ac:dyDescent="0.3">
      <c r="A2565" t="s">
        <v>17</v>
      </c>
      <c r="B2565" t="str">
        <f>"603856"</f>
        <v>603856</v>
      </c>
      <c r="C2565" t="s">
        <v>5468</v>
      </c>
      <c r="D2565" t="s">
        <v>2927</v>
      </c>
      <c r="E2565">
        <v>3415243350</v>
      </c>
      <c r="F2565">
        <v>2839196581</v>
      </c>
      <c r="G2565">
        <v>2124873471</v>
      </c>
      <c r="H2565">
        <v>1915460623</v>
      </c>
      <c r="I2565">
        <v>1789930508</v>
      </c>
      <c r="P2565">
        <v>138</v>
      </c>
      <c r="Q2565" t="s">
        <v>5469</v>
      </c>
    </row>
    <row r="2566" spans="1:17" x14ac:dyDescent="0.3">
      <c r="A2566" t="s">
        <v>17</v>
      </c>
      <c r="B2566" t="str">
        <f>"603365"</f>
        <v>603365</v>
      </c>
      <c r="C2566" t="s">
        <v>5470</v>
      </c>
      <c r="D2566" t="s">
        <v>3807</v>
      </c>
      <c r="E2566">
        <v>3412227437</v>
      </c>
      <c r="F2566">
        <v>3064372371</v>
      </c>
      <c r="G2566">
        <v>2675570180</v>
      </c>
      <c r="H2566">
        <v>2636977446</v>
      </c>
      <c r="I2566">
        <v>2494470054</v>
      </c>
      <c r="P2566">
        <v>243</v>
      </c>
      <c r="Q2566" t="s">
        <v>5471</v>
      </c>
    </row>
    <row r="2567" spans="1:17" x14ac:dyDescent="0.3">
      <c r="A2567" t="s">
        <v>47</v>
      </c>
      <c r="B2567" t="str">
        <f>"002519"</f>
        <v>002519</v>
      </c>
      <c r="C2567" t="s">
        <v>5472</v>
      </c>
      <c r="D2567" t="s">
        <v>2588</v>
      </c>
      <c r="E2567">
        <v>3412090110</v>
      </c>
      <c r="F2567">
        <v>3885196653</v>
      </c>
      <c r="G2567">
        <v>3379467045</v>
      </c>
      <c r="H2567">
        <v>3560219265</v>
      </c>
      <c r="I2567">
        <v>5201182924</v>
      </c>
      <c r="J2567">
        <v>4815386964</v>
      </c>
      <c r="K2567">
        <v>3621753567</v>
      </c>
      <c r="L2567">
        <v>2523570363</v>
      </c>
      <c r="M2567">
        <v>1460330610</v>
      </c>
      <c r="N2567">
        <v>1455083852</v>
      </c>
      <c r="O2567">
        <v>1326758571</v>
      </c>
      <c r="P2567">
        <v>160</v>
      </c>
      <c r="Q2567" t="s">
        <v>5473</v>
      </c>
    </row>
    <row r="2568" spans="1:17" x14ac:dyDescent="0.3">
      <c r="A2568" t="s">
        <v>47</v>
      </c>
      <c r="B2568" t="str">
        <f>"002638"</f>
        <v>002638</v>
      </c>
      <c r="C2568" t="s">
        <v>5474</v>
      </c>
      <c r="D2568" t="s">
        <v>2954</v>
      </c>
      <c r="E2568">
        <v>3411310843</v>
      </c>
      <c r="F2568">
        <v>4376468872</v>
      </c>
      <c r="G2568">
        <v>4312202890</v>
      </c>
      <c r="H2568">
        <v>4911990888</v>
      </c>
      <c r="I2568">
        <v>6985213368</v>
      </c>
      <c r="J2568">
        <v>7297680898</v>
      </c>
      <c r="K2568">
        <v>3252398418</v>
      </c>
      <c r="L2568">
        <v>3272032299</v>
      </c>
      <c r="M2568">
        <v>3195065122</v>
      </c>
      <c r="N2568">
        <v>3039390102</v>
      </c>
      <c r="O2568">
        <v>2458349069</v>
      </c>
      <c r="P2568">
        <v>83</v>
      </c>
      <c r="Q2568" t="s">
        <v>5475</v>
      </c>
    </row>
    <row r="2569" spans="1:17" x14ac:dyDescent="0.3">
      <c r="A2569" t="s">
        <v>47</v>
      </c>
      <c r="B2569" t="str">
        <f>"300385"</f>
        <v>300385</v>
      </c>
      <c r="C2569" t="s">
        <v>5476</v>
      </c>
      <c r="D2569" t="s">
        <v>1426</v>
      </c>
      <c r="E2569">
        <v>3410996967</v>
      </c>
      <c r="F2569">
        <v>3656438935</v>
      </c>
      <c r="G2569">
        <v>3345506891</v>
      </c>
      <c r="H2569">
        <v>2661295264</v>
      </c>
      <c r="I2569">
        <v>2132230948</v>
      </c>
      <c r="J2569">
        <v>1660297987</v>
      </c>
      <c r="K2569">
        <v>1467592403</v>
      </c>
      <c r="L2569">
        <v>1169649650</v>
      </c>
      <c r="M2569">
        <v>689192400</v>
      </c>
      <c r="P2569">
        <v>92</v>
      </c>
      <c r="Q2569" t="s">
        <v>5477</v>
      </c>
    </row>
    <row r="2570" spans="1:17" x14ac:dyDescent="0.3">
      <c r="A2570" t="s">
        <v>47</v>
      </c>
      <c r="B2570" t="str">
        <f>"300063"</f>
        <v>300063</v>
      </c>
      <c r="C2570" t="s">
        <v>5478</v>
      </c>
      <c r="D2570" t="s">
        <v>1824</v>
      </c>
      <c r="E2570">
        <v>3409522728</v>
      </c>
      <c r="F2570">
        <v>3397955255</v>
      </c>
      <c r="G2570">
        <v>3050687509</v>
      </c>
      <c r="H2570">
        <v>2450819027</v>
      </c>
      <c r="I2570">
        <v>3929553387</v>
      </c>
      <c r="J2570">
        <v>3981264747</v>
      </c>
      <c r="K2570">
        <v>3553777955</v>
      </c>
      <c r="L2570">
        <v>1451970468</v>
      </c>
      <c r="M2570">
        <v>986162633</v>
      </c>
      <c r="N2570">
        <v>766037908</v>
      </c>
      <c r="O2570">
        <v>696537572</v>
      </c>
      <c r="P2570">
        <v>109</v>
      </c>
      <c r="Q2570" t="s">
        <v>5479</v>
      </c>
    </row>
    <row r="2571" spans="1:17" x14ac:dyDescent="0.3">
      <c r="A2571" t="s">
        <v>47</v>
      </c>
      <c r="B2571" t="str">
        <f>"200512"</f>
        <v>200512</v>
      </c>
      <c r="C2571" t="s">
        <v>5480</v>
      </c>
      <c r="E2571">
        <v>3409508294.5240002</v>
      </c>
      <c r="F2571">
        <v>3539015443.6170001</v>
      </c>
      <c r="G2571">
        <v>1962793913.4705</v>
      </c>
      <c r="H2571">
        <v>2127364875.4356</v>
      </c>
      <c r="I2571">
        <v>2033068846.1275001</v>
      </c>
      <c r="J2571">
        <v>1808040422.4175999</v>
      </c>
      <c r="K2571">
        <v>1775131384.7407</v>
      </c>
      <c r="L2571">
        <v>2224150157.5</v>
      </c>
      <c r="M2571">
        <v>2557621440.0292001</v>
      </c>
      <c r="N2571">
        <v>2171112042.7337999</v>
      </c>
      <c r="O2571">
        <v>2370589827.4710002</v>
      </c>
      <c r="P2571">
        <v>34</v>
      </c>
      <c r="Q2571" t="s">
        <v>5481</v>
      </c>
    </row>
    <row r="2572" spans="1:17" x14ac:dyDescent="0.3">
      <c r="A2572" t="s">
        <v>47</v>
      </c>
      <c r="B2572" t="str">
        <f>"002063"</f>
        <v>002063</v>
      </c>
      <c r="C2572" t="s">
        <v>5482</v>
      </c>
      <c r="D2572" t="s">
        <v>1859</v>
      </c>
      <c r="E2572">
        <v>3407245787</v>
      </c>
      <c r="F2572">
        <v>3070667440</v>
      </c>
      <c r="G2572">
        <v>2864164924</v>
      </c>
      <c r="H2572">
        <v>2605479506</v>
      </c>
      <c r="I2572">
        <v>2459800509</v>
      </c>
      <c r="J2572">
        <v>2222687193</v>
      </c>
      <c r="K2572">
        <v>1939118015</v>
      </c>
      <c r="L2572">
        <v>1987174535</v>
      </c>
      <c r="M2572">
        <v>1798693668</v>
      </c>
      <c r="N2572">
        <v>1490502445</v>
      </c>
      <c r="O2572">
        <v>1117514789</v>
      </c>
      <c r="P2572">
        <v>489</v>
      </c>
      <c r="Q2572" t="s">
        <v>5483</v>
      </c>
    </row>
    <row r="2573" spans="1:17" x14ac:dyDescent="0.3">
      <c r="A2573" t="s">
        <v>47</v>
      </c>
      <c r="B2573" t="str">
        <f>"300384"</f>
        <v>300384</v>
      </c>
      <c r="C2573" t="s">
        <v>5484</v>
      </c>
      <c r="D2573" t="s">
        <v>370</v>
      </c>
      <c r="E2573">
        <v>3406032336</v>
      </c>
      <c r="F2573">
        <v>3165526700</v>
      </c>
      <c r="G2573">
        <v>3022244455</v>
      </c>
      <c r="H2573">
        <v>2560509192</v>
      </c>
      <c r="I2573">
        <v>2167698398</v>
      </c>
      <c r="J2573">
        <v>1278097607</v>
      </c>
      <c r="K2573">
        <v>1216524973</v>
      </c>
      <c r="L2573">
        <v>1338322923</v>
      </c>
      <c r="M2573">
        <v>646444745</v>
      </c>
      <c r="P2573">
        <v>164</v>
      </c>
      <c r="Q2573" t="s">
        <v>5485</v>
      </c>
    </row>
    <row r="2574" spans="1:17" x14ac:dyDescent="0.3">
      <c r="A2574" t="s">
        <v>17</v>
      </c>
      <c r="B2574" t="str">
        <f>"605168"</f>
        <v>605168</v>
      </c>
      <c r="C2574" t="s">
        <v>5486</v>
      </c>
      <c r="D2574" t="s">
        <v>1824</v>
      </c>
      <c r="E2574">
        <v>3405528989</v>
      </c>
      <c r="F2574">
        <v>2360749147</v>
      </c>
      <c r="G2574">
        <v>847011914</v>
      </c>
      <c r="P2574">
        <v>317</v>
      </c>
      <c r="Q2574" t="s">
        <v>5487</v>
      </c>
    </row>
    <row r="2575" spans="1:17" x14ac:dyDescent="0.3">
      <c r="A2575" t="s">
        <v>47</v>
      </c>
      <c r="B2575" t="str">
        <f>"300165"</f>
        <v>300165</v>
      </c>
      <c r="C2575" t="s">
        <v>5488</v>
      </c>
      <c r="D2575" t="s">
        <v>3722</v>
      </c>
      <c r="E2575">
        <v>3404074535</v>
      </c>
      <c r="F2575">
        <v>2679346719</v>
      </c>
      <c r="G2575">
        <v>2270161136</v>
      </c>
      <c r="H2575">
        <v>2180810222</v>
      </c>
      <c r="I2575">
        <v>2233559624</v>
      </c>
      <c r="J2575">
        <v>2036157418</v>
      </c>
      <c r="K2575">
        <v>1722309327</v>
      </c>
      <c r="L2575">
        <v>1572317492</v>
      </c>
      <c r="M2575">
        <v>1534583507</v>
      </c>
      <c r="N2575">
        <v>1530356135</v>
      </c>
      <c r="O2575">
        <v>1535218948</v>
      </c>
      <c r="P2575">
        <v>103</v>
      </c>
      <c r="Q2575" t="s">
        <v>5489</v>
      </c>
    </row>
    <row r="2576" spans="1:17" x14ac:dyDescent="0.3">
      <c r="A2576" t="s">
        <v>47</v>
      </c>
      <c r="B2576" t="str">
        <f>"300183"</f>
        <v>300183</v>
      </c>
      <c r="C2576" t="s">
        <v>5490</v>
      </c>
      <c r="D2576" t="s">
        <v>4914</v>
      </c>
      <c r="E2576">
        <v>3403381684</v>
      </c>
      <c r="F2576">
        <v>3260310816</v>
      </c>
      <c r="G2576">
        <v>3234233989</v>
      </c>
      <c r="H2576">
        <v>3178457270</v>
      </c>
      <c r="I2576">
        <v>3070737040</v>
      </c>
      <c r="J2576">
        <v>2827963405</v>
      </c>
      <c r="K2576">
        <v>2486935408</v>
      </c>
      <c r="L2576">
        <v>2140008615</v>
      </c>
      <c r="M2576">
        <v>1849326128</v>
      </c>
      <c r="N2576">
        <v>1666368583</v>
      </c>
      <c r="O2576">
        <v>1477618830</v>
      </c>
      <c r="P2576">
        <v>276</v>
      </c>
      <c r="Q2576" t="s">
        <v>5491</v>
      </c>
    </row>
    <row r="2577" spans="1:17" x14ac:dyDescent="0.3">
      <c r="A2577" t="s">
        <v>47</v>
      </c>
      <c r="B2577" t="str">
        <f>"002659"</f>
        <v>002659</v>
      </c>
      <c r="C2577" t="s">
        <v>5492</v>
      </c>
      <c r="D2577" t="s">
        <v>5163</v>
      </c>
      <c r="E2577">
        <v>3401846044</v>
      </c>
      <c r="F2577">
        <v>3861744338</v>
      </c>
      <c r="G2577">
        <v>3644502889</v>
      </c>
      <c r="H2577">
        <v>3517949425</v>
      </c>
      <c r="I2577">
        <v>3082728242</v>
      </c>
      <c r="J2577">
        <v>4141454645</v>
      </c>
      <c r="K2577">
        <v>2390929232</v>
      </c>
      <c r="L2577">
        <v>1942532038</v>
      </c>
      <c r="M2577">
        <v>1745499725</v>
      </c>
      <c r="N2577">
        <v>1839169545</v>
      </c>
      <c r="O2577">
        <v>1394227572</v>
      </c>
      <c r="P2577">
        <v>96</v>
      </c>
      <c r="Q2577" t="s">
        <v>5493</v>
      </c>
    </row>
    <row r="2578" spans="1:17" x14ac:dyDescent="0.3">
      <c r="A2578" t="s">
        <v>47</v>
      </c>
      <c r="B2578" t="str">
        <f>"300983"</f>
        <v>300983</v>
      </c>
      <c r="C2578" t="s">
        <v>5494</v>
      </c>
      <c r="D2578" t="s">
        <v>2178</v>
      </c>
      <c r="E2578">
        <v>3398322834</v>
      </c>
      <c r="F2578">
        <v>1015779167</v>
      </c>
      <c r="P2578">
        <v>34</v>
      </c>
      <c r="Q2578" t="s">
        <v>5495</v>
      </c>
    </row>
    <row r="2579" spans="1:17" x14ac:dyDescent="0.3">
      <c r="A2579" t="s">
        <v>47</v>
      </c>
      <c r="B2579" t="str">
        <f>"300575"</f>
        <v>300575</v>
      </c>
      <c r="C2579" t="s">
        <v>5496</v>
      </c>
      <c r="D2579" t="s">
        <v>819</v>
      </c>
      <c r="E2579">
        <v>3394889508</v>
      </c>
      <c r="F2579">
        <v>2451668110</v>
      </c>
      <c r="G2579">
        <v>2292420347</v>
      </c>
      <c r="H2579">
        <v>2421673846</v>
      </c>
      <c r="I2579">
        <v>1902068079</v>
      </c>
      <c r="J2579">
        <v>1441416252</v>
      </c>
      <c r="P2579">
        <v>187</v>
      </c>
      <c r="Q2579" t="s">
        <v>5497</v>
      </c>
    </row>
    <row r="2580" spans="1:17" x14ac:dyDescent="0.3">
      <c r="A2580" t="s">
        <v>17</v>
      </c>
      <c r="B2580" t="str">
        <f>"605018"</f>
        <v>605018</v>
      </c>
      <c r="C2580" t="s">
        <v>5498</v>
      </c>
      <c r="D2580" t="s">
        <v>1815</v>
      </c>
      <c r="E2580">
        <v>3393841002</v>
      </c>
      <c r="F2580">
        <v>2448472325</v>
      </c>
      <c r="P2580">
        <v>48</v>
      </c>
      <c r="Q2580" t="s">
        <v>5499</v>
      </c>
    </row>
    <row r="2581" spans="1:17" x14ac:dyDescent="0.3">
      <c r="A2581" t="s">
        <v>17</v>
      </c>
      <c r="B2581" t="str">
        <f>"600182"</f>
        <v>600182</v>
      </c>
      <c r="C2581" t="s">
        <v>5500</v>
      </c>
      <c r="D2581" t="s">
        <v>1102</v>
      </c>
      <c r="E2581">
        <v>3393209709</v>
      </c>
      <c r="F2581">
        <v>3222854328</v>
      </c>
      <c r="G2581">
        <v>3085695365</v>
      </c>
      <c r="H2581">
        <v>2726470664</v>
      </c>
      <c r="I2581">
        <v>3233983627</v>
      </c>
      <c r="J2581">
        <v>2455779464</v>
      </c>
      <c r="K2581">
        <v>2748371357</v>
      </c>
      <c r="L2581">
        <v>3117766600</v>
      </c>
      <c r="M2581">
        <v>3786072055</v>
      </c>
      <c r="N2581">
        <v>3935844026</v>
      </c>
      <c r="O2581">
        <v>3571594312</v>
      </c>
      <c r="P2581">
        <v>77</v>
      </c>
      <c r="Q2581" t="s">
        <v>5501</v>
      </c>
    </row>
    <row r="2582" spans="1:17" x14ac:dyDescent="0.3">
      <c r="A2582" t="s">
        <v>47</v>
      </c>
      <c r="B2582" t="str">
        <f>"000859"</f>
        <v>000859</v>
      </c>
      <c r="C2582" t="s">
        <v>5502</v>
      </c>
      <c r="D2582" t="s">
        <v>2485</v>
      </c>
      <c r="E2582">
        <v>3392798679</v>
      </c>
      <c r="F2582">
        <v>3068837085</v>
      </c>
      <c r="G2582">
        <v>2155376967</v>
      </c>
      <c r="H2582">
        <v>2107040487</v>
      </c>
      <c r="I2582">
        <v>2097384808</v>
      </c>
      <c r="J2582">
        <v>2162045424</v>
      </c>
      <c r="K2582">
        <v>1859571055</v>
      </c>
      <c r="L2582">
        <v>1908196884</v>
      </c>
      <c r="M2582">
        <v>1434084981</v>
      </c>
      <c r="N2582">
        <v>1336118269</v>
      </c>
      <c r="O2582">
        <v>1495672325</v>
      </c>
      <c r="P2582">
        <v>118</v>
      </c>
      <c r="Q2582" t="s">
        <v>5503</v>
      </c>
    </row>
    <row r="2583" spans="1:17" x14ac:dyDescent="0.3">
      <c r="A2583" t="s">
        <v>47</v>
      </c>
      <c r="B2583" t="str">
        <f>"300011"</f>
        <v>300011</v>
      </c>
      <c r="C2583" t="s">
        <v>5504</v>
      </c>
      <c r="D2583" t="s">
        <v>193</v>
      </c>
      <c r="E2583">
        <v>3390672131</v>
      </c>
      <c r="F2583">
        <v>3203215247</v>
      </c>
      <c r="G2583">
        <v>3624528783</v>
      </c>
      <c r="H2583">
        <v>3378167334</v>
      </c>
      <c r="I2583">
        <v>4055165756</v>
      </c>
      <c r="J2583">
        <v>3407947723</v>
      </c>
      <c r="K2583">
        <v>3039059391</v>
      </c>
      <c r="L2583">
        <v>2888477379</v>
      </c>
      <c r="M2583">
        <v>952050874</v>
      </c>
      <c r="N2583">
        <v>815152143</v>
      </c>
      <c r="O2583">
        <v>807090871</v>
      </c>
      <c r="P2583">
        <v>109</v>
      </c>
      <c r="Q2583" t="s">
        <v>5505</v>
      </c>
    </row>
    <row r="2584" spans="1:17" x14ac:dyDescent="0.3">
      <c r="A2584" t="s">
        <v>17</v>
      </c>
      <c r="B2584" t="str">
        <f>"600774"</f>
        <v>600774</v>
      </c>
      <c r="C2584" t="s">
        <v>5506</v>
      </c>
      <c r="D2584" t="s">
        <v>780</v>
      </c>
      <c r="E2584">
        <v>3389872276</v>
      </c>
      <c r="F2584">
        <v>3022947850</v>
      </c>
      <c r="G2584">
        <v>1733829006</v>
      </c>
      <c r="H2584">
        <v>1671560143</v>
      </c>
      <c r="I2584">
        <v>1712391798</v>
      </c>
      <c r="J2584">
        <v>1660879109</v>
      </c>
      <c r="K2584">
        <v>1636397977</v>
      </c>
      <c r="L2584">
        <v>1623829694</v>
      </c>
      <c r="M2584">
        <v>1637938420</v>
      </c>
      <c r="N2584">
        <v>1672772722</v>
      </c>
      <c r="O2584">
        <v>1644599652</v>
      </c>
      <c r="P2584">
        <v>84</v>
      </c>
      <c r="Q2584" t="s">
        <v>5507</v>
      </c>
    </row>
    <row r="2585" spans="1:17" x14ac:dyDescent="0.3">
      <c r="A2585" t="s">
        <v>17</v>
      </c>
      <c r="B2585" t="str">
        <f>"600313"</f>
        <v>600313</v>
      </c>
      <c r="C2585" t="s">
        <v>5508</v>
      </c>
      <c r="D2585" t="s">
        <v>2235</v>
      </c>
      <c r="E2585">
        <v>3384654819</v>
      </c>
      <c r="F2585">
        <v>3209883896</v>
      </c>
      <c r="G2585">
        <v>3054124799</v>
      </c>
      <c r="H2585">
        <v>3364901310</v>
      </c>
      <c r="I2585">
        <v>3670561281</v>
      </c>
      <c r="J2585">
        <v>4272453447</v>
      </c>
      <c r="K2585">
        <v>3949010553</v>
      </c>
      <c r="L2585">
        <v>2355061203</v>
      </c>
      <c r="M2585">
        <v>2097636092</v>
      </c>
      <c r="N2585">
        <v>1754782478</v>
      </c>
      <c r="O2585">
        <v>941035461</v>
      </c>
      <c r="P2585">
        <v>173</v>
      </c>
      <c r="Q2585" t="s">
        <v>5509</v>
      </c>
    </row>
    <row r="2586" spans="1:17" x14ac:dyDescent="0.3">
      <c r="A2586" t="s">
        <v>47</v>
      </c>
      <c r="B2586" t="str">
        <f>"300739"</f>
        <v>300739</v>
      </c>
      <c r="C2586" t="s">
        <v>5510</v>
      </c>
      <c r="D2586" t="s">
        <v>1115</v>
      </c>
      <c r="E2586">
        <v>3383476408</v>
      </c>
      <c r="F2586">
        <v>2802753959</v>
      </c>
      <c r="G2586">
        <v>1872124780</v>
      </c>
      <c r="H2586">
        <v>1772370897</v>
      </c>
      <c r="I2586">
        <v>1605153320</v>
      </c>
      <c r="P2586">
        <v>170</v>
      </c>
      <c r="Q2586" t="s">
        <v>5511</v>
      </c>
    </row>
    <row r="2587" spans="1:17" x14ac:dyDescent="0.3">
      <c r="A2587" t="s">
        <v>17</v>
      </c>
      <c r="B2587" t="str">
        <f>"603095"</f>
        <v>603095</v>
      </c>
      <c r="C2587" t="s">
        <v>5512</v>
      </c>
      <c r="D2587" t="s">
        <v>2603</v>
      </c>
      <c r="E2587">
        <v>3381669672</v>
      </c>
      <c r="F2587">
        <v>2884501116</v>
      </c>
      <c r="G2587">
        <v>1551360803</v>
      </c>
      <c r="P2587">
        <v>64</v>
      </c>
      <c r="Q2587" t="s">
        <v>5513</v>
      </c>
    </row>
    <row r="2588" spans="1:17" x14ac:dyDescent="0.3">
      <c r="A2588" t="s">
        <v>47</v>
      </c>
      <c r="B2588" t="str">
        <f>"002350"</f>
        <v>002350</v>
      </c>
      <c r="C2588" t="s">
        <v>5514</v>
      </c>
      <c r="D2588" t="s">
        <v>562</v>
      </c>
      <c r="E2588">
        <v>3380068080</v>
      </c>
      <c r="F2588">
        <v>3155457502</v>
      </c>
      <c r="G2588">
        <v>3210258902</v>
      </c>
      <c r="H2588">
        <v>3434164727</v>
      </c>
      <c r="I2588">
        <v>2819122327</v>
      </c>
      <c r="J2588">
        <v>2232251717</v>
      </c>
      <c r="K2588">
        <v>1889069052</v>
      </c>
      <c r="L2588">
        <v>1603302005</v>
      </c>
      <c r="M2588">
        <v>1474436363</v>
      </c>
      <c r="N2588">
        <v>1393780270</v>
      </c>
      <c r="O2588">
        <v>1314809401</v>
      </c>
      <c r="P2588">
        <v>104</v>
      </c>
      <c r="Q2588" t="s">
        <v>5515</v>
      </c>
    </row>
    <row r="2589" spans="1:17" x14ac:dyDescent="0.3">
      <c r="A2589" t="s">
        <v>47</v>
      </c>
      <c r="B2589" t="str">
        <f>"000848"</f>
        <v>000848</v>
      </c>
      <c r="C2589" t="s">
        <v>5516</v>
      </c>
      <c r="D2589" t="s">
        <v>2157</v>
      </c>
      <c r="E2589">
        <v>3373403611</v>
      </c>
      <c r="F2589">
        <v>2947810484</v>
      </c>
      <c r="G2589">
        <v>2686060319</v>
      </c>
      <c r="H2589">
        <v>2622407630</v>
      </c>
      <c r="I2589">
        <v>2742901531</v>
      </c>
      <c r="J2589">
        <v>2560297791</v>
      </c>
      <c r="K2589">
        <v>2343139245</v>
      </c>
      <c r="L2589">
        <v>1986139164</v>
      </c>
      <c r="M2589">
        <v>1745802961</v>
      </c>
      <c r="N2589">
        <v>1588019272</v>
      </c>
      <c r="O2589">
        <v>1326447147</v>
      </c>
      <c r="P2589">
        <v>41203</v>
      </c>
      <c r="Q2589" t="s">
        <v>5517</v>
      </c>
    </row>
    <row r="2590" spans="1:17" x14ac:dyDescent="0.3">
      <c r="A2590" t="s">
        <v>17</v>
      </c>
      <c r="B2590" t="str">
        <f>"603171"</f>
        <v>603171</v>
      </c>
      <c r="C2590" t="s">
        <v>5518</v>
      </c>
      <c r="D2590" t="s">
        <v>700</v>
      </c>
      <c r="E2590">
        <v>3371226372</v>
      </c>
      <c r="F2590">
        <v>2616611164</v>
      </c>
      <c r="P2590">
        <v>54</v>
      </c>
      <c r="Q2590" t="s">
        <v>5519</v>
      </c>
    </row>
    <row r="2591" spans="1:17" x14ac:dyDescent="0.3">
      <c r="A2591" t="s">
        <v>17</v>
      </c>
      <c r="B2591" t="str">
        <f>"603388"</f>
        <v>603388</v>
      </c>
      <c r="C2591" t="s">
        <v>5520</v>
      </c>
      <c r="D2591" t="s">
        <v>952</v>
      </c>
      <c r="E2591">
        <v>3371108003</v>
      </c>
      <c r="F2591">
        <v>2924891339</v>
      </c>
      <c r="G2591">
        <v>2753877161</v>
      </c>
      <c r="H2591">
        <v>2583277358</v>
      </c>
      <c r="I2591">
        <v>1857684512</v>
      </c>
      <c r="J2591">
        <v>1095857486</v>
      </c>
      <c r="P2591">
        <v>63</v>
      </c>
      <c r="Q2591" t="s">
        <v>5521</v>
      </c>
    </row>
    <row r="2592" spans="1:17" x14ac:dyDescent="0.3">
      <c r="A2592" t="s">
        <v>47</v>
      </c>
      <c r="B2592" t="str">
        <f>"300444"</f>
        <v>300444</v>
      </c>
      <c r="C2592" t="s">
        <v>5522</v>
      </c>
      <c r="D2592" t="s">
        <v>459</v>
      </c>
      <c r="E2592">
        <v>3370623111</v>
      </c>
      <c r="F2592">
        <v>3269547189</v>
      </c>
      <c r="G2592">
        <v>2761543849</v>
      </c>
      <c r="H2592">
        <v>3715814558</v>
      </c>
      <c r="I2592">
        <v>3389376158</v>
      </c>
      <c r="J2592">
        <v>1635094505</v>
      </c>
      <c r="K2592">
        <v>1188984841</v>
      </c>
      <c r="P2592">
        <v>101</v>
      </c>
      <c r="Q2592" t="s">
        <v>5523</v>
      </c>
    </row>
    <row r="2593" spans="1:17" x14ac:dyDescent="0.3">
      <c r="A2593" t="s">
        <v>17</v>
      </c>
      <c r="B2593" t="str">
        <f>"603579"</f>
        <v>603579</v>
      </c>
      <c r="C2593" t="s">
        <v>5524</v>
      </c>
      <c r="D2593" t="s">
        <v>2985</v>
      </c>
      <c r="E2593">
        <v>3370609904</v>
      </c>
      <c r="F2593">
        <v>3015302870</v>
      </c>
      <c r="G2593">
        <v>2316011599</v>
      </c>
      <c r="H2593">
        <v>2227865972</v>
      </c>
      <c r="I2593">
        <v>2259863384</v>
      </c>
      <c r="J2593">
        <v>1833975640</v>
      </c>
      <c r="P2593">
        <v>597</v>
      </c>
      <c r="Q2593" t="s">
        <v>5525</v>
      </c>
    </row>
    <row r="2594" spans="1:17" x14ac:dyDescent="0.3">
      <c r="A2594" t="s">
        <v>47</v>
      </c>
      <c r="B2594" t="str">
        <f>"300241"</f>
        <v>300241</v>
      </c>
      <c r="C2594" t="s">
        <v>5526</v>
      </c>
      <c r="D2594" t="s">
        <v>862</v>
      </c>
      <c r="E2594">
        <v>3366801344</v>
      </c>
      <c r="F2594">
        <v>2334239070</v>
      </c>
      <c r="G2594">
        <v>1979515997</v>
      </c>
      <c r="H2594">
        <v>2316545998</v>
      </c>
      <c r="I2594">
        <v>2320684101</v>
      </c>
      <c r="J2594">
        <v>2111342200</v>
      </c>
      <c r="K2594">
        <v>1629307506</v>
      </c>
      <c r="L2594">
        <v>1247346293</v>
      </c>
      <c r="M2594">
        <v>927653133</v>
      </c>
      <c r="N2594">
        <v>700923327</v>
      </c>
      <c r="O2594">
        <v>593914718</v>
      </c>
      <c r="P2594">
        <v>170</v>
      </c>
      <c r="Q2594" t="s">
        <v>5527</v>
      </c>
    </row>
    <row r="2595" spans="1:17" x14ac:dyDescent="0.3">
      <c r="A2595" t="s">
        <v>17</v>
      </c>
      <c r="B2595" t="str">
        <f>"603590"</f>
        <v>603590</v>
      </c>
      <c r="C2595" t="s">
        <v>5528</v>
      </c>
      <c r="D2595" t="s">
        <v>1480</v>
      </c>
      <c r="E2595">
        <v>3362120575</v>
      </c>
      <c r="F2595">
        <v>3550719929</v>
      </c>
      <c r="G2595">
        <v>3121590764</v>
      </c>
      <c r="H2595">
        <v>2995353704</v>
      </c>
      <c r="P2595">
        <v>158</v>
      </c>
      <c r="Q2595" t="s">
        <v>5529</v>
      </c>
    </row>
    <row r="2596" spans="1:17" x14ac:dyDescent="0.3">
      <c r="A2596" t="s">
        <v>47</v>
      </c>
      <c r="B2596" t="str">
        <f>"300792"</f>
        <v>300792</v>
      </c>
      <c r="C2596" t="s">
        <v>5530</v>
      </c>
      <c r="D2596" t="s">
        <v>4098</v>
      </c>
      <c r="E2596">
        <v>3361695141</v>
      </c>
      <c r="F2596">
        <v>2042499559</v>
      </c>
      <c r="G2596">
        <v>1460974758</v>
      </c>
      <c r="P2596">
        <v>369</v>
      </c>
      <c r="Q2596" t="s">
        <v>5531</v>
      </c>
    </row>
    <row r="2597" spans="1:17" x14ac:dyDescent="0.3">
      <c r="A2597" t="s">
        <v>47</v>
      </c>
      <c r="B2597" t="str">
        <f>"002485"</f>
        <v>002485</v>
      </c>
      <c r="C2597" t="s">
        <v>5532</v>
      </c>
      <c r="D2597" t="s">
        <v>628</v>
      </c>
      <c r="E2597">
        <v>3357935683</v>
      </c>
      <c r="F2597">
        <v>3609465017</v>
      </c>
      <c r="G2597">
        <v>3738413446</v>
      </c>
      <c r="H2597">
        <v>3495044461</v>
      </c>
      <c r="I2597">
        <v>2651538467</v>
      </c>
      <c r="J2597">
        <v>2239743618</v>
      </c>
      <c r="K2597">
        <v>2633400611</v>
      </c>
      <c r="L2597">
        <v>2630981386</v>
      </c>
      <c r="M2597">
        <v>2729863919</v>
      </c>
      <c r="N2597">
        <v>2680168227</v>
      </c>
      <c r="O2597">
        <v>2296285059</v>
      </c>
      <c r="P2597">
        <v>80</v>
      </c>
      <c r="Q2597" t="s">
        <v>5533</v>
      </c>
    </row>
    <row r="2598" spans="1:17" x14ac:dyDescent="0.3">
      <c r="A2598" t="s">
        <v>47</v>
      </c>
      <c r="B2598" t="str">
        <f>"300870"</f>
        <v>300870</v>
      </c>
      <c r="C2598" t="s">
        <v>5534</v>
      </c>
      <c r="D2598" t="s">
        <v>2256</v>
      </c>
      <c r="E2598">
        <v>3357834320</v>
      </c>
      <c r="F2598">
        <v>2609202140</v>
      </c>
      <c r="P2598">
        <v>131</v>
      </c>
      <c r="Q2598" t="s">
        <v>5535</v>
      </c>
    </row>
    <row r="2599" spans="1:17" x14ac:dyDescent="0.3">
      <c r="A2599" t="s">
        <v>47</v>
      </c>
      <c r="B2599" t="str">
        <f>"300661"</f>
        <v>300661</v>
      </c>
      <c r="C2599" t="s">
        <v>5536</v>
      </c>
      <c r="D2599" t="s">
        <v>2795</v>
      </c>
      <c r="E2599">
        <v>3357298432</v>
      </c>
      <c r="F2599">
        <v>2051722140</v>
      </c>
      <c r="G2599">
        <v>1431790780</v>
      </c>
      <c r="H2599">
        <v>1075077874</v>
      </c>
      <c r="I2599">
        <v>948187754</v>
      </c>
      <c r="P2599">
        <v>1054</v>
      </c>
      <c r="Q2599" t="s">
        <v>5537</v>
      </c>
    </row>
    <row r="2600" spans="1:17" x14ac:dyDescent="0.3">
      <c r="A2600" t="s">
        <v>47</v>
      </c>
      <c r="B2600" t="str">
        <f>"300174"</f>
        <v>300174</v>
      </c>
      <c r="C2600" t="s">
        <v>5538</v>
      </c>
      <c r="D2600" t="s">
        <v>710</v>
      </c>
      <c r="E2600">
        <v>3356296978</v>
      </c>
      <c r="F2600">
        <v>2064553668</v>
      </c>
      <c r="G2600">
        <v>1315223530</v>
      </c>
      <c r="H2600">
        <v>1589358339</v>
      </c>
      <c r="I2600">
        <v>1538634754</v>
      </c>
      <c r="J2600">
        <v>1130491034</v>
      </c>
      <c r="K2600">
        <v>862299595</v>
      </c>
      <c r="L2600">
        <v>598285410</v>
      </c>
      <c r="M2600">
        <v>584739690</v>
      </c>
      <c r="N2600">
        <v>572272040</v>
      </c>
      <c r="O2600">
        <v>533871166</v>
      </c>
      <c r="P2600">
        <v>90</v>
      </c>
      <c r="Q2600" t="s">
        <v>5539</v>
      </c>
    </row>
    <row r="2601" spans="1:17" x14ac:dyDescent="0.3">
      <c r="A2601" t="s">
        <v>47</v>
      </c>
      <c r="B2601" t="str">
        <f>"002381"</f>
        <v>002381</v>
      </c>
      <c r="C2601" t="s">
        <v>5540</v>
      </c>
      <c r="D2601" t="s">
        <v>3921</v>
      </c>
      <c r="E2601">
        <v>3356058573</v>
      </c>
      <c r="F2601">
        <v>2703986855</v>
      </c>
      <c r="G2601">
        <v>2263052103</v>
      </c>
      <c r="H2601">
        <v>2153690081</v>
      </c>
      <c r="I2601">
        <v>2085756000</v>
      </c>
      <c r="J2601">
        <v>2503202066</v>
      </c>
      <c r="K2601">
        <v>2586556684</v>
      </c>
      <c r="L2601">
        <v>1568408510</v>
      </c>
      <c r="M2601">
        <v>1439448654</v>
      </c>
      <c r="N2601">
        <v>1320508237</v>
      </c>
      <c r="O2601">
        <v>1191707644</v>
      </c>
      <c r="P2601">
        <v>276</v>
      </c>
      <c r="Q2601" t="s">
        <v>5541</v>
      </c>
    </row>
    <row r="2602" spans="1:17" x14ac:dyDescent="0.3">
      <c r="A2602" t="s">
        <v>47</v>
      </c>
      <c r="B2602" t="str">
        <f>"002346"</f>
        <v>002346</v>
      </c>
      <c r="C2602" t="s">
        <v>5542</v>
      </c>
      <c r="D2602" t="s">
        <v>459</v>
      </c>
      <c r="E2602">
        <v>3355276583</v>
      </c>
      <c r="F2602">
        <v>2624063022</v>
      </c>
      <c r="G2602">
        <v>2769061532</v>
      </c>
      <c r="H2602">
        <v>2559039293</v>
      </c>
      <c r="I2602">
        <v>2442786341</v>
      </c>
      <c r="J2602">
        <v>1953825243</v>
      </c>
      <c r="K2602">
        <v>2032652595</v>
      </c>
      <c r="L2602">
        <v>1658584611</v>
      </c>
      <c r="M2602">
        <v>1026767011</v>
      </c>
      <c r="N2602">
        <v>1115348669</v>
      </c>
      <c r="O2602">
        <v>1078644188</v>
      </c>
      <c r="P2602">
        <v>105</v>
      </c>
      <c r="Q2602" t="s">
        <v>5543</v>
      </c>
    </row>
    <row r="2603" spans="1:17" x14ac:dyDescent="0.3">
      <c r="A2603" t="s">
        <v>47</v>
      </c>
      <c r="B2603" t="str">
        <f>"002364"</f>
        <v>002364</v>
      </c>
      <c r="C2603" t="s">
        <v>5544</v>
      </c>
      <c r="D2603" t="s">
        <v>2256</v>
      </c>
      <c r="E2603">
        <v>3354891371</v>
      </c>
      <c r="F2603">
        <v>3333606264</v>
      </c>
      <c r="G2603">
        <v>2752954002</v>
      </c>
      <c r="H2603">
        <v>2410637789</v>
      </c>
      <c r="I2603">
        <v>2584884600</v>
      </c>
      <c r="J2603">
        <v>2624026450</v>
      </c>
      <c r="K2603">
        <v>1667462993</v>
      </c>
      <c r="L2603">
        <v>1177841122</v>
      </c>
      <c r="M2603">
        <v>1006908339</v>
      </c>
      <c r="N2603">
        <v>871733756</v>
      </c>
      <c r="O2603">
        <v>685553097</v>
      </c>
      <c r="P2603">
        <v>219</v>
      </c>
      <c r="Q2603" t="s">
        <v>5545</v>
      </c>
    </row>
    <row r="2604" spans="1:17" x14ac:dyDescent="0.3">
      <c r="A2604" t="s">
        <v>17</v>
      </c>
      <c r="B2604" t="str">
        <f>"600523"</f>
        <v>600523</v>
      </c>
      <c r="C2604" t="s">
        <v>5546</v>
      </c>
      <c r="D2604" t="s">
        <v>1815</v>
      </c>
      <c r="E2604">
        <v>3353481324</v>
      </c>
      <c r="F2604">
        <v>3168141312</v>
      </c>
      <c r="G2604">
        <v>3042191732</v>
      </c>
      <c r="H2604">
        <v>3077294668</v>
      </c>
      <c r="I2604">
        <v>3551402205</v>
      </c>
      <c r="J2604">
        <v>3716253790</v>
      </c>
      <c r="K2604">
        <v>3695730922</v>
      </c>
      <c r="L2604">
        <v>3643057428</v>
      </c>
      <c r="M2604">
        <v>3454526732</v>
      </c>
      <c r="N2604">
        <v>2853727565</v>
      </c>
      <c r="O2604">
        <v>2947551388</v>
      </c>
      <c r="P2604">
        <v>96</v>
      </c>
      <c r="Q2604" t="s">
        <v>5547</v>
      </c>
    </row>
    <row r="2605" spans="1:17" x14ac:dyDescent="0.3">
      <c r="A2605" t="s">
        <v>47</v>
      </c>
      <c r="B2605" t="str">
        <f>"002315"</f>
        <v>002315</v>
      </c>
      <c r="C2605" t="s">
        <v>5548</v>
      </c>
      <c r="D2605" t="s">
        <v>2707</v>
      </c>
      <c r="E2605">
        <v>3352474927</v>
      </c>
      <c r="F2605">
        <v>3489363273</v>
      </c>
      <c r="G2605">
        <v>2917183890</v>
      </c>
      <c r="H2605">
        <v>2571440424</v>
      </c>
      <c r="I2605">
        <v>2494958489</v>
      </c>
      <c r="J2605">
        <v>2509821766</v>
      </c>
      <c r="K2605">
        <v>2370814116</v>
      </c>
      <c r="L2605">
        <v>2161520048</v>
      </c>
      <c r="M2605">
        <v>2078665030</v>
      </c>
      <c r="N2605">
        <v>1990309470</v>
      </c>
      <c r="O2605">
        <v>1862252315</v>
      </c>
      <c r="P2605">
        <v>221</v>
      </c>
      <c r="Q2605" t="s">
        <v>5549</v>
      </c>
    </row>
    <row r="2606" spans="1:17" x14ac:dyDescent="0.3">
      <c r="A2606" t="s">
        <v>17</v>
      </c>
      <c r="B2606" t="str">
        <f>"600053"</f>
        <v>600053</v>
      </c>
      <c r="C2606" t="s">
        <v>5550</v>
      </c>
      <c r="D2606" t="s">
        <v>3519</v>
      </c>
      <c r="E2606">
        <v>3351971648</v>
      </c>
      <c r="F2606">
        <v>3309483674</v>
      </c>
      <c r="G2606">
        <v>3776888815</v>
      </c>
      <c r="H2606">
        <v>6204558708</v>
      </c>
      <c r="I2606">
        <v>5063478626</v>
      </c>
      <c r="J2606">
        <v>4433719685</v>
      </c>
      <c r="K2606">
        <v>4443839385</v>
      </c>
      <c r="L2606">
        <v>2620669329</v>
      </c>
      <c r="M2606">
        <v>2834118193</v>
      </c>
      <c r="N2606">
        <v>3120406597</v>
      </c>
      <c r="O2606">
        <v>2862228763</v>
      </c>
      <c r="P2606">
        <v>229</v>
      </c>
      <c r="Q2606" t="s">
        <v>5551</v>
      </c>
    </row>
    <row r="2607" spans="1:17" x14ac:dyDescent="0.3">
      <c r="A2607" t="s">
        <v>47</v>
      </c>
      <c r="B2607" t="str">
        <f>"300765"</f>
        <v>300765</v>
      </c>
      <c r="C2607" t="s">
        <v>5552</v>
      </c>
      <c r="D2607" t="s">
        <v>1112</v>
      </c>
      <c r="E2607">
        <v>3350339319</v>
      </c>
      <c r="F2607">
        <v>3057641726</v>
      </c>
      <c r="G2607">
        <v>2917822119</v>
      </c>
      <c r="H2607">
        <v>2584446969</v>
      </c>
      <c r="P2607">
        <v>173</v>
      </c>
      <c r="Q2607" t="s">
        <v>5553</v>
      </c>
    </row>
    <row r="2608" spans="1:17" x14ac:dyDescent="0.3">
      <c r="A2608" t="s">
        <v>47</v>
      </c>
      <c r="B2608" t="str">
        <f>"300455"</f>
        <v>300455</v>
      </c>
      <c r="C2608" t="s">
        <v>5554</v>
      </c>
      <c r="D2608" t="s">
        <v>765</v>
      </c>
      <c r="E2608">
        <v>3346823456</v>
      </c>
      <c r="F2608">
        <v>2804889677</v>
      </c>
      <c r="G2608">
        <v>2254837147</v>
      </c>
      <c r="H2608">
        <v>847765097</v>
      </c>
      <c r="I2608">
        <v>803291791</v>
      </c>
      <c r="J2608">
        <v>794366704</v>
      </c>
      <c r="K2608">
        <v>735298547</v>
      </c>
      <c r="L2608">
        <v>473373600</v>
      </c>
      <c r="P2608">
        <v>137</v>
      </c>
      <c r="Q2608" t="s">
        <v>5555</v>
      </c>
    </row>
    <row r="2609" spans="1:17" x14ac:dyDescent="0.3">
      <c r="A2609" t="s">
        <v>47</v>
      </c>
      <c r="B2609" t="str">
        <f>"301268"</f>
        <v>301268</v>
      </c>
      <c r="C2609" t="s">
        <v>5556</v>
      </c>
      <c r="E2609">
        <v>3346627385</v>
      </c>
      <c r="P2609">
        <v>2</v>
      </c>
      <c r="Q2609" t="s">
        <v>5557</v>
      </c>
    </row>
    <row r="2610" spans="1:17" x14ac:dyDescent="0.3">
      <c r="A2610" t="s">
        <v>17</v>
      </c>
      <c r="B2610" t="str">
        <f>"688280"</f>
        <v>688280</v>
      </c>
      <c r="C2610" t="s">
        <v>5558</v>
      </c>
      <c r="D2610" t="s">
        <v>274</v>
      </c>
      <c r="E2610">
        <v>3344457605</v>
      </c>
      <c r="P2610">
        <v>22</v>
      </c>
      <c r="Q2610" t="s">
        <v>5559</v>
      </c>
    </row>
    <row r="2611" spans="1:17" x14ac:dyDescent="0.3">
      <c r="A2611" t="s">
        <v>17</v>
      </c>
      <c r="B2611" t="str">
        <f>"603176"</f>
        <v>603176</v>
      </c>
      <c r="C2611" t="s">
        <v>5560</v>
      </c>
      <c r="D2611" t="s">
        <v>84</v>
      </c>
      <c r="E2611">
        <v>3342014258</v>
      </c>
      <c r="P2611">
        <v>17</v>
      </c>
      <c r="Q2611" t="s">
        <v>5561</v>
      </c>
    </row>
    <row r="2612" spans="1:17" x14ac:dyDescent="0.3">
      <c r="A2612" t="s">
        <v>47</v>
      </c>
      <c r="B2612" t="str">
        <f>"000762"</f>
        <v>000762</v>
      </c>
      <c r="C2612" t="s">
        <v>5562</v>
      </c>
      <c r="D2612" t="s">
        <v>915</v>
      </c>
      <c r="E2612">
        <v>3340251274</v>
      </c>
      <c r="F2612">
        <v>2714289876</v>
      </c>
      <c r="G2612">
        <v>2741603439</v>
      </c>
      <c r="H2612">
        <v>2873686552</v>
      </c>
      <c r="I2612">
        <v>3008644056</v>
      </c>
      <c r="J2612">
        <v>2875185676</v>
      </c>
      <c r="K2612">
        <v>3056661534</v>
      </c>
      <c r="L2612">
        <v>2719505659</v>
      </c>
      <c r="M2612">
        <v>2664529999</v>
      </c>
      <c r="N2612">
        <v>2575223318</v>
      </c>
      <c r="O2612">
        <v>2653561956</v>
      </c>
      <c r="P2612">
        <v>257</v>
      </c>
      <c r="Q2612" t="s">
        <v>5563</v>
      </c>
    </row>
    <row r="2613" spans="1:17" x14ac:dyDescent="0.3">
      <c r="A2613" t="s">
        <v>47</v>
      </c>
      <c r="B2613" t="str">
        <f>"300662"</f>
        <v>300662</v>
      </c>
      <c r="C2613" t="s">
        <v>5564</v>
      </c>
      <c r="D2613" t="s">
        <v>5565</v>
      </c>
      <c r="E2613">
        <v>3339745716</v>
      </c>
      <c r="F2613">
        <v>2232639873</v>
      </c>
      <c r="G2613">
        <v>1729155916</v>
      </c>
      <c r="H2613">
        <v>1396555588</v>
      </c>
      <c r="I2613">
        <v>891129920</v>
      </c>
      <c r="J2613">
        <v>483094541</v>
      </c>
      <c r="P2613">
        <v>688</v>
      </c>
      <c r="Q2613" t="s">
        <v>5566</v>
      </c>
    </row>
    <row r="2614" spans="1:17" x14ac:dyDescent="0.3">
      <c r="A2614" t="s">
        <v>47</v>
      </c>
      <c r="B2614" t="str">
        <f>"300510"</f>
        <v>300510</v>
      </c>
      <c r="C2614" t="s">
        <v>5567</v>
      </c>
      <c r="D2614" t="s">
        <v>679</v>
      </c>
      <c r="E2614">
        <v>3337841247</v>
      </c>
      <c r="F2614">
        <v>3115597930</v>
      </c>
      <c r="G2614">
        <v>3824129113</v>
      </c>
      <c r="H2614">
        <v>5373532024</v>
      </c>
      <c r="I2614">
        <v>4768228611</v>
      </c>
      <c r="J2614">
        <v>766175209</v>
      </c>
      <c r="K2614">
        <v>467300575</v>
      </c>
      <c r="P2614">
        <v>115</v>
      </c>
      <c r="Q2614" t="s">
        <v>5568</v>
      </c>
    </row>
    <row r="2615" spans="1:17" x14ac:dyDescent="0.3">
      <c r="A2615" t="s">
        <v>47</v>
      </c>
      <c r="B2615" t="str">
        <f>"000782"</f>
        <v>000782</v>
      </c>
      <c r="C2615" t="s">
        <v>5569</v>
      </c>
      <c r="D2615" t="s">
        <v>1423</v>
      </c>
      <c r="E2615">
        <v>3331973116</v>
      </c>
      <c r="F2615">
        <v>3275523111</v>
      </c>
      <c r="G2615">
        <v>2919289810</v>
      </c>
      <c r="H2615">
        <v>3128614152</v>
      </c>
      <c r="I2615">
        <v>2648020559</v>
      </c>
      <c r="J2615">
        <v>2616233108</v>
      </c>
      <c r="K2615">
        <v>2349552802</v>
      </c>
      <c r="L2615">
        <v>2461004685</v>
      </c>
      <c r="M2615">
        <v>2504637927</v>
      </c>
      <c r="N2615">
        <v>2195498266</v>
      </c>
      <c r="O2615">
        <v>2221357872</v>
      </c>
      <c r="P2615">
        <v>64</v>
      </c>
      <c r="Q2615" t="s">
        <v>5570</v>
      </c>
    </row>
    <row r="2616" spans="1:17" x14ac:dyDescent="0.3">
      <c r="A2616" t="s">
        <v>47</v>
      </c>
      <c r="B2616" t="str">
        <f>"300523"</f>
        <v>300523</v>
      </c>
      <c r="C2616" t="s">
        <v>5571</v>
      </c>
      <c r="D2616" t="s">
        <v>700</v>
      </c>
      <c r="E2616">
        <v>3331010788</v>
      </c>
      <c r="F2616">
        <v>2869967237</v>
      </c>
      <c r="G2616">
        <v>2759498614</v>
      </c>
      <c r="H2616">
        <v>2280957464</v>
      </c>
      <c r="I2616">
        <v>1310974566</v>
      </c>
      <c r="J2616">
        <v>1144474737</v>
      </c>
      <c r="K2616">
        <v>794039400</v>
      </c>
      <c r="P2616">
        <v>135</v>
      </c>
      <c r="Q2616" t="s">
        <v>5572</v>
      </c>
    </row>
    <row r="2617" spans="1:17" x14ac:dyDescent="0.3">
      <c r="A2617" t="s">
        <v>47</v>
      </c>
      <c r="B2617" t="str">
        <f>"300788"</f>
        <v>300788</v>
      </c>
      <c r="C2617" t="s">
        <v>5573</v>
      </c>
      <c r="D2617" t="s">
        <v>1288</v>
      </c>
      <c r="E2617">
        <v>3327894788</v>
      </c>
      <c r="F2617">
        <v>3369073793</v>
      </c>
      <c r="G2617">
        <v>2659391081</v>
      </c>
      <c r="H2617">
        <v>1714058200</v>
      </c>
      <c r="P2617">
        <v>347</v>
      </c>
      <c r="Q2617" t="s">
        <v>5574</v>
      </c>
    </row>
    <row r="2618" spans="1:17" x14ac:dyDescent="0.3">
      <c r="A2618" t="s">
        <v>47</v>
      </c>
      <c r="B2618" t="str">
        <f>"300976"</f>
        <v>300976</v>
      </c>
      <c r="C2618" t="s">
        <v>5575</v>
      </c>
      <c r="D2618" t="s">
        <v>283</v>
      </c>
      <c r="E2618">
        <v>3325976864</v>
      </c>
      <c r="F2618">
        <v>1115724840</v>
      </c>
      <c r="P2618">
        <v>35</v>
      </c>
      <c r="Q2618" t="s">
        <v>5576</v>
      </c>
    </row>
    <row r="2619" spans="1:17" x14ac:dyDescent="0.3">
      <c r="A2619" t="s">
        <v>17</v>
      </c>
      <c r="B2619" t="str">
        <f>"603386"</f>
        <v>603386</v>
      </c>
      <c r="C2619" t="s">
        <v>5577</v>
      </c>
      <c r="D2619" t="s">
        <v>1115</v>
      </c>
      <c r="E2619">
        <v>3325971739</v>
      </c>
      <c r="F2619">
        <v>3068581996</v>
      </c>
      <c r="G2619">
        <v>2617894281</v>
      </c>
      <c r="H2619">
        <v>1559237250</v>
      </c>
      <c r="I2619">
        <v>1185330518</v>
      </c>
      <c r="P2619">
        <v>180</v>
      </c>
      <c r="Q2619" t="s">
        <v>5578</v>
      </c>
    </row>
    <row r="2620" spans="1:17" x14ac:dyDescent="0.3">
      <c r="A2620" t="s">
        <v>47</v>
      </c>
      <c r="B2620" t="str">
        <f>"002330"</f>
        <v>002330</v>
      </c>
      <c r="C2620" t="s">
        <v>5579</v>
      </c>
      <c r="D2620" t="s">
        <v>1078</v>
      </c>
      <c r="E2620">
        <v>3319841205</v>
      </c>
      <c r="F2620">
        <v>2227192090</v>
      </c>
      <c r="G2620">
        <v>1940917333</v>
      </c>
      <c r="H2620">
        <v>1773802809</v>
      </c>
      <c r="I2620">
        <v>1651230253</v>
      </c>
      <c r="J2620">
        <v>1673335839</v>
      </c>
      <c r="K2620">
        <v>1718093822</v>
      </c>
      <c r="L2620">
        <v>1596711523</v>
      </c>
      <c r="M2620">
        <v>1581322440</v>
      </c>
      <c r="N2620">
        <v>1564021934</v>
      </c>
      <c r="O2620">
        <v>1538303814</v>
      </c>
      <c r="P2620">
        <v>540</v>
      </c>
      <c r="Q2620" t="s">
        <v>5580</v>
      </c>
    </row>
    <row r="2621" spans="1:17" x14ac:dyDescent="0.3">
      <c r="A2621" t="s">
        <v>47</v>
      </c>
      <c r="B2621" t="str">
        <f>"002838"</f>
        <v>002838</v>
      </c>
      <c r="C2621" t="s">
        <v>5581</v>
      </c>
      <c r="D2621" t="s">
        <v>833</v>
      </c>
      <c r="E2621">
        <v>3319770044</v>
      </c>
      <c r="F2621">
        <v>3044335883</v>
      </c>
      <c r="G2621">
        <v>2104729499</v>
      </c>
      <c r="H2621">
        <v>1772766148</v>
      </c>
      <c r="I2621">
        <v>1068074964</v>
      </c>
      <c r="J2621">
        <v>997698943</v>
      </c>
      <c r="P2621">
        <v>614</v>
      </c>
      <c r="Q2621" t="s">
        <v>5582</v>
      </c>
    </row>
    <row r="2622" spans="1:17" x14ac:dyDescent="0.3">
      <c r="A2622" t="s">
        <v>47</v>
      </c>
      <c r="B2622" t="str">
        <f>"300360"</f>
        <v>300360</v>
      </c>
      <c r="C2622" t="s">
        <v>5583</v>
      </c>
      <c r="D2622" t="s">
        <v>2197</v>
      </c>
      <c r="E2622">
        <v>3319398717</v>
      </c>
      <c r="F2622">
        <v>2878276115</v>
      </c>
      <c r="G2622">
        <v>2621028009</v>
      </c>
      <c r="H2622">
        <v>2579675280</v>
      </c>
      <c r="I2622">
        <v>2528900760</v>
      </c>
      <c r="J2622">
        <v>1762835929</v>
      </c>
      <c r="K2622">
        <v>1624850829</v>
      </c>
      <c r="L2622">
        <v>1423031046</v>
      </c>
      <c r="M2622">
        <v>1066328724</v>
      </c>
      <c r="P2622">
        <v>958</v>
      </c>
      <c r="Q2622" t="s">
        <v>5584</v>
      </c>
    </row>
    <row r="2623" spans="1:17" x14ac:dyDescent="0.3">
      <c r="A2623" t="s">
        <v>47</v>
      </c>
      <c r="B2623" t="str">
        <f>"002401"</f>
        <v>002401</v>
      </c>
      <c r="C2623" t="s">
        <v>5585</v>
      </c>
      <c r="D2623" t="s">
        <v>700</v>
      </c>
      <c r="E2623">
        <v>3317212197</v>
      </c>
      <c r="F2623">
        <v>3505363798</v>
      </c>
      <c r="G2623">
        <v>3204513687</v>
      </c>
      <c r="H2623">
        <v>2078258548</v>
      </c>
      <c r="I2623">
        <v>1854591784</v>
      </c>
      <c r="J2623">
        <v>1342067095</v>
      </c>
      <c r="K2623">
        <v>1164174453</v>
      </c>
      <c r="L2623">
        <v>1048841323</v>
      </c>
      <c r="M2623">
        <v>1006680184</v>
      </c>
      <c r="N2623">
        <v>797947564</v>
      </c>
      <c r="O2623">
        <v>763365446</v>
      </c>
      <c r="P2623">
        <v>152</v>
      </c>
      <c r="Q2623" t="s">
        <v>5586</v>
      </c>
    </row>
    <row r="2624" spans="1:17" x14ac:dyDescent="0.3">
      <c r="A2624" t="s">
        <v>17</v>
      </c>
      <c r="B2624" t="str">
        <f>"603728"</f>
        <v>603728</v>
      </c>
      <c r="C2624" t="s">
        <v>5587</v>
      </c>
      <c r="D2624" t="s">
        <v>1594</v>
      </c>
      <c r="E2624">
        <v>3314327252</v>
      </c>
      <c r="F2624">
        <v>2804038964</v>
      </c>
      <c r="G2624">
        <v>2632141439</v>
      </c>
      <c r="H2624">
        <v>2500020701</v>
      </c>
      <c r="I2624">
        <v>2275761772</v>
      </c>
      <c r="J2624">
        <v>1253006395</v>
      </c>
      <c r="P2624">
        <v>310</v>
      </c>
      <c r="Q2624" t="s">
        <v>5588</v>
      </c>
    </row>
    <row r="2625" spans="1:17" x14ac:dyDescent="0.3">
      <c r="A2625" t="s">
        <v>47</v>
      </c>
      <c r="B2625" t="str">
        <f>"300087"</f>
        <v>300087</v>
      </c>
      <c r="C2625" t="s">
        <v>5589</v>
      </c>
      <c r="D2625" t="s">
        <v>2235</v>
      </c>
      <c r="E2625">
        <v>3312081322</v>
      </c>
      <c r="F2625">
        <v>2311572622</v>
      </c>
      <c r="G2625">
        <v>1977103417</v>
      </c>
      <c r="H2625">
        <v>1623870557</v>
      </c>
      <c r="I2625">
        <v>1407191151</v>
      </c>
      <c r="J2625">
        <v>1326995436</v>
      </c>
      <c r="K2625">
        <v>1117180243</v>
      </c>
      <c r="L2625">
        <v>1014677440</v>
      </c>
      <c r="M2625">
        <v>1003133167</v>
      </c>
      <c r="N2625">
        <v>936267014</v>
      </c>
      <c r="O2625">
        <v>894540396</v>
      </c>
      <c r="P2625">
        <v>231</v>
      </c>
      <c r="Q2625" t="s">
        <v>5590</v>
      </c>
    </row>
    <row r="2626" spans="1:17" x14ac:dyDescent="0.3">
      <c r="A2626" t="s">
        <v>47</v>
      </c>
      <c r="B2626" t="str">
        <f>"003042"</f>
        <v>003042</v>
      </c>
      <c r="C2626" t="s">
        <v>5591</v>
      </c>
      <c r="D2626" t="s">
        <v>819</v>
      </c>
      <c r="E2626">
        <v>3309002177</v>
      </c>
      <c r="F2626">
        <v>2951821024</v>
      </c>
      <c r="P2626">
        <v>29</v>
      </c>
      <c r="Q2626" t="s">
        <v>5592</v>
      </c>
    </row>
    <row r="2627" spans="1:17" x14ac:dyDescent="0.3">
      <c r="A2627" t="s">
        <v>47</v>
      </c>
      <c r="B2627" t="str">
        <f>"002380"</f>
        <v>002380</v>
      </c>
      <c r="C2627" t="s">
        <v>5593</v>
      </c>
      <c r="D2627" t="s">
        <v>700</v>
      </c>
      <c r="E2627">
        <v>3308504760</v>
      </c>
      <c r="F2627">
        <v>3063600711</v>
      </c>
      <c r="G2627">
        <v>2730361439</v>
      </c>
      <c r="H2627">
        <v>2426237117</v>
      </c>
      <c r="I2627">
        <v>2388480363</v>
      </c>
      <c r="J2627">
        <v>2225373414</v>
      </c>
      <c r="K2627">
        <v>2143918664</v>
      </c>
      <c r="L2627">
        <v>1145855226</v>
      </c>
      <c r="M2627">
        <v>1100976382</v>
      </c>
      <c r="N2627">
        <v>1001050546</v>
      </c>
      <c r="O2627">
        <v>977056583</v>
      </c>
      <c r="P2627">
        <v>131</v>
      </c>
      <c r="Q2627" t="s">
        <v>5594</v>
      </c>
    </row>
    <row r="2628" spans="1:17" x14ac:dyDescent="0.3">
      <c r="A2628" t="s">
        <v>47</v>
      </c>
      <c r="B2628" t="str">
        <f>"300259"</f>
        <v>300259</v>
      </c>
      <c r="C2628" t="s">
        <v>5595</v>
      </c>
      <c r="D2628" t="s">
        <v>3722</v>
      </c>
      <c r="E2628">
        <v>3307696222</v>
      </c>
      <c r="F2628">
        <v>2999096133</v>
      </c>
      <c r="G2628">
        <v>2779588324</v>
      </c>
      <c r="H2628">
        <v>2436366018</v>
      </c>
      <c r="I2628">
        <v>2342675534</v>
      </c>
      <c r="J2628">
        <v>2035408505</v>
      </c>
      <c r="K2628">
        <v>1055138964</v>
      </c>
      <c r="L2628">
        <v>950797716</v>
      </c>
      <c r="M2628">
        <v>843986675</v>
      </c>
      <c r="N2628">
        <v>759982968</v>
      </c>
      <c r="O2628">
        <v>646595754</v>
      </c>
      <c r="P2628">
        <v>360</v>
      </c>
      <c r="Q2628" t="s">
        <v>5596</v>
      </c>
    </row>
    <row r="2629" spans="1:17" x14ac:dyDescent="0.3">
      <c r="A2629" t="s">
        <v>47</v>
      </c>
      <c r="B2629" t="str">
        <f>"002322"</f>
        <v>002322</v>
      </c>
      <c r="C2629" t="s">
        <v>5597</v>
      </c>
      <c r="D2629" t="s">
        <v>1859</v>
      </c>
      <c r="E2629">
        <v>3307201424</v>
      </c>
      <c r="F2629">
        <v>3615546407</v>
      </c>
      <c r="G2629">
        <v>3624657592</v>
      </c>
      <c r="H2629">
        <v>3522695341</v>
      </c>
      <c r="I2629">
        <v>3373500562</v>
      </c>
      <c r="J2629">
        <v>3236045979</v>
      </c>
      <c r="K2629">
        <v>3208873146</v>
      </c>
      <c r="L2629">
        <v>1296126064</v>
      </c>
      <c r="M2629">
        <v>1279264335</v>
      </c>
      <c r="N2629">
        <v>1183551298</v>
      </c>
      <c r="O2629">
        <v>994061672</v>
      </c>
      <c r="P2629">
        <v>180</v>
      </c>
      <c r="Q2629" t="s">
        <v>5598</v>
      </c>
    </row>
    <row r="2630" spans="1:17" x14ac:dyDescent="0.3">
      <c r="A2630" t="s">
        <v>47</v>
      </c>
      <c r="B2630" t="str">
        <f>"002609"</f>
        <v>002609</v>
      </c>
      <c r="C2630" t="s">
        <v>5599</v>
      </c>
      <c r="D2630" t="s">
        <v>700</v>
      </c>
      <c r="E2630">
        <v>3306813975</v>
      </c>
      <c r="F2630">
        <v>2989345894</v>
      </c>
      <c r="G2630">
        <v>2624448865</v>
      </c>
      <c r="H2630">
        <v>2438792996</v>
      </c>
      <c r="I2630">
        <v>2548329980</v>
      </c>
      <c r="J2630">
        <v>2360822768</v>
      </c>
      <c r="K2630">
        <v>1181762046</v>
      </c>
      <c r="L2630">
        <v>1046527909</v>
      </c>
      <c r="M2630">
        <v>890999962</v>
      </c>
      <c r="N2630">
        <v>759959697</v>
      </c>
      <c r="O2630">
        <v>677697831</v>
      </c>
      <c r="P2630">
        <v>212</v>
      </c>
      <c r="Q2630" t="s">
        <v>5600</v>
      </c>
    </row>
    <row r="2631" spans="1:17" x14ac:dyDescent="0.3">
      <c r="A2631" t="s">
        <v>17</v>
      </c>
      <c r="B2631" t="str">
        <f>"600992"</f>
        <v>600992</v>
      </c>
      <c r="C2631" t="s">
        <v>5601</v>
      </c>
      <c r="D2631" t="s">
        <v>401</v>
      </c>
      <c r="E2631">
        <v>3305048833</v>
      </c>
      <c r="F2631">
        <v>3053183550</v>
      </c>
      <c r="G2631">
        <v>2772214385</v>
      </c>
      <c r="H2631">
        <v>2462120874</v>
      </c>
      <c r="I2631">
        <v>2276990380</v>
      </c>
      <c r="J2631">
        <v>2260503742</v>
      </c>
      <c r="K2631">
        <v>2023021530</v>
      </c>
      <c r="L2631">
        <v>1885439265</v>
      </c>
      <c r="M2631">
        <v>1994501902</v>
      </c>
      <c r="N2631">
        <v>1670964142</v>
      </c>
      <c r="O2631">
        <v>1294015500</v>
      </c>
      <c r="P2631">
        <v>57</v>
      </c>
      <c r="Q2631" t="s">
        <v>5602</v>
      </c>
    </row>
    <row r="2632" spans="1:17" x14ac:dyDescent="0.3">
      <c r="A2632" t="s">
        <v>17</v>
      </c>
      <c r="B2632" t="str">
        <f>"605123"</f>
        <v>605123</v>
      </c>
      <c r="C2632" t="s">
        <v>5603</v>
      </c>
      <c r="D2632" t="s">
        <v>570</v>
      </c>
      <c r="E2632">
        <v>3304083245</v>
      </c>
      <c r="F2632">
        <v>2496291001</v>
      </c>
      <c r="P2632">
        <v>143</v>
      </c>
      <c r="Q2632" t="s">
        <v>5604</v>
      </c>
    </row>
    <row r="2633" spans="1:17" x14ac:dyDescent="0.3">
      <c r="A2633" t="s">
        <v>47</v>
      </c>
      <c r="B2633" t="str">
        <f>"000722"</f>
        <v>000722</v>
      </c>
      <c r="C2633" t="s">
        <v>5605</v>
      </c>
      <c r="D2633" t="s">
        <v>238</v>
      </c>
      <c r="E2633">
        <v>3303832324</v>
      </c>
      <c r="F2633">
        <v>3329721338</v>
      </c>
      <c r="G2633">
        <v>3238667902</v>
      </c>
      <c r="H2633">
        <v>3223794950</v>
      </c>
      <c r="I2633">
        <v>3151671167</v>
      </c>
      <c r="J2633">
        <v>3084481231</v>
      </c>
      <c r="K2633">
        <v>2968763121</v>
      </c>
      <c r="L2633">
        <v>2929409577</v>
      </c>
      <c r="M2633">
        <v>3033173515</v>
      </c>
      <c r="N2633">
        <v>2183341324</v>
      </c>
      <c r="O2633">
        <v>2010599024</v>
      </c>
      <c r="P2633">
        <v>104</v>
      </c>
      <c r="Q2633" t="s">
        <v>5606</v>
      </c>
    </row>
    <row r="2634" spans="1:17" x14ac:dyDescent="0.3">
      <c r="A2634" t="s">
        <v>17</v>
      </c>
      <c r="B2634" t="str">
        <f>"600135"</f>
        <v>600135</v>
      </c>
      <c r="C2634" t="s">
        <v>5607</v>
      </c>
      <c r="D2634" t="s">
        <v>2485</v>
      </c>
      <c r="E2634">
        <v>3302291081</v>
      </c>
      <c r="F2634">
        <v>3198973694</v>
      </c>
      <c r="G2634">
        <v>3166958309</v>
      </c>
      <c r="H2634">
        <v>2406594314</v>
      </c>
      <c r="I2634">
        <v>2303370119</v>
      </c>
      <c r="J2634">
        <v>2078763943</v>
      </c>
      <c r="K2634">
        <v>1965766530</v>
      </c>
      <c r="L2634">
        <v>1169178859</v>
      </c>
      <c r="M2634">
        <v>1096459863</v>
      </c>
      <c r="N2634">
        <v>1046618245</v>
      </c>
      <c r="O2634">
        <v>1014701761</v>
      </c>
      <c r="P2634">
        <v>112</v>
      </c>
      <c r="Q2634" t="s">
        <v>5608</v>
      </c>
    </row>
    <row r="2635" spans="1:17" x14ac:dyDescent="0.3">
      <c r="A2635" t="s">
        <v>47</v>
      </c>
      <c r="B2635" t="str">
        <f>"300627"</f>
        <v>300627</v>
      </c>
      <c r="C2635" t="s">
        <v>5609</v>
      </c>
      <c r="D2635" t="s">
        <v>962</v>
      </c>
      <c r="E2635">
        <v>3300893349</v>
      </c>
      <c r="F2635">
        <v>1981457137</v>
      </c>
      <c r="G2635">
        <v>1567070423</v>
      </c>
      <c r="H2635">
        <v>1349752555</v>
      </c>
      <c r="I2635">
        <v>1140981629</v>
      </c>
      <c r="J2635">
        <v>847945575</v>
      </c>
      <c r="P2635">
        <v>295</v>
      </c>
      <c r="Q2635" t="s">
        <v>5610</v>
      </c>
    </row>
    <row r="2636" spans="1:17" x14ac:dyDescent="0.3">
      <c r="A2636" t="s">
        <v>17</v>
      </c>
      <c r="B2636" t="str">
        <f>"688318"</f>
        <v>688318</v>
      </c>
      <c r="C2636" t="s">
        <v>5611</v>
      </c>
      <c r="D2636" t="s">
        <v>1859</v>
      </c>
      <c r="E2636">
        <v>3298961863</v>
      </c>
      <c r="F2636">
        <v>3073955027</v>
      </c>
      <c r="G2636">
        <v>1076364727</v>
      </c>
      <c r="H2636">
        <v>947459176</v>
      </c>
      <c r="P2636">
        <v>155</v>
      </c>
      <c r="Q2636" t="s">
        <v>5612</v>
      </c>
    </row>
    <row r="2637" spans="1:17" x14ac:dyDescent="0.3">
      <c r="A2637" t="s">
        <v>47</v>
      </c>
      <c r="B2637" t="str">
        <f>"300617"</f>
        <v>300617</v>
      </c>
      <c r="C2637" t="s">
        <v>5613</v>
      </c>
      <c r="D2637" t="s">
        <v>1616</v>
      </c>
      <c r="E2637">
        <v>3291261315</v>
      </c>
      <c r="F2637">
        <v>1381307675</v>
      </c>
      <c r="G2637">
        <v>1174523983</v>
      </c>
      <c r="H2637">
        <v>1062595412</v>
      </c>
      <c r="I2637">
        <v>1007033132</v>
      </c>
      <c r="J2637">
        <v>969244074</v>
      </c>
      <c r="P2637">
        <v>148</v>
      </c>
      <c r="Q2637" t="s">
        <v>5614</v>
      </c>
    </row>
    <row r="2638" spans="1:17" x14ac:dyDescent="0.3">
      <c r="A2638" t="s">
        <v>17</v>
      </c>
      <c r="B2638" t="str">
        <f>"600165"</f>
        <v>600165</v>
      </c>
      <c r="C2638" t="s">
        <v>5615</v>
      </c>
      <c r="D2638" t="s">
        <v>710</v>
      </c>
      <c r="E2638">
        <v>3290453764</v>
      </c>
      <c r="F2638">
        <v>3202558849</v>
      </c>
      <c r="G2638">
        <v>2563451778</v>
      </c>
      <c r="H2638">
        <v>2268747871</v>
      </c>
      <c r="I2638">
        <v>2101064082</v>
      </c>
      <c r="J2638">
        <v>3353908810</v>
      </c>
      <c r="K2638">
        <v>4126798545</v>
      </c>
      <c r="L2638">
        <v>2499847647</v>
      </c>
      <c r="M2638">
        <v>2579524772</v>
      </c>
      <c r="N2638">
        <v>2661575885</v>
      </c>
      <c r="O2638">
        <v>1960049522</v>
      </c>
      <c r="P2638">
        <v>70</v>
      </c>
      <c r="Q2638" t="s">
        <v>5616</v>
      </c>
    </row>
    <row r="2639" spans="1:17" x14ac:dyDescent="0.3">
      <c r="A2639" t="s">
        <v>47</v>
      </c>
      <c r="B2639" t="str">
        <f>"300500"</f>
        <v>300500</v>
      </c>
      <c r="C2639" t="s">
        <v>5617</v>
      </c>
      <c r="D2639" t="s">
        <v>2178</v>
      </c>
      <c r="E2639">
        <v>3289006071</v>
      </c>
      <c r="F2639">
        <v>2595411977</v>
      </c>
      <c r="G2639">
        <v>2468559075</v>
      </c>
      <c r="H2639">
        <v>2187140176</v>
      </c>
      <c r="I2639">
        <v>1827609917</v>
      </c>
      <c r="J2639">
        <v>893697777</v>
      </c>
      <c r="K2639">
        <v>715957562</v>
      </c>
      <c r="P2639">
        <v>100</v>
      </c>
      <c r="Q2639" t="s">
        <v>5618</v>
      </c>
    </row>
    <row r="2640" spans="1:17" x14ac:dyDescent="0.3">
      <c r="A2640" t="s">
        <v>47</v>
      </c>
      <c r="B2640" t="str">
        <f>"002196"</f>
        <v>002196</v>
      </c>
      <c r="C2640" t="s">
        <v>5619</v>
      </c>
      <c r="D2640" t="s">
        <v>1594</v>
      </c>
      <c r="E2640">
        <v>3288948299</v>
      </c>
      <c r="F2640">
        <v>2710384555</v>
      </c>
      <c r="G2640">
        <v>2780242913</v>
      </c>
      <c r="H2640">
        <v>2955815630</v>
      </c>
      <c r="I2640">
        <v>3273293582</v>
      </c>
      <c r="J2640">
        <v>2889869148</v>
      </c>
      <c r="K2640">
        <v>2798479035</v>
      </c>
      <c r="L2640">
        <v>1278536470</v>
      </c>
      <c r="M2640">
        <v>897676688</v>
      </c>
      <c r="N2640">
        <v>697976765</v>
      </c>
      <c r="O2640">
        <v>660743165</v>
      </c>
      <c r="P2640">
        <v>163</v>
      </c>
      <c r="Q2640" t="s">
        <v>5620</v>
      </c>
    </row>
    <row r="2641" spans="1:17" x14ac:dyDescent="0.3">
      <c r="A2641" t="s">
        <v>47</v>
      </c>
      <c r="B2641" t="str">
        <f>"002621"</f>
        <v>002621</v>
      </c>
      <c r="C2641" t="s">
        <v>5621</v>
      </c>
      <c r="D2641" t="s">
        <v>2954</v>
      </c>
      <c r="E2641">
        <v>3288107967</v>
      </c>
      <c r="F2641">
        <v>3537814729</v>
      </c>
      <c r="G2641">
        <v>4168998631</v>
      </c>
      <c r="H2641">
        <v>4256416565</v>
      </c>
      <c r="I2641">
        <v>1315723212</v>
      </c>
      <c r="J2641">
        <v>1175998219</v>
      </c>
      <c r="K2641">
        <v>1165057745</v>
      </c>
      <c r="L2641">
        <v>1152859043</v>
      </c>
      <c r="M2641">
        <v>1090537373</v>
      </c>
      <c r="N2641">
        <v>1061651624</v>
      </c>
      <c r="O2641">
        <v>1014934641</v>
      </c>
      <c r="P2641">
        <v>143</v>
      </c>
      <c r="Q2641" t="s">
        <v>5622</v>
      </c>
    </row>
    <row r="2642" spans="1:17" x14ac:dyDescent="0.3">
      <c r="A2642" t="s">
        <v>47</v>
      </c>
      <c r="B2642" t="str">
        <f>"300671"</f>
        <v>300671</v>
      </c>
      <c r="C2642" t="s">
        <v>5623</v>
      </c>
      <c r="D2642" t="s">
        <v>2795</v>
      </c>
      <c r="E2642">
        <v>3287639444</v>
      </c>
      <c r="F2642">
        <v>1831407376</v>
      </c>
      <c r="G2642">
        <v>1122203782</v>
      </c>
      <c r="H2642">
        <v>1014492634</v>
      </c>
      <c r="I2642">
        <v>784816543</v>
      </c>
      <c r="J2642">
        <v>485103382</v>
      </c>
      <c r="P2642">
        <v>301</v>
      </c>
      <c r="Q2642" t="s">
        <v>5624</v>
      </c>
    </row>
    <row r="2643" spans="1:17" x14ac:dyDescent="0.3">
      <c r="A2643" t="s">
        <v>47</v>
      </c>
      <c r="B2643" t="str">
        <f>"300159"</f>
        <v>300159</v>
      </c>
      <c r="C2643" t="s">
        <v>5625</v>
      </c>
      <c r="D2643" t="s">
        <v>570</v>
      </c>
      <c r="E2643">
        <v>3286235402</v>
      </c>
      <c r="F2643">
        <v>5112143685</v>
      </c>
      <c r="G2643">
        <v>7614737988</v>
      </c>
      <c r="H2643">
        <v>9746748248</v>
      </c>
      <c r="I2643">
        <v>9347975184</v>
      </c>
      <c r="J2643">
        <v>7869868194</v>
      </c>
      <c r="K2643">
        <v>7177781001</v>
      </c>
      <c r="L2643">
        <v>1271878746</v>
      </c>
      <c r="M2643">
        <v>1110573985</v>
      </c>
      <c r="N2643">
        <v>1028460562</v>
      </c>
      <c r="O2643">
        <v>972737327</v>
      </c>
      <c r="P2643">
        <v>126</v>
      </c>
      <c r="Q2643" t="s">
        <v>5626</v>
      </c>
    </row>
    <row r="2644" spans="1:17" x14ac:dyDescent="0.3">
      <c r="A2644" t="s">
        <v>47</v>
      </c>
      <c r="B2644" t="str">
        <f>"301050"</f>
        <v>301050</v>
      </c>
      <c r="C2644" t="s">
        <v>5627</v>
      </c>
      <c r="D2644" t="s">
        <v>1385</v>
      </c>
      <c r="E2644">
        <v>3278568015</v>
      </c>
      <c r="G2644">
        <v>628135692</v>
      </c>
      <c r="P2644">
        <v>31</v>
      </c>
      <c r="Q2644" t="s">
        <v>5628</v>
      </c>
    </row>
    <row r="2645" spans="1:17" x14ac:dyDescent="0.3">
      <c r="A2645" t="s">
        <v>17</v>
      </c>
      <c r="B2645" t="str">
        <f>"603039"</f>
        <v>603039</v>
      </c>
      <c r="C2645" t="s">
        <v>5629</v>
      </c>
      <c r="D2645" t="s">
        <v>1010</v>
      </c>
      <c r="E2645">
        <v>3276759562</v>
      </c>
      <c r="F2645">
        <v>2687293081</v>
      </c>
      <c r="G2645">
        <v>1820026712</v>
      </c>
      <c r="H2645">
        <v>1594558805</v>
      </c>
      <c r="I2645">
        <v>1289802854</v>
      </c>
      <c r="J2645">
        <v>948172722</v>
      </c>
      <c r="P2645">
        <v>609</v>
      </c>
      <c r="Q2645" t="s">
        <v>5630</v>
      </c>
    </row>
    <row r="2646" spans="1:17" x14ac:dyDescent="0.3">
      <c r="A2646" t="s">
        <v>47</v>
      </c>
      <c r="B2646" t="str">
        <f>"300441"</f>
        <v>300441</v>
      </c>
      <c r="C2646" t="s">
        <v>5631</v>
      </c>
      <c r="D2646" t="s">
        <v>1433</v>
      </c>
      <c r="E2646">
        <v>3275355249</v>
      </c>
      <c r="F2646">
        <v>2902541354</v>
      </c>
      <c r="G2646">
        <v>2747142801</v>
      </c>
      <c r="H2646">
        <v>2912001602</v>
      </c>
      <c r="I2646">
        <v>2588249628</v>
      </c>
      <c r="J2646">
        <v>1949772454</v>
      </c>
      <c r="K2646">
        <v>643221586</v>
      </c>
      <c r="L2646">
        <v>474180421</v>
      </c>
      <c r="P2646">
        <v>96</v>
      </c>
      <c r="Q2646" t="s">
        <v>5632</v>
      </c>
    </row>
    <row r="2647" spans="1:17" x14ac:dyDescent="0.3">
      <c r="A2647" t="s">
        <v>17</v>
      </c>
      <c r="B2647" t="str">
        <f>"603595"</f>
        <v>603595</v>
      </c>
      <c r="C2647" t="s">
        <v>5633</v>
      </c>
      <c r="D2647" t="s">
        <v>283</v>
      </c>
      <c r="E2647">
        <v>3274719914</v>
      </c>
      <c r="F2647">
        <v>2354353143</v>
      </c>
      <c r="G2647">
        <v>1843849917</v>
      </c>
      <c r="H2647">
        <v>1536836064</v>
      </c>
      <c r="I2647">
        <v>1396126493</v>
      </c>
      <c r="J2647">
        <v>481287703</v>
      </c>
      <c r="P2647">
        <v>184</v>
      </c>
      <c r="Q2647" t="s">
        <v>5634</v>
      </c>
    </row>
    <row r="2648" spans="1:17" x14ac:dyDescent="0.3">
      <c r="A2648" t="s">
        <v>47</v>
      </c>
      <c r="B2648" t="str">
        <f>"002900"</f>
        <v>002900</v>
      </c>
      <c r="C2648" t="s">
        <v>5635</v>
      </c>
      <c r="D2648" t="s">
        <v>550</v>
      </c>
      <c r="E2648">
        <v>3271856649</v>
      </c>
      <c r="F2648">
        <v>3029396417</v>
      </c>
      <c r="G2648">
        <v>2636230384</v>
      </c>
      <c r="H2648">
        <v>2517590765</v>
      </c>
      <c r="I2648">
        <v>2307931849</v>
      </c>
      <c r="P2648">
        <v>196</v>
      </c>
      <c r="Q2648" t="s">
        <v>5636</v>
      </c>
    </row>
    <row r="2649" spans="1:17" x14ac:dyDescent="0.3">
      <c r="A2649" t="s">
        <v>47</v>
      </c>
      <c r="B2649" t="str">
        <f>"002674"</f>
        <v>002674</v>
      </c>
      <c r="C2649" t="s">
        <v>5637</v>
      </c>
      <c r="D2649" t="s">
        <v>3936</v>
      </c>
      <c r="E2649">
        <v>3269702592</v>
      </c>
      <c r="F2649">
        <v>2993209145</v>
      </c>
      <c r="G2649">
        <v>2842133515</v>
      </c>
      <c r="H2649">
        <v>2909480539</v>
      </c>
      <c r="I2649">
        <v>2729974736</v>
      </c>
      <c r="J2649">
        <v>2787116609</v>
      </c>
      <c r="K2649">
        <v>2307631461</v>
      </c>
      <c r="L2649">
        <v>2339197269</v>
      </c>
      <c r="M2649">
        <v>1821087788</v>
      </c>
      <c r="N2649">
        <v>1747707247</v>
      </c>
      <c r="O2649">
        <v>907714547</v>
      </c>
      <c r="P2649">
        <v>102</v>
      </c>
      <c r="Q2649" t="s">
        <v>5638</v>
      </c>
    </row>
    <row r="2650" spans="1:17" x14ac:dyDescent="0.3">
      <c r="A2650" t="s">
        <v>17</v>
      </c>
      <c r="B2650" t="str">
        <f>"603217"</f>
        <v>603217</v>
      </c>
      <c r="C2650" t="s">
        <v>5639</v>
      </c>
      <c r="D2650" t="s">
        <v>710</v>
      </c>
      <c r="E2650">
        <v>3268852630</v>
      </c>
      <c r="F2650">
        <v>2829649974</v>
      </c>
      <c r="G2650">
        <v>2462026271</v>
      </c>
      <c r="H2650">
        <v>1344478500</v>
      </c>
      <c r="P2650">
        <v>71</v>
      </c>
      <c r="Q2650" t="s">
        <v>5640</v>
      </c>
    </row>
    <row r="2651" spans="1:17" x14ac:dyDescent="0.3">
      <c r="A2651" t="s">
        <v>17</v>
      </c>
      <c r="B2651" t="str">
        <f>"600226"</f>
        <v>600226</v>
      </c>
      <c r="C2651" t="s">
        <v>5641</v>
      </c>
      <c r="D2651" t="s">
        <v>1032</v>
      </c>
      <c r="E2651">
        <v>3264814480</v>
      </c>
      <c r="F2651">
        <v>3051504356</v>
      </c>
      <c r="G2651">
        <v>4136799691</v>
      </c>
      <c r="H2651">
        <v>4997802766</v>
      </c>
      <c r="I2651">
        <v>5495173928</v>
      </c>
      <c r="J2651">
        <v>5987060876</v>
      </c>
      <c r="K2651">
        <v>2366262074</v>
      </c>
      <c r="L2651">
        <v>2327532227</v>
      </c>
      <c r="M2651">
        <v>2487784581</v>
      </c>
      <c r="N2651">
        <v>2217030786</v>
      </c>
      <c r="O2651">
        <v>2300900837</v>
      </c>
      <c r="P2651">
        <v>109</v>
      </c>
      <c r="Q2651" t="s">
        <v>5642</v>
      </c>
    </row>
    <row r="2652" spans="1:17" x14ac:dyDescent="0.3">
      <c r="A2652" t="s">
        <v>17</v>
      </c>
      <c r="B2652" t="str">
        <f>"688569"</f>
        <v>688569</v>
      </c>
      <c r="C2652" t="s">
        <v>5643</v>
      </c>
      <c r="D2652" t="s">
        <v>193</v>
      </c>
      <c r="E2652">
        <v>3264787162</v>
      </c>
      <c r="F2652">
        <v>2947524077</v>
      </c>
      <c r="G2652">
        <v>1701787400</v>
      </c>
      <c r="P2652">
        <v>31</v>
      </c>
      <c r="Q2652" t="s">
        <v>5644</v>
      </c>
    </row>
    <row r="2653" spans="1:17" x14ac:dyDescent="0.3">
      <c r="A2653" t="s">
        <v>17</v>
      </c>
      <c r="B2653" t="str">
        <f>"603777"</f>
        <v>603777</v>
      </c>
      <c r="C2653" t="s">
        <v>5645</v>
      </c>
      <c r="D2653" t="s">
        <v>3331</v>
      </c>
      <c r="E2653">
        <v>3264274407</v>
      </c>
      <c r="F2653">
        <v>3141315929</v>
      </c>
      <c r="G2653">
        <v>2730057451</v>
      </c>
      <c r="H2653">
        <v>2709630679</v>
      </c>
      <c r="I2653">
        <v>2860761487</v>
      </c>
      <c r="J2653">
        <v>2685730190</v>
      </c>
      <c r="P2653">
        <v>259</v>
      </c>
      <c r="Q2653" t="s">
        <v>5646</v>
      </c>
    </row>
    <row r="2654" spans="1:17" x14ac:dyDescent="0.3">
      <c r="A2654" t="s">
        <v>47</v>
      </c>
      <c r="B2654" t="str">
        <f>"300790"</f>
        <v>300790</v>
      </c>
      <c r="C2654" t="s">
        <v>5647</v>
      </c>
      <c r="D2654" t="s">
        <v>523</v>
      </c>
      <c r="E2654">
        <v>3264201583</v>
      </c>
      <c r="F2654">
        <v>2893719010</v>
      </c>
      <c r="G2654">
        <v>2106917073</v>
      </c>
      <c r="P2654">
        <v>158</v>
      </c>
      <c r="Q2654" t="s">
        <v>5648</v>
      </c>
    </row>
    <row r="2655" spans="1:17" x14ac:dyDescent="0.3">
      <c r="A2655" t="s">
        <v>47</v>
      </c>
      <c r="B2655" t="str">
        <f>"300975"</f>
        <v>300975</v>
      </c>
      <c r="C2655" t="s">
        <v>5649</v>
      </c>
      <c r="D2655" t="s">
        <v>1609</v>
      </c>
      <c r="E2655">
        <v>3261749874</v>
      </c>
      <c r="F2655">
        <v>2165331342</v>
      </c>
      <c r="P2655">
        <v>30</v>
      </c>
      <c r="Q2655" t="s">
        <v>5650</v>
      </c>
    </row>
    <row r="2656" spans="1:17" x14ac:dyDescent="0.3">
      <c r="A2656" t="s">
        <v>47</v>
      </c>
      <c r="B2656" t="str">
        <f>"300230"</f>
        <v>300230</v>
      </c>
      <c r="C2656" t="s">
        <v>5651</v>
      </c>
      <c r="D2656" t="s">
        <v>3077</v>
      </c>
      <c r="E2656">
        <v>3261684225</v>
      </c>
      <c r="F2656">
        <v>4320144457</v>
      </c>
      <c r="G2656">
        <v>4547535460</v>
      </c>
      <c r="H2656">
        <v>4585342757</v>
      </c>
      <c r="I2656">
        <v>4276614234</v>
      </c>
      <c r="J2656">
        <v>4116084049</v>
      </c>
      <c r="K2656">
        <v>1676747557</v>
      </c>
      <c r="L2656">
        <v>695074082</v>
      </c>
      <c r="M2656">
        <v>668896479</v>
      </c>
      <c r="N2656">
        <v>608721846</v>
      </c>
      <c r="O2656">
        <v>557586595</v>
      </c>
      <c r="P2656">
        <v>169</v>
      </c>
      <c r="Q2656" t="s">
        <v>5652</v>
      </c>
    </row>
    <row r="2657" spans="1:17" x14ac:dyDescent="0.3">
      <c r="A2657" t="s">
        <v>17</v>
      </c>
      <c r="B2657" t="str">
        <f>"603959"</f>
        <v>603959</v>
      </c>
      <c r="C2657" t="s">
        <v>5653</v>
      </c>
      <c r="D2657" t="s">
        <v>370</v>
      </c>
      <c r="E2657">
        <v>3258877445</v>
      </c>
      <c r="F2657">
        <v>2766712007</v>
      </c>
      <c r="G2657">
        <v>2629521101</v>
      </c>
      <c r="H2657">
        <v>2924051380</v>
      </c>
      <c r="I2657">
        <v>2174799777</v>
      </c>
      <c r="J2657">
        <v>1872836012</v>
      </c>
      <c r="K2657">
        <v>1199561707</v>
      </c>
      <c r="P2657">
        <v>80</v>
      </c>
      <c r="Q2657" t="s">
        <v>5654</v>
      </c>
    </row>
    <row r="2658" spans="1:17" x14ac:dyDescent="0.3">
      <c r="A2658" t="s">
        <v>17</v>
      </c>
      <c r="B2658" t="str">
        <f>"600995"</f>
        <v>600995</v>
      </c>
      <c r="C2658" t="s">
        <v>5655</v>
      </c>
      <c r="D2658" t="s">
        <v>652</v>
      </c>
      <c r="E2658">
        <v>3252471386</v>
      </c>
      <c r="F2658">
        <v>3106182035</v>
      </c>
      <c r="G2658">
        <v>2848016283</v>
      </c>
      <c r="H2658">
        <v>2900976035</v>
      </c>
      <c r="I2658">
        <v>2796479831</v>
      </c>
      <c r="J2658">
        <v>2687703989</v>
      </c>
      <c r="K2658">
        <v>2926226550</v>
      </c>
      <c r="L2658">
        <v>3086072287</v>
      </c>
      <c r="M2658">
        <v>2668810302</v>
      </c>
      <c r="N2658">
        <v>2579545574</v>
      </c>
      <c r="O2658">
        <v>2174802259</v>
      </c>
      <c r="P2658">
        <v>267</v>
      </c>
      <c r="Q2658" t="s">
        <v>5656</v>
      </c>
    </row>
    <row r="2659" spans="1:17" x14ac:dyDescent="0.3">
      <c r="A2659" t="s">
        <v>47</v>
      </c>
      <c r="B2659" t="str">
        <f>"002469"</f>
        <v>002469</v>
      </c>
      <c r="C2659" t="s">
        <v>5657</v>
      </c>
      <c r="D2659" t="s">
        <v>370</v>
      </c>
      <c r="E2659">
        <v>3252297488</v>
      </c>
      <c r="F2659">
        <v>2958553140</v>
      </c>
      <c r="G2659">
        <v>1599515789</v>
      </c>
      <c r="H2659">
        <v>1688548638</v>
      </c>
      <c r="I2659">
        <v>1597453669</v>
      </c>
      <c r="J2659">
        <v>1505655785</v>
      </c>
      <c r="K2659">
        <v>1543329318</v>
      </c>
      <c r="L2659">
        <v>1475138477</v>
      </c>
      <c r="M2659">
        <v>1196798514</v>
      </c>
      <c r="N2659">
        <v>1033741130</v>
      </c>
      <c r="O2659">
        <v>893890736</v>
      </c>
      <c r="P2659">
        <v>126</v>
      </c>
      <c r="Q2659" t="s">
        <v>5658</v>
      </c>
    </row>
    <row r="2660" spans="1:17" x14ac:dyDescent="0.3">
      <c r="A2660" t="s">
        <v>47</v>
      </c>
      <c r="B2660" t="str">
        <f>"300377"</f>
        <v>300377</v>
      </c>
      <c r="C2660" t="s">
        <v>5659</v>
      </c>
      <c r="D2660" t="s">
        <v>1859</v>
      </c>
      <c r="E2660">
        <v>3252190185</v>
      </c>
      <c r="F2660">
        <v>3210439103</v>
      </c>
      <c r="G2660">
        <v>3152704653</v>
      </c>
      <c r="H2660">
        <v>3230076991</v>
      </c>
      <c r="I2660">
        <v>2987910847</v>
      </c>
      <c r="J2660">
        <v>2733062227</v>
      </c>
      <c r="K2660">
        <v>2538646700</v>
      </c>
      <c r="L2660">
        <v>444874104</v>
      </c>
      <c r="M2660">
        <v>409128219</v>
      </c>
      <c r="P2660">
        <v>3125</v>
      </c>
      <c r="Q2660" t="s">
        <v>5660</v>
      </c>
    </row>
    <row r="2661" spans="1:17" x14ac:dyDescent="0.3">
      <c r="A2661" t="s">
        <v>17</v>
      </c>
      <c r="B2661" t="str">
        <f>"603181"</f>
        <v>603181</v>
      </c>
      <c r="C2661" t="s">
        <v>5661</v>
      </c>
      <c r="D2661" t="s">
        <v>3077</v>
      </c>
      <c r="E2661">
        <v>3249713040</v>
      </c>
      <c r="F2661">
        <v>2867987087</v>
      </c>
      <c r="G2661">
        <v>2394202374</v>
      </c>
      <c r="H2661">
        <v>1942834307</v>
      </c>
      <c r="I2661">
        <v>1638263084</v>
      </c>
      <c r="J2661">
        <v>1276484700</v>
      </c>
      <c r="P2661">
        <v>160</v>
      </c>
      <c r="Q2661" t="s">
        <v>5662</v>
      </c>
    </row>
    <row r="2662" spans="1:17" x14ac:dyDescent="0.3">
      <c r="A2662" t="s">
        <v>47</v>
      </c>
      <c r="B2662" t="str">
        <f>"300666"</f>
        <v>300666</v>
      </c>
      <c r="C2662" t="s">
        <v>5663</v>
      </c>
      <c r="D2662" t="s">
        <v>567</v>
      </c>
      <c r="E2662">
        <v>3249644576</v>
      </c>
      <c r="F2662">
        <v>2617460899</v>
      </c>
      <c r="G2662">
        <v>1504324547</v>
      </c>
      <c r="H2662">
        <v>1327062161</v>
      </c>
      <c r="I2662">
        <v>971381493</v>
      </c>
      <c r="J2662">
        <v>652245474</v>
      </c>
      <c r="P2662">
        <v>519</v>
      </c>
      <c r="Q2662" t="s">
        <v>5664</v>
      </c>
    </row>
    <row r="2663" spans="1:17" x14ac:dyDescent="0.3">
      <c r="A2663" t="s">
        <v>17</v>
      </c>
      <c r="B2663" t="str">
        <f>"603826"</f>
        <v>603826</v>
      </c>
      <c r="C2663" t="s">
        <v>5665</v>
      </c>
      <c r="D2663" t="s">
        <v>1197</v>
      </c>
      <c r="E2663">
        <v>3248817264</v>
      </c>
      <c r="F2663">
        <v>2504838495</v>
      </c>
      <c r="G2663">
        <v>1893325573</v>
      </c>
      <c r="H2663">
        <v>1554177279</v>
      </c>
      <c r="I2663">
        <v>1249769696</v>
      </c>
      <c r="J2663">
        <v>856337689</v>
      </c>
      <c r="P2663">
        <v>265</v>
      </c>
      <c r="Q2663" t="s">
        <v>5666</v>
      </c>
    </row>
    <row r="2664" spans="1:17" x14ac:dyDescent="0.3">
      <c r="A2664" t="s">
        <v>47</v>
      </c>
      <c r="B2664" t="str">
        <f>"300552"</f>
        <v>300552</v>
      </c>
      <c r="C2664" t="s">
        <v>5667</v>
      </c>
      <c r="D2664" t="s">
        <v>765</v>
      </c>
      <c r="E2664">
        <v>3247149548</v>
      </c>
      <c r="F2664">
        <v>2776730244</v>
      </c>
      <c r="G2664">
        <v>2986118201</v>
      </c>
      <c r="H2664">
        <v>1211882564</v>
      </c>
      <c r="I2664">
        <v>1046988617</v>
      </c>
      <c r="J2664">
        <v>981874398</v>
      </c>
      <c r="P2664">
        <v>327</v>
      </c>
      <c r="Q2664" t="s">
        <v>5668</v>
      </c>
    </row>
    <row r="2665" spans="1:17" x14ac:dyDescent="0.3">
      <c r="A2665" t="s">
        <v>47</v>
      </c>
      <c r="B2665" t="str">
        <f>"300114"</f>
        <v>300114</v>
      </c>
      <c r="C2665" t="s">
        <v>5669</v>
      </c>
      <c r="D2665" t="s">
        <v>1385</v>
      </c>
      <c r="E2665">
        <v>3242886909</v>
      </c>
      <c r="F2665">
        <v>2960269436</v>
      </c>
      <c r="G2665">
        <v>2426521142</v>
      </c>
      <c r="H2665">
        <v>2103161205</v>
      </c>
      <c r="I2665">
        <v>2131157072</v>
      </c>
      <c r="J2665">
        <v>1974814453</v>
      </c>
      <c r="K2665">
        <v>1757126539</v>
      </c>
      <c r="L2665">
        <v>1650462178</v>
      </c>
      <c r="M2665">
        <v>1181756978</v>
      </c>
      <c r="N2665">
        <v>1059223655</v>
      </c>
      <c r="O2665">
        <v>939774987</v>
      </c>
      <c r="P2665">
        <v>258</v>
      </c>
      <c r="Q2665" t="s">
        <v>5670</v>
      </c>
    </row>
    <row r="2666" spans="1:17" x14ac:dyDescent="0.3">
      <c r="A2666" t="s">
        <v>17</v>
      </c>
      <c r="B2666" t="str">
        <f>"603021"</f>
        <v>603021</v>
      </c>
      <c r="C2666" t="s">
        <v>5671</v>
      </c>
      <c r="D2666" t="s">
        <v>2016</v>
      </c>
      <c r="E2666">
        <v>3240331307</v>
      </c>
      <c r="F2666">
        <v>3690322672</v>
      </c>
      <c r="G2666">
        <v>3420427096</v>
      </c>
      <c r="H2666">
        <v>2958994260</v>
      </c>
      <c r="I2666">
        <v>2946720216</v>
      </c>
      <c r="J2666">
        <v>2875920945</v>
      </c>
      <c r="K2666">
        <v>1998657964</v>
      </c>
      <c r="L2666">
        <v>1543353986</v>
      </c>
      <c r="P2666">
        <v>59</v>
      </c>
      <c r="Q2666" t="s">
        <v>5672</v>
      </c>
    </row>
    <row r="2667" spans="1:17" x14ac:dyDescent="0.3">
      <c r="A2667" t="s">
        <v>17</v>
      </c>
      <c r="B2667" t="str">
        <f>"605077"</f>
        <v>605077</v>
      </c>
      <c r="C2667" t="s">
        <v>5673</v>
      </c>
      <c r="D2667" t="s">
        <v>1699</v>
      </c>
      <c r="E2667">
        <v>3221964898</v>
      </c>
      <c r="F2667">
        <v>2790743338</v>
      </c>
      <c r="P2667">
        <v>88</v>
      </c>
      <c r="Q2667" t="s">
        <v>5674</v>
      </c>
    </row>
    <row r="2668" spans="1:17" x14ac:dyDescent="0.3">
      <c r="A2668" t="s">
        <v>47</v>
      </c>
      <c r="B2668" t="str">
        <f>"002355"</f>
        <v>002355</v>
      </c>
      <c r="C2668" t="s">
        <v>5675</v>
      </c>
      <c r="D2668" t="s">
        <v>1102</v>
      </c>
      <c r="E2668">
        <v>3221581870</v>
      </c>
      <c r="F2668">
        <v>4087733634</v>
      </c>
      <c r="G2668">
        <v>4602282329</v>
      </c>
      <c r="H2668">
        <v>5099448782</v>
      </c>
      <c r="I2668">
        <v>4397676070</v>
      </c>
      <c r="J2668">
        <v>4114875910</v>
      </c>
      <c r="K2668">
        <v>3409653636</v>
      </c>
      <c r="L2668">
        <v>3053864210</v>
      </c>
      <c r="M2668">
        <v>3138482899</v>
      </c>
      <c r="N2668">
        <v>2983322408</v>
      </c>
      <c r="O2668">
        <v>2251383723</v>
      </c>
      <c r="P2668">
        <v>120</v>
      </c>
      <c r="Q2668" t="s">
        <v>5676</v>
      </c>
    </row>
    <row r="2669" spans="1:17" x14ac:dyDescent="0.3">
      <c r="A2669" t="s">
        <v>47</v>
      </c>
      <c r="B2669" t="str">
        <f>"301196"</f>
        <v>301196</v>
      </c>
      <c r="C2669" t="s">
        <v>5677</v>
      </c>
      <c r="D2669" t="s">
        <v>3077</v>
      </c>
      <c r="E2669">
        <v>3218679589</v>
      </c>
      <c r="P2669">
        <v>7</v>
      </c>
      <c r="Q2669" t="s">
        <v>5678</v>
      </c>
    </row>
    <row r="2670" spans="1:17" x14ac:dyDescent="0.3">
      <c r="A2670" t="s">
        <v>17</v>
      </c>
      <c r="B2670" t="str">
        <f>"688188"</f>
        <v>688188</v>
      </c>
      <c r="C2670" t="s">
        <v>5679</v>
      </c>
      <c r="D2670" t="s">
        <v>765</v>
      </c>
      <c r="E2670">
        <v>3213340742</v>
      </c>
      <c r="F2670">
        <v>2721367156</v>
      </c>
      <c r="G2670">
        <v>2237754148</v>
      </c>
      <c r="H2670">
        <v>373671637</v>
      </c>
      <c r="P2670">
        <v>363</v>
      </c>
      <c r="Q2670" t="s">
        <v>5680</v>
      </c>
    </row>
    <row r="2671" spans="1:17" x14ac:dyDescent="0.3">
      <c r="A2671" t="s">
        <v>17</v>
      </c>
      <c r="B2671" t="str">
        <f>"600613"</f>
        <v>600613</v>
      </c>
      <c r="C2671" t="s">
        <v>5681</v>
      </c>
      <c r="D2671" t="s">
        <v>550</v>
      </c>
      <c r="E2671">
        <v>3210364342</v>
      </c>
      <c r="F2671">
        <v>3164307522</v>
      </c>
      <c r="G2671">
        <v>3604498926</v>
      </c>
      <c r="H2671">
        <v>3288857309</v>
      </c>
      <c r="I2671">
        <v>3179349663</v>
      </c>
      <c r="J2671">
        <v>3115759789</v>
      </c>
      <c r="K2671">
        <v>2643756496</v>
      </c>
      <c r="L2671">
        <v>2514717798</v>
      </c>
      <c r="M2671">
        <v>2132836726</v>
      </c>
      <c r="N2671">
        <v>261608399</v>
      </c>
      <c r="O2671">
        <v>239477631</v>
      </c>
      <c r="P2671">
        <v>121</v>
      </c>
      <c r="Q2671" t="s">
        <v>5682</v>
      </c>
    </row>
    <row r="2672" spans="1:17" x14ac:dyDescent="0.3">
      <c r="A2672" t="s">
        <v>47</v>
      </c>
      <c r="B2672" t="str">
        <f>"300625"</f>
        <v>300625</v>
      </c>
      <c r="C2672" t="s">
        <v>5683</v>
      </c>
      <c r="D2672" t="s">
        <v>2170</v>
      </c>
      <c r="E2672">
        <v>3207970368</v>
      </c>
      <c r="F2672">
        <v>3209989926</v>
      </c>
      <c r="G2672">
        <v>2899616691</v>
      </c>
      <c r="H2672">
        <v>2710683444</v>
      </c>
      <c r="I2672">
        <v>2854083171</v>
      </c>
      <c r="J2672">
        <v>2586459981</v>
      </c>
      <c r="P2672">
        <v>137</v>
      </c>
      <c r="Q2672" t="s">
        <v>5684</v>
      </c>
    </row>
    <row r="2673" spans="1:17" x14ac:dyDescent="0.3">
      <c r="A2673" t="s">
        <v>47</v>
      </c>
      <c r="B2673" t="str">
        <f>"300260"</f>
        <v>300260</v>
      </c>
      <c r="C2673" t="s">
        <v>5685</v>
      </c>
      <c r="D2673" t="s">
        <v>401</v>
      </c>
      <c r="E2673">
        <v>3206798732</v>
      </c>
      <c r="F2673">
        <v>2373934339</v>
      </c>
      <c r="G2673">
        <v>2258274603</v>
      </c>
      <c r="H2673">
        <v>1954892006</v>
      </c>
      <c r="I2673">
        <v>1240347617</v>
      </c>
      <c r="J2673">
        <v>1035868793</v>
      </c>
      <c r="K2673">
        <v>1046703668</v>
      </c>
      <c r="L2673">
        <v>999464856</v>
      </c>
      <c r="M2673">
        <v>917077566</v>
      </c>
      <c r="N2673">
        <v>848835437</v>
      </c>
      <c r="O2673">
        <v>843033251</v>
      </c>
      <c r="P2673">
        <v>211</v>
      </c>
      <c r="Q2673" t="s">
        <v>5686</v>
      </c>
    </row>
    <row r="2674" spans="1:17" x14ac:dyDescent="0.3">
      <c r="A2674" t="s">
        <v>17</v>
      </c>
      <c r="B2674" t="str">
        <f>"600558"</f>
        <v>600558</v>
      </c>
      <c r="C2674" t="s">
        <v>5687</v>
      </c>
      <c r="D2674" t="s">
        <v>401</v>
      </c>
      <c r="E2674">
        <v>3204950179</v>
      </c>
      <c r="F2674">
        <v>3187520504</v>
      </c>
      <c r="G2674">
        <v>3001514099</v>
      </c>
      <c r="H2674">
        <v>2912720457</v>
      </c>
      <c r="I2674">
        <v>2990232819</v>
      </c>
      <c r="J2674">
        <v>2739013613</v>
      </c>
      <c r="K2674">
        <v>2738356680</v>
      </c>
      <c r="L2674">
        <v>2639515753</v>
      </c>
      <c r="M2674">
        <v>2719754451</v>
      </c>
      <c r="N2674">
        <v>2018321968</v>
      </c>
      <c r="O2674">
        <v>1930457982</v>
      </c>
      <c r="P2674">
        <v>72</v>
      </c>
      <c r="Q2674" t="s">
        <v>5688</v>
      </c>
    </row>
    <row r="2675" spans="1:17" x14ac:dyDescent="0.3">
      <c r="A2675" t="s">
        <v>17</v>
      </c>
      <c r="B2675" t="str">
        <f>"603306"</f>
        <v>603306</v>
      </c>
      <c r="C2675" t="s">
        <v>5689</v>
      </c>
      <c r="D2675" t="s">
        <v>416</v>
      </c>
      <c r="E2675">
        <v>3202583445</v>
      </c>
      <c r="F2675">
        <v>2815522859</v>
      </c>
      <c r="G2675">
        <v>2607186157</v>
      </c>
      <c r="H2675">
        <v>2592994573</v>
      </c>
      <c r="I2675">
        <v>2407067865</v>
      </c>
      <c r="J2675">
        <v>1561882765</v>
      </c>
      <c r="K2675">
        <v>1345552958</v>
      </c>
      <c r="L2675">
        <v>1139602081</v>
      </c>
      <c r="M2675">
        <v>603832472</v>
      </c>
      <c r="P2675">
        <v>631</v>
      </c>
      <c r="Q2675" t="s">
        <v>5690</v>
      </c>
    </row>
    <row r="2676" spans="1:17" x14ac:dyDescent="0.3">
      <c r="A2676" t="s">
        <v>47</v>
      </c>
      <c r="B2676" t="str">
        <f>"000697"</f>
        <v>000697</v>
      </c>
      <c r="C2676" t="s">
        <v>5691</v>
      </c>
      <c r="D2676" t="s">
        <v>570</v>
      </c>
      <c r="E2676">
        <v>3202147388</v>
      </c>
      <c r="F2676">
        <v>3422668394</v>
      </c>
      <c r="G2676">
        <v>3709816620</v>
      </c>
      <c r="H2676">
        <v>5158023771</v>
      </c>
      <c r="I2676">
        <v>4887694543</v>
      </c>
      <c r="J2676">
        <v>1598374906</v>
      </c>
      <c r="K2676">
        <v>1590218093</v>
      </c>
      <c r="L2676">
        <v>1563596845</v>
      </c>
      <c r="M2676">
        <v>723420530</v>
      </c>
      <c r="N2676">
        <v>613709718</v>
      </c>
      <c r="O2676">
        <v>497516154</v>
      </c>
      <c r="P2676">
        <v>110</v>
      </c>
      <c r="Q2676" t="s">
        <v>5692</v>
      </c>
    </row>
    <row r="2677" spans="1:17" x14ac:dyDescent="0.3">
      <c r="A2677" t="s">
        <v>47</v>
      </c>
      <c r="B2677" t="str">
        <f>"301102"</f>
        <v>301102</v>
      </c>
      <c r="C2677" t="s">
        <v>5693</v>
      </c>
      <c r="E2677">
        <v>3196787869</v>
      </c>
      <c r="G2677">
        <v>661024195</v>
      </c>
      <c r="P2677">
        <v>4</v>
      </c>
      <c r="Q2677" t="s">
        <v>5694</v>
      </c>
    </row>
    <row r="2678" spans="1:17" x14ac:dyDescent="0.3">
      <c r="A2678" t="s">
        <v>47</v>
      </c>
      <c r="B2678" t="str">
        <f>"003021"</f>
        <v>003021</v>
      </c>
      <c r="C2678" t="s">
        <v>5695</v>
      </c>
      <c r="D2678" t="s">
        <v>1594</v>
      </c>
      <c r="E2678">
        <v>3196633015</v>
      </c>
      <c r="F2678">
        <v>3156665985</v>
      </c>
      <c r="P2678">
        <v>80</v>
      </c>
      <c r="Q2678" t="s">
        <v>5696</v>
      </c>
    </row>
    <row r="2679" spans="1:17" x14ac:dyDescent="0.3">
      <c r="A2679" t="s">
        <v>47</v>
      </c>
      <c r="B2679" t="str">
        <f>"002646"</f>
        <v>002646</v>
      </c>
      <c r="C2679" t="s">
        <v>5697</v>
      </c>
      <c r="D2679" t="s">
        <v>286</v>
      </c>
      <c r="E2679">
        <v>3196553643</v>
      </c>
      <c r="F2679">
        <v>2701198069</v>
      </c>
      <c r="G2679">
        <v>2682563484</v>
      </c>
      <c r="H2679">
        <v>2758259855</v>
      </c>
      <c r="I2679">
        <v>2794059027</v>
      </c>
      <c r="J2679">
        <v>2989565499</v>
      </c>
      <c r="K2679">
        <v>2887020441</v>
      </c>
      <c r="L2679">
        <v>2799937630</v>
      </c>
      <c r="M2679">
        <v>2444269370</v>
      </c>
      <c r="N2679">
        <v>2219763299</v>
      </c>
      <c r="O2679">
        <v>1912065514</v>
      </c>
      <c r="P2679">
        <v>254</v>
      </c>
      <c r="Q2679" t="s">
        <v>5698</v>
      </c>
    </row>
    <row r="2680" spans="1:17" x14ac:dyDescent="0.3">
      <c r="A2680" t="s">
        <v>47</v>
      </c>
      <c r="B2680" t="str">
        <f>"002789"</f>
        <v>002789</v>
      </c>
      <c r="C2680" t="s">
        <v>5699</v>
      </c>
      <c r="D2680" t="s">
        <v>1163</v>
      </c>
      <c r="E2680">
        <v>3195642149</v>
      </c>
      <c r="F2680">
        <v>4521187217</v>
      </c>
      <c r="G2680">
        <v>4120164104</v>
      </c>
      <c r="H2680">
        <v>3882678402</v>
      </c>
      <c r="I2680">
        <v>3882480735</v>
      </c>
      <c r="J2680">
        <v>3418189714</v>
      </c>
      <c r="K2680">
        <v>2199714413</v>
      </c>
      <c r="P2680">
        <v>57</v>
      </c>
      <c r="Q2680" t="s">
        <v>5700</v>
      </c>
    </row>
    <row r="2681" spans="1:17" x14ac:dyDescent="0.3">
      <c r="A2681" t="s">
        <v>47</v>
      </c>
      <c r="B2681" t="str">
        <f>"301018"</f>
        <v>301018</v>
      </c>
      <c r="C2681" t="s">
        <v>5701</v>
      </c>
      <c r="D2681" t="s">
        <v>2730</v>
      </c>
      <c r="E2681">
        <v>3190168760</v>
      </c>
      <c r="F2681">
        <v>2636951678</v>
      </c>
      <c r="P2681">
        <v>37</v>
      </c>
      <c r="Q2681" t="s">
        <v>5702</v>
      </c>
    </row>
    <row r="2682" spans="1:17" x14ac:dyDescent="0.3">
      <c r="A2682" t="s">
        <v>47</v>
      </c>
      <c r="B2682" t="str">
        <f>"002005"</f>
        <v>002005</v>
      </c>
      <c r="C2682" t="s">
        <v>5703</v>
      </c>
      <c r="D2682" t="s">
        <v>2285</v>
      </c>
      <c r="E2682">
        <v>3189147641</v>
      </c>
      <c r="F2682">
        <v>3770931728</v>
      </c>
      <c r="G2682">
        <v>5117853922</v>
      </c>
      <c r="H2682">
        <v>6989746791</v>
      </c>
      <c r="I2682">
        <v>12630996766</v>
      </c>
      <c r="J2682">
        <v>13526595854</v>
      </c>
      <c r="K2682">
        <v>13114873635</v>
      </c>
      <c r="L2682">
        <v>13092405253</v>
      </c>
      <c r="M2682">
        <v>11164744001</v>
      </c>
      <c r="N2682">
        <v>10587332444</v>
      </c>
      <c r="O2682">
        <v>8418616467</v>
      </c>
      <c r="P2682">
        <v>74</v>
      </c>
      <c r="Q2682" t="s">
        <v>5704</v>
      </c>
    </row>
    <row r="2683" spans="1:17" x14ac:dyDescent="0.3">
      <c r="A2683" t="s">
        <v>17</v>
      </c>
      <c r="B2683" t="str">
        <f>"688165"</f>
        <v>688165</v>
      </c>
      <c r="C2683" t="s">
        <v>5705</v>
      </c>
      <c r="D2683" t="s">
        <v>2592</v>
      </c>
      <c r="E2683">
        <v>3187009027</v>
      </c>
      <c r="F2683">
        <v>3241876451</v>
      </c>
      <c r="G2683">
        <v>2651552089</v>
      </c>
      <c r="P2683">
        <v>64</v>
      </c>
      <c r="Q2683" t="s">
        <v>5706</v>
      </c>
    </row>
    <row r="2684" spans="1:17" x14ac:dyDescent="0.3">
      <c r="A2684" t="s">
        <v>47</v>
      </c>
      <c r="B2684" t="str">
        <f>"002349"</f>
        <v>002349</v>
      </c>
      <c r="C2684" t="s">
        <v>5707</v>
      </c>
      <c r="D2684" t="s">
        <v>695</v>
      </c>
      <c r="E2684">
        <v>3186456433</v>
      </c>
      <c r="F2684">
        <v>3160957881</v>
      </c>
      <c r="G2684">
        <v>2942040440</v>
      </c>
      <c r="H2684">
        <v>3680494677</v>
      </c>
      <c r="I2684">
        <v>3368286543</v>
      </c>
      <c r="J2684">
        <v>2629745298</v>
      </c>
      <c r="K2684">
        <v>2476229874</v>
      </c>
      <c r="L2684">
        <v>1852773092</v>
      </c>
      <c r="M2684">
        <v>1040752531</v>
      </c>
      <c r="N2684">
        <v>1013096219</v>
      </c>
      <c r="O2684">
        <v>848146318</v>
      </c>
      <c r="P2684">
        <v>194</v>
      </c>
      <c r="Q2684" t="s">
        <v>5708</v>
      </c>
    </row>
    <row r="2685" spans="1:17" x14ac:dyDescent="0.3">
      <c r="A2685" t="s">
        <v>47</v>
      </c>
      <c r="B2685" t="str">
        <f>"002690"</f>
        <v>002690</v>
      </c>
      <c r="C2685" t="s">
        <v>5709</v>
      </c>
      <c r="D2685" t="s">
        <v>1973</v>
      </c>
      <c r="E2685">
        <v>3184894429</v>
      </c>
      <c r="F2685">
        <v>2847606954</v>
      </c>
      <c r="G2685">
        <v>2733996477</v>
      </c>
      <c r="H2685">
        <v>2689214205</v>
      </c>
      <c r="I2685">
        <v>2528584483</v>
      </c>
      <c r="J2685">
        <v>2339584559</v>
      </c>
      <c r="K2685">
        <v>2173572831</v>
      </c>
      <c r="L2685">
        <v>1874259241</v>
      </c>
      <c r="M2685">
        <v>1701476903</v>
      </c>
      <c r="N2685">
        <v>1500123017</v>
      </c>
      <c r="P2685">
        <v>3632</v>
      </c>
      <c r="Q2685" t="s">
        <v>5710</v>
      </c>
    </row>
    <row r="2686" spans="1:17" x14ac:dyDescent="0.3">
      <c r="A2686" t="s">
        <v>47</v>
      </c>
      <c r="B2686" t="str">
        <f>"300793"</f>
        <v>300793</v>
      </c>
      <c r="C2686" t="s">
        <v>5711</v>
      </c>
      <c r="D2686" t="s">
        <v>283</v>
      </c>
      <c r="E2686">
        <v>3184755830</v>
      </c>
      <c r="F2686">
        <v>2446868593</v>
      </c>
      <c r="G2686">
        <v>1734064601</v>
      </c>
      <c r="P2686">
        <v>144</v>
      </c>
      <c r="Q2686" t="s">
        <v>5712</v>
      </c>
    </row>
    <row r="2687" spans="1:17" x14ac:dyDescent="0.3">
      <c r="A2687" t="s">
        <v>47</v>
      </c>
      <c r="B2687" t="str">
        <f>"300595"</f>
        <v>300595</v>
      </c>
      <c r="C2687" t="s">
        <v>5713</v>
      </c>
      <c r="D2687" t="s">
        <v>1650</v>
      </c>
      <c r="E2687">
        <v>3184618997</v>
      </c>
      <c r="F2687">
        <v>2539360688</v>
      </c>
      <c r="G2687">
        <v>1665218635</v>
      </c>
      <c r="H2687">
        <v>1316161824</v>
      </c>
      <c r="I2687">
        <v>994789520</v>
      </c>
      <c r="J2687">
        <v>757628877</v>
      </c>
      <c r="P2687">
        <v>4330</v>
      </c>
      <c r="Q2687" t="s">
        <v>5714</v>
      </c>
    </row>
    <row r="2688" spans="1:17" x14ac:dyDescent="0.3">
      <c r="A2688" t="s">
        <v>47</v>
      </c>
      <c r="B2688" t="str">
        <f>"002014"</f>
        <v>002014</v>
      </c>
      <c r="C2688" t="s">
        <v>5715</v>
      </c>
      <c r="D2688" t="s">
        <v>2442</v>
      </c>
      <c r="E2688">
        <v>3184434056</v>
      </c>
      <c r="F2688">
        <v>2901999473</v>
      </c>
      <c r="G2688">
        <v>2661458064</v>
      </c>
      <c r="H2688">
        <v>2451842151</v>
      </c>
      <c r="I2688">
        <v>2350729587</v>
      </c>
      <c r="J2688">
        <v>2157422986</v>
      </c>
      <c r="K2688">
        <v>1919631478</v>
      </c>
      <c r="L2688">
        <v>1976039740</v>
      </c>
      <c r="M2688">
        <v>1875121963</v>
      </c>
      <c r="N2688">
        <v>1847259756</v>
      </c>
      <c r="O2688">
        <v>1231864907</v>
      </c>
      <c r="P2688">
        <v>467</v>
      </c>
      <c r="Q2688" t="s">
        <v>5716</v>
      </c>
    </row>
    <row r="2689" spans="1:17" x14ac:dyDescent="0.3">
      <c r="A2689" t="s">
        <v>17</v>
      </c>
      <c r="B2689" t="str">
        <f>"603662"</f>
        <v>603662</v>
      </c>
      <c r="C2689" t="s">
        <v>5717</v>
      </c>
      <c r="D2689" t="s">
        <v>3722</v>
      </c>
      <c r="E2689">
        <v>3184067668</v>
      </c>
      <c r="F2689">
        <v>2419743495</v>
      </c>
      <c r="G2689">
        <v>2080238435</v>
      </c>
      <c r="H2689">
        <v>1322247800</v>
      </c>
      <c r="P2689">
        <v>125</v>
      </c>
      <c r="Q2689" t="s">
        <v>5718</v>
      </c>
    </row>
    <row r="2690" spans="1:17" x14ac:dyDescent="0.3">
      <c r="A2690" t="s">
        <v>47</v>
      </c>
      <c r="B2690" t="str">
        <f>"002882"</f>
        <v>002882</v>
      </c>
      <c r="C2690" t="s">
        <v>5719</v>
      </c>
      <c r="D2690" t="s">
        <v>1616</v>
      </c>
      <c r="E2690">
        <v>3182126797</v>
      </c>
      <c r="F2690">
        <v>2592684933</v>
      </c>
      <c r="G2690">
        <v>2316103142</v>
      </c>
      <c r="H2690">
        <v>2228751190</v>
      </c>
      <c r="I2690">
        <v>1739264487</v>
      </c>
      <c r="J2690">
        <v>1053648723</v>
      </c>
      <c r="P2690">
        <v>118</v>
      </c>
      <c r="Q2690" t="s">
        <v>5720</v>
      </c>
    </row>
    <row r="2691" spans="1:17" x14ac:dyDescent="0.3">
      <c r="A2691" t="s">
        <v>17</v>
      </c>
      <c r="B2691" t="str">
        <f>"688767"</f>
        <v>688767</v>
      </c>
      <c r="C2691" t="s">
        <v>5721</v>
      </c>
      <c r="D2691" t="s">
        <v>2322</v>
      </c>
      <c r="E2691">
        <v>3181979047</v>
      </c>
      <c r="P2691">
        <v>43</v>
      </c>
      <c r="Q2691" t="s">
        <v>5722</v>
      </c>
    </row>
    <row r="2692" spans="1:17" x14ac:dyDescent="0.3">
      <c r="A2692" t="s">
        <v>17</v>
      </c>
      <c r="B2692" t="str">
        <f>"605208"</f>
        <v>605208</v>
      </c>
      <c r="C2692" t="s">
        <v>5723</v>
      </c>
      <c r="D2692" t="s">
        <v>346</v>
      </c>
      <c r="E2692">
        <v>3180300144</v>
      </c>
      <c r="F2692">
        <v>2647822790</v>
      </c>
      <c r="P2692">
        <v>40</v>
      </c>
      <c r="Q2692" t="s">
        <v>5724</v>
      </c>
    </row>
    <row r="2693" spans="1:17" x14ac:dyDescent="0.3">
      <c r="A2693" t="s">
        <v>47</v>
      </c>
      <c r="B2693" t="str">
        <f>"002452"</f>
        <v>002452</v>
      </c>
      <c r="C2693" t="s">
        <v>5725</v>
      </c>
      <c r="D2693" t="s">
        <v>459</v>
      </c>
      <c r="E2693">
        <v>3177353714</v>
      </c>
      <c r="F2693">
        <v>3551578581</v>
      </c>
      <c r="G2693">
        <v>2993478169</v>
      </c>
      <c r="H2693">
        <v>2658944463</v>
      </c>
      <c r="I2693">
        <v>2742750274</v>
      </c>
      <c r="J2693">
        <v>2774145402</v>
      </c>
      <c r="K2693">
        <v>1870761799</v>
      </c>
      <c r="L2693">
        <v>1416947430</v>
      </c>
      <c r="M2693">
        <v>1312237555</v>
      </c>
      <c r="N2693">
        <v>1267088132</v>
      </c>
      <c r="O2693">
        <v>1285951741</v>
      </c>
      <c r="P2693">
        <v>173</v>
      </c>
      <c r="Q2693" t="s">
        <v>5726</v>
      </c>
    </row>
    <row r="2694" spans="1:17" x14ac:dyDescent="0.3">
      <c r="A2694" t="s">
        <v>17</v>
      </c>
      <c r="B2694" t="str">
        <f>"688609"</f>
        <v>688609</v>
      </c>
      <c r="C2694" t="s">
        <v>5727</v>
      </c>
      <c r="D2694" t="s">
        <v>2588</v>
      </c>
      <c r="E2694">
        <v>3168149244</v>
      </c>
      <c r="F2694">
        <v>2682971757</v>
      </c>
      <c r="P2694">
        <v>31</v>
      </c>
      <c r="Q2694" t="s">
        <v>5728</v>
      </c>
    </row>
    <row r="2695" spans="1:17" x14ac:dyDescent="0.3">
      <c r="A2695" t="s">
        <v>47</v>
      </c>
      <c r="B2695" t="str">
        <f>"002166"</f>
        <v>002166</v>
      </c>
      <c r="C2695" t="s">
        <v>5729</v>
      </c>
      <c r="D2695" t="s">
        <v>695</v>
      </c>
      <c r="E2695">
        <v>3166062480</v>
      </c>
      <c r="F2695">
        <v>2966845818</v>
      </c>
      <c r="G2695">
        <v>2620463938</v>
      </c>
      <c r="H2695">
        <v>2252312616</v>
      </c>
      <c r="I2695">
        <v>2903601138</v>
      </c>
      <c r="J2695">
        <v>2594788917</v>
      </c>
      <c r="K2695">
        <v>2045054207</v>
      </c>
      <c r="L2695">
        <v>1500729084</v>
      </c>
      <c r="M2695">
        <v>1125229600</v>
      </c>
      <c r="N2695">
        <v>1189605623</v>
      </c>
      <c r="O2695">
        <v>871074206</v>
      </c>
      <c r="P2695">
        <v>200</v>
      </c>
      <c r="Q2695" t="s">
        <v>5730</v>
      </c>
    </row>
    <row r="2696" spans="1:17" x14ac:dyDescent="0.3">
      <c r="A2696" t="s">
        <v>47</v>
      </c>
      <c r="B2696" t="str">
        <f>"300205"</f>
        <v>300205</v>
      </c>
      <c r="C2696" t="s">
        <v>5731</v>
      </c>
      <c r="D2696" t="s">
        <v>962</v>
      </c>
      <c r="E2696">
        <v>3164932337</v>
      </c>
      <c r="F2696">
        <v>2525685649</v>
      </c>
      <c r="G2696">
        <v>2493973787</v>
      </c>
      <c r="H2696">
        <v>2122428764</v>
      </c>
      <c r="I2696">
        <v>1914357562</v>
      </c>
      <c r="J2696">
        <v>1677649669</v>
      </c>
      <c r="K2696">
        <v>1654480378</v>
      </c>
      <c r="L2696">
        <v>1954560551</v>
      </c>
      <c r="M2696">
        <v>1977391833</v>
      </c>
      <c r="N2696">
        <v>1368374932</v>
      </c>
      <c r="O2696">
        <v>1401882596</v>
      </c>
      <c r="P2696">
        <v>222</v>
      </c>
      <c r="Q2696" t="s">
        <v>5732</v>
      </c>
    </row>
    <row r="2697" spans="1:17" x14ac:dyDescent="0.3">
      <c r="A2697" t="s">
        <v>17</v>
      </c>
      <c r="B2697" t="str">
        <f>"603969"</f>
        <v>603969</v>
      </c>
      <c r="C2697" t="s">
        <v>5733</v>
      </c>
      <c r="D2697" t="s">
        <v>401</v>
      </c>
      <c r="E2697">
        <v>3159248123</v>
      </c>
      <c r="F2697">
        <v>2713995024</v>
      </c>
      <c r="G2697">
        <v>3018711765</v>
      </c>
      <c r="H2697">
        <v>2642183230</v>
      </c>
      <c r="I2697">
        <v>2234189628</v>
      </c>
      <c r="J2697">
        <v>1811081306</v>
      </c>
      <c r="K2697">
        <v>1589816272</v>
      </c>
      <c r="L2697">
        <v>1668064774</v>
      </c>
      <c r="P2697">
        <v>94</v>
      </c>
      <c r="Q2697" t="s">
        <v>5734</v>
      </c>
    </row>
    <row r="2698" spans="1:17" x14ac:dyDescent="0.3">
      <c r="A2698" t="s">
        <v>17</v>
      </c>
      <c r="B2698" t="str">
        <f>"600213"</f>
        <v>600213</v>
      </c>
      <c r="C2698" t="s">
        <v>5735</v>
      </c>
      <c r="D2698" t="s">
        <v>1329</v>
      </c>
      <c r="E2698">
        <v>3145606579</v>
      </c>
      <c r="F2698">
        <v>3669984365</v>
      </c>
      <c r="G2698">
        <v>4809867185</v>
      </c>
      <c r="H2698">
        <v>5146072006</v>
      </c>
      <c r="I2698">
        <v>4390277424</v>
      </c>
      <c r="J2698">
        <v>4319407625</v>
      </c>
      <c r="K2698">
        <v>2547601974</v>
      </c>
      <c r="L2698">
        <v>2156084513</v>
      </c>
      <c r="M2698">
        <v>1775238581</v>
      </c>
      <c r="N2698">
        <v>1382136977</v>
      </c>
      <c r="O2698">
        <v>1012640327</v>
      </c>
      <c r="P2698">
        <v>109</v>
      </c>
      <c r="Q2698" t="s">
        <v>5736</v>
      </c>
    </row>
    <row r="2699" spans="1:17" x14ac:dyDescent="0.3">
      <c r="A2699" t="s">
        <v>47</v>
      </c>
      <c r="B2699" t="str">
        <f>"300256"</f>
        <v>300256</v>
      </c>
      <c r="C2699" t="s">
        <v>5737</v>
      </c>
      <c r="D2699" t="s">
        <v>283</v>
      </c>
      <c r="E2699">
        <v>3144130594</v>
      </c>
      <c r="F2699">
        <v>10714971694</v>
      </c>
      <c r="G2699">
        <v>9840989089</v>
      </c>
      <c r="H2699">
        <v>7943563741</v>
      </c>
      <c r="I2699">
        <v>8932875502</v>
      </c>
      <c r="J2699">
        <v>7908633237</v>
      </c>
      <c r="K2699">
        <v>6452692842</v>
      </c>
      <c r="L2699">
        <v>3244688298</v>
      </c>
      <c r="M2699">
        <v>2579825213</v>
      </c>
      <c r="N2699">
        <v>1025133379</v>
      </c>
      <c r="O2699">
        <v>1056099604</v>
      </c>
      <c r="P2699">
        <v>206</v>
      </c>
      <c r="Q2699" t="s">
        <v>5738</v>
      </c>
    </row>
    <row r="2700" spans="1:17" x14ac:dyDescent="0.3">
      <c r="A2700" t="s">
        <v>47</v>
      </c>
      <c r="B2700" t="str">
        <f>"300872"</f>
        <v>300872</v>
      </c>
      <c r="C2700" t="s">
        <v>5739</v>
      </c>
      <c r="D2700" t="s">
        <v>700</v>
      </c>
      <c r="E2700">
        <v>3142203178</v>
      </c>
      <c r="F2700">
        <v>2589500782</v>
      </c>
      <c r="P2700">
        <v>74</v>
      </c>
      <c r="Q2700" t="s">
        <v>5740</v>
      </c>
    </row>
    <row r="2701" spans="1:17" x14ac:dyDescent="0.3">
      <c r="A2701" t="s">
        <v>47</v>
      </c>
      <c r="B2701" t="str">
        <f>"300762"</f>
        <v>300762</v>
      </c>
      <c r="C2701" t="s">
        <v>5741</v>
      </c>
      <c r="D2701" t="s">
        <v>1385</v>
      </c>
      <c r="E2701">
        <v>3140780861</v>
      </c>
      <c r="F2701">
        <v>1898391522</v>
      </c>
      <c r="G2701">
        <v>1614578161</v>
      </c>
      <c r="H2701">
        <v>1460872748</v>
      </c>
      <c r="J2701">
        <v>568294071</v>
      </c>
      <c r="P2701">
        <v>181</v>
      </c>
      <c r="Q2701" t="s">
        <v>5742</v>
      </c>
    </row>
    <row r="2702" spans="1:17" x14ac:dyDescent="0.3">
      <c r="A2702" t="s">
        <v>47</v>
      </c>
      <c r="B2702" t="str">
        <f>"002442"</f>
        <v>002442</v>
      </c>
      <c r="C2702" t="s">
        <v>5743</v>
      </c>
      <c r="D2702" t="s">
        <v>3283</v>
      </c>
      <c r="E2702">
        <v>3134594302</v>
      </c>
      <c r="F2702">
        <v>2642570633</v>
      </c>
      <c r="G2702">
        <v>2518637019</v>
      </c>
      <c r="H2702">
        <v>2868522152</v>
      </c>
      <c r="I2702">
        <v>2729684579</v>
      </c>
      <c r="J2702">
        <v>2792818957</v>
      </c>
      <c r="K2702">
        <v>2839201195</v>
      </c>
      <c r="L2702">
        <v>3209473124</v>
      </c>
      <c r="M2702">
        <v>3108161302</v>
      </c>
      <c r="N2702">
        <v>2843420348</v>
      </c>
      <c r="O2702">
        <v>2493145272</v>
      </c>
      <c r="P2702">
        <v>105</v>
      </c>
      <c r="Q2702" t="s">
        <v>5744</v>
      </c>
    </row>
    <row r="2703" spans="1:17" x14ac:dyDescent="0.3">
      <c r="A2703" t="s">
        <v>47</v>
      </c>
      <c r="B2703" t="str">
        <f>"000886"</f>
        <v>000886</v>
      </c>
      <c r="C2703" t="s">
        <v>5745</v>
      </c>
      <c r="D2703" t="s">
        <v>471</v>
      </c>
      <c r="E2703">
        <v>3133095365</v>
      </c>
      <c r="F2703">
        <v>3238312101</v>
      </c>
      <c r="G2703">
        <v>3226198011</v>
      </c>
      <c r="H2703">
        <v>3262629308</v>
      </c>
      <c r="I2703">
        <v>3286189891</v>
      </c>
      <c r="J2703">
        <v>3217167262</v>
      </c>
      <c r="K2703">
        <v>3106905745</v>
      </c>
      <c r="L2703">
        <v>3235542534</v>
      </c>
      <c r="M2703">
        <v>3213343769</v>
      </c>
      <c r="N2703">
        <v>2983597151</v>
      </c>
      <c r="O2703">
        <v>2933464727</v>
      </c>
      <c r="P2703">
        <v>130</v>
      </c>
      <c r="Q2703" t="s">
        <v>5746</v>
      </c>
    </row>
    <row r="2704" spans="1:17" x14ac:dyDescent="0.3">
      <c r="A2704" t="s">
        <v>47</v>
      </c>
      <c r="B2704" t="str">
        <f>"002272"</f>
        <v>002272</v>
      </c>
      <c r="C2704" t="s">
        <v>5747</v>
      </c>
      <c r="D2704" t="s">
        <v>2395</v>
      </c>
      <c r="E2704">
        <v>3132442670</v>
      </c>
      <c r="F2704">
        <v>2889174413</v>
      </c>
      <c r="G2704">
        <v>1902715501</v>
      </c>
      <c r="H2704">
        <v>1772358938</v>
      </c>
      <c r="I2704">
        <v>1562466585</v>
      </c>
      <c r="J2704">
        <v>1632300610</v>
      </c>
      <c r="K2704">
        <v>1674228086</v>
      </c>
      <c r="L2704">
        <v>1966839022</v>
      </c>
      <c r="M2704">
        <v>2023786711</v>
      </c>
      <c r="N2704">
        <v>1790565580</v>
      </c>
      <c r="O2704">
        <v>1765368784</v>
      </c>
      <c r="P2704">
        <v>107</v>
      </c>
      <c r="Q2704" t="s">
        <v>5748</v>
      </c>
    </row>
    <row r="2705" spans="1:17" x14ac:dyDescent="0.3">
      <c r="A2705" t="s">
        <v>47</v>
      </c>
      <c r="B2705" t="str">
        <f>"000815"</f>
        <v>000815</v>
      </c>
      <c r="C2705" t="s">
        <v>5749</v>
      </c>
      <c r="D2705" t="s">
        <v>587</v>
      </c>
      <c r="E2705">
        <v>3131772488</v>
      </c>
      <c r="F2705">
        <v>3168650658</v>
      </c>
      <c r="G2705">
        <v>3266727742</v>
      </c>
      <c r="H2705">
        <v>3219053603</v>
      </c>
      <c r="I2705">
        <v>2872098790</v>
      </c>
      <c r="J2705">
        <v>2852505587</v>
      </c>
      <c r="K2705">
        <v>1405842729</v>
      </c>
      <c r="L2705">
        <v>1497590318</v>
      </c>
      <c r="M2705">
        <v>2466103482</v>
      </c>
      <c r="N2705">
        <v>3018850840</v>
      </c>
      <c r="O2705">
        <v>3892784957</v>
      </c>
      <c r="P2705">
        <v>125</v>
      </c>
      <c r="Q2705" t="s">
        <v>5750</v>
      </c>
    </row>
    <row r="2706" spans="1:17" x14ac:dyDescent="0.3">
      <c r="A2706" t="s">
        <v>17</v>
      </c>
      <c r="B2706" t="str">
        <f>"603787"</f>
        <v>603787</v>
      </c>
      <c r="C2706" t="s">
        <v>5751</v>
      </c>
      <c r="D2706" t="s">
        <v>1847</v>
      </c>
      <c r="E2706">
        <v>3130092453</v>
      </c>
      <c r="F2706">
        <v>3049595941</v>
      </c>
      <c r="G2706">
        <v>1888678931</v>
      </c>
      <c r="H2706">
        <v>1635045779</v>
      </c>
      <c r="I2706">
        <v>2004584009</v>
      </c>
      <c r="J2706">
        <v>1536589834</v>
      </c>
      <c r="P2706">
        <v>103</v>
      </c>
      <c r="Q2706" t="s">
        <v>5752</v>
      </c>
    </row>
    <row r="2707" spans="1:17" x14ac:dyDescent="0.3">
      <c r="A2707" t="s">
        <v>47</v>
      </c>
      <c r="B2707" t="str">
        <f>"002651"</f>
        <v>002651</v>
      </c>
      <c r="C2707" t="s">
        <v>5753</v>
      </c>
      <c r="D2707" t="s">
        <v>607</v>
      </c>
      <c r="E2707">
        <v>3128842074</v>
      </c>
      <c r="F2707">
        <v>3021712928</v>
      </c>
      <c r="G2707">
        <v>2688581061</v>
      </c>
      <c r="H2707">
        <v>2549950881</v>
      </c>
      <c r="I2707">
        <v>2475173608</v>
      </c>
      <c r="J2707">
        <v>2474302109</v>
      </c>
      <c r="K2707">
        <v>2461162606</v>
      </c>
      <c r="L2707">
        <v>2316582442</v>
      </c>
      <c r="M2707">
        <v>2519548193</v>
      </c>
      <c r="N2707">
        <v>2670261310</v>
      </c>
      <c r="O2707">
        <v>2469155021</v>
      </c>
      <c r="P2707">
        <v>121</v>
      </c>
      <c r="Q2707" t="s">
        <v>5754</v>
      </c>
    </row>
    <row r="2708" spans="1:17" x14ac:dyDescent="0.3">
      <c r="A2708" t="s">
        <v>47</v>
      </c>
      <c r="B2708" t="str">
        <f>"300278"</f>
        <v>300278</v>
      </c>
      <c r="C2708" t="s">
        <v>5755</v>
      </c>
      <c r="D2708" t="s">
        <v>1360</v>
      </c>
      <c r="E2708">
        <v>3127869036</v>
      </c>
      <c r="F2708">
        <v>2671929942</v>
      </c>
      <c r="G2708">
        <v>3052985806</v>
      </c>
      <c r="H2708">
        <v>4481181000</v>
      </c>
      <c r="I2708">
        <v>4533666876</v>
      </c>
      <c r="J2708">
        <v>4857798658</v>
      </c>
      <c r="K2708">
        <v>3509827988</v>
      </c>
      <c r="L2708">
        <v>2814626768</v>
      </c>
      <c r="M2708">
        <v>839998078</v>
      </c>
      <c r="N2708">
        <v>749442243</v>
      </c>
      <c r="O2708">
        <v>789587950</v>
      </c>
      <c r="P2708">
        <v>98</v>
      </c>
      <c r="Q2708" t="s">
        <v>5756</v>
      </c>
    </row>
    <row r="2709" spans="1:17" x14ac:dyDescent="0.3">
      <c r="A2709" t="s">
        <v>47</v>
      </c>
      <c r="B2709" t="str">
        <f>"300304"</f>
        <v>300304</v>
      </c>
      <c r="C2709" t="s">
        <v>5757</v>
      </c>
      <c r="D2709" t="s">
        <v>836</v>
      </c>
      <c r="E2709">
        <v>3126551521</v>
      </c>
      <c r="F2709">
        <v>3089940355</v>
      </c>
      <c r="G2709">
        <v>2602069353</v>
      </c>
      <c r="H2709">
        <v>2487642218</v>
      </c>
      <c r="I2709">
        <v>2090360286</v>
      </c>
      <c r="J2709">
        <v>1951877657</v>
      </c>
      <c r="K2709">
        <v>1261239618</v>
      </c>
      <c r="L2709">
        <v>1214377785</v>
      </c>
      <c r="M2709">
        <v>1165490965</v>
      </c>
      <c r="N2709">
        <v>996875106</v>
      </c>
      <c r="O2709">
        <v>902223988</v>
      </c>
      <c r="P2709">
        <v>114</v>
      </c>
      <c r="Q2709" t="s">
        <v>5758</v>
      </c>
    </row>
    <row r="2710" spans="1:17" x14ac:dyDescent="0.3">
      <c r="A2710" t="s">
        <v>17</v>
      </c>
      <c r="B2710" t="str">
        <f>"603009"</f>
        <v>603009</v>
      </c>
      <c r="C2710" t="s">
        <v>5759</v>
      </c>
      <c r="D2710" t="s">
        <v>274</v>
      </c>
      <c r="E2710">
        <v>3121872236</v>
      </c>
      <c r="F2710">
        <v>3302200741</v>
      </c>
      <c r="G2710">
        <v>3266976729</v>
      </c>
      <c r="H2710">
        <v>3014233646</v>
      </c>
      <c r="I2710">
        <v>2639059838</v>
      </c>
      <c r="J2710">
        <v>1849324515</v>
      </c>
      <c r="K2710">
        <v>1125356879</v>
      </c>
      <c r="L2710">
        <v>934028094</v>
      </c>
      <c r="P2710">
        <v>84</v>
      </c>
      <c r="Q2710" t="s">
        <v>5760</v>
      </c>
    </row>
    <row r="2711" spans="1:17" x14ac:dyDescent="0.3">
      <c r="A2711" t="s">
        <v>17</v>
      </c>
      <c r="B2711" t="str">
        <f>"688575"</f>
        <v>688575</v>
      </c>
      <c r="C2711" t="s">
        <v>5761</v>
      </c>
      <c r="D2711" t="s">
        <v>2322</v>
      </c>
      <c r="E2711">
        <v>3117407878</v>
      </c>
      <c r="F2711">
        <v>1395759733</v>
      </c>
      <c r="P2711">
        <v>46</v>
      </c>
      <c r="Q2711" t="s">
        <v>5762</v>
      </c>
    </row>
    <row r="2712" spans="1:17" x14ac:dyDescent="0.3">
      <c r="A2712" t="s">
        <v>17</v>
      </c>
      <c r="B2712" t="str">
        <f>"600620"</f>
        <v>600620</v>
      </c>
      <c r="C2712" t="s">
        <v>5763</v>
      </c>
      <c r="D2712" t="s">
        <v>810</v>
      </c>
      <c r="E2712">
        <v>3115293943</v>
      </c>
      <c r="F2712">
        <v>2869299254</v>
      </c>
      <c r="G2712">
        <v>2726080413</v>
      </c>
      <c r="H2712">
        <v>3261905879</v>
      </c>
      <c r="I2712">
        <v>2992629469</v>
      </c>
      <c r="J2712">
        <v>3108721951</v>
      </c>
      <c r="K2712">
        <v>4527428026</v>
      </c>
      <c r="L2712">
        <v>918979005</v>
      </c>
      <c r="M2712">
        <v>998687705</v>
      </c>
      <c r="N2712">
        <v>1121530919</v>
      </c>
      <c r="O2712">
        <v>951990035</v>
      </c>
      <c r="P2712">
        <v>66</v>
      </c>
      <c r="Q2712" t="s">
        <v>5764</v>
      </c>
    </row>
    <row r="2713" spans="1:17" x14ac:dyDescent="0.3">
      <c r="A2713" t="s">
        <v>47</v>
      </c>
      <c r="B2713" t="str">
        <f>"300528"</f>
        <v>300528</v>
      </c>
      <c r="C2713" t="s">
        <v>5765</v>
      </c>
      <c r="D2713" t="s">
        <v>1315</v>
      </c>
      <c r="E2713">
        <v>3114143555</v>
      </c>
      <c r="F2713">
        <v>3617578505</v>
      </c>
      <c r="G2713">
        <v>2433687733</v>
      </c>
      <c r="H2713">
        <v>2375257893</v>
      </c>
      <c r="I2713">
        <v>3308755010</v>
      </c>
      <c r="J2713">
        <v>2386066426</v>
      </c>
      <c r="K2713">
        <v>1808955741</v>
      </c>
      <c r="P2713">
        <v>81</v>
      </c>
      <c r="Q2713" t="s">
        <v>5766</v>
      </c>
    </row>
    <row r="2714" spans="1:17" x14ac:dyDescent="0.3">
      <c r="A2714" t="s">
        <v>47</v>
      </c>
      <c r="B2714" t="str">
        <f>"300032"</f>
        <v>300032</v>
      </c>
      <c r="C2714" t="s">
        <v>5767</v>
      </c>
      <c r="D2714" t="s">
        <v>283</v>
      </c>
      <c r="E2714">
        <v>3113420354</v>
      </c>
      <c r="F2714">
        <v>2432697921</v>
      </c>
      <c r="G2714">
        <v>2183871951</v>
      </c>
      <c r="H2714">
        <v>2190173286</v>
      </c>
      <c r="I2714">
        <v>6875493757</v>
      </c>
      <c r="J2714">
        <v>6396513656</v>
      </c>
      <c r="K2714">
        <v>4052595686</v>
      </c>
      <c r="L2714">
        <v>3406246656</v>
      </c>
      <c r="M2714">
        <v>1367076364</v>
      </c>
      <c r="N2714">
        <v>1175010996</v>
      </c>
      <c r="O2714">
        <v>887024818</v>
      </c>
      <c r="P2714">
        <v>152</v>
      </c>
      <c r="Q2714" t="s">
        <v>5768</v>
      </c>
    </row>
    <row r="2715" spans="1:17" x14ac:dyDescent="0.3">
      <c r="A2715" t="s">
        <v>47</v>
      </c>
      <c r="B2715" t="str">
        <f>"300712"</f>
        <v>300712</v>
      </c>
      <c r="C2715" t="s">
        <v>5769</v>
      </c>
      <c r="D2715" t="s">
        <v>152</v>
      </c>
      <c r="E2715">
        <v>3108836578</v>
      </c>
      <c r="F2715">
        <v>2250522150</v>
      </c>
      <c r="G2715">
        <v>2458664937</v>
      </c>
      <c r="H2715">
        <v>1469744329</v>
      </c>
      <c r="I2715">
        <v>1181824689</v>
      </c>
      <c r="P2715">
        <v>125</v>
      </c>
      <c r="Q2715" t="s">
        <v>5770</v>
      </c>
    </row>
    <row r="2716" spans="1:17" x14ac:dyDescent="0.3">
      <c r="A2716" t="s">
        <v>47</v>
      </c>
      <c r="B2716" t="str">
        <f>"002079"</f>
        <v>002079</v>
      </c>
      <c r="C2716" t="s">
        <v>5771</v>
      </c>
      <c r="D2716" t="s">
        <v>2213</v>
      </c>
      <c r="E2716">
        <v>3108406114</v>
      </c>
      <c r="F2716">
        <v>2480194560</v>
      </c>
      <c r="G2716">
        <v>2168416876</v>
      </c>
      <c r="H2716">
        <v>2020155324</v>
      </c>
      <c r="I2716">
        <v>1941492589</v>
      </c>
      <c r="J2716">
        <v>1818059786</v>
      </c>
      <c r="K2716">
        <v>1579037796</v>
      </c>
      <c r="L2716">
        <v>1470279947</v>
      </c>
      <c r="M2716">
        <v>1433226183</v>
      </c>
      <c r="N2716">
        <v>1483663665</v>
      </c>
      <c r="O2716">
        <v>1553886936</v>
      </c>
      <c r="P2716">
        <v>372</v>
      </c>
      <c r="Q2716" t="s">
        <v>5772</v>
      </c>
    </row>
    <row r="2717" spans="1:17" x14ac:dyDescent="0.3">
      <c r="A2717" t="s">
        <v>17</v>
      </c>
      <c r="B2717" t="str">
        <f>"605136"</f>
        <v>605136</v>
      </c>
      <c r="C2717" t="s">
        <v>5773</v>
      </c>
      <c r="D2717" t="s">
        <v>4098</v>
      </c>
      <c r="E2717">
        <v>3106629164</v>
      </c>
      <c r="F2717">
        <v>2788672789</v>
      </c>
      <c r="P2717">
        <v>99</v>
      </c>
      <c r="Q2717" t="s">
        <v>5774</v>
      </c>
    </row>
    <row r="2718" spans="1:17" x14ac:dyDescent="0.3">
      <c r="A2718" t="s">
        <v>17</v>
      </c>
      <c r="B2718" t="str">
        <f>"603725"</f>
        <v>603725</v>
      </c>
      <c r="C2718" t="s">
        <v>5775</v>
      </c>
      <c r="D2718" t="s">
        <v>710</v>
      </c>
      <c r="E2718">
        <v>3105987415</v>
      </c>
      <c r="F2718">
        <v>1522879288</v>
      </c>
      <c r="G2718">
        <v>1244546422</v>
      </c>
      <c r="H2718">
        <v>1268361987</v>
      </c>
      <c r="I2718">
        <v>1344162412</v>
      </c>
      <c r="P2718">
        <v>74</v>
      </c>
      <c r="Q2718" t="s">
        <v>5776</v>
      </c>
    </row>
    <row r="2719" spans="1:17" x14ac:dyDescent="0.3">
      <c r="A2719" t="s">
        <v>47</v>
      </c>
      <c r="B2719" t="str">
        <f>"300841"</f>
        <v>300841</v>
      </c>
      <c r="C2719" t="s">
        <v>5777</v>
      </c>
      <c r="D2719" t="s">
        <v>894</v>
      </c>
      <c r="E2719">
        <v>3102413395</v>
      </c>
      <c r="F2719">
        <v>2202533958</v>
      </c>
      <c r="G2719">
        <v>743752431</v>
      </c>
      <c r="P2719">
        <v>314</v>
      </c>
      <c r="Q2719" t="s">
        <v>5778</v>
      </c>
    </row>
    <row r="2720" spans="1:17" x14ac:dyDescent="0.3">
      <c r="A2720" t="s">
        <v>17</v>
      </c>
      <c r="B2720" t="str">
        <f>"603086"</f>
        <v>603086</v>
      </c>
      <c r="C2720" t="s">
        <v>5779</v>
      </c>
      <c r="D2720" t="s">
        <v>819</v>
      </c>
      <c r="E2720">
        <v>3101582177</v>
      </c>
      <c r="F2720">
        <v>2512181646</v>
      </c>
      <c r="G2720">
        <v>2472334267</v>
      </c>
      <c r="H2720">
        <v>1763787738</v>
      </c>
      <c r="I2720">
        <v>1420874273</v>
      </c>
      <c r="J2720">
        <v>948455946</v>
      </c>
      <c r="P2720">
        <v>124</v>
      </c>
      <c r="Q2720" t="s">
        <v>5780</v>
      </c>
    </row>
    <row r="2721" spans="1:17" x14ac:dyDescent="0.3">
      <c r="A2721" t="s">
        <v>17</v>
      </c>
      <c r="B2721" t="str">
        <f>"600771"</f>
        <v>600771</v>
      </c>
      <c r="C2721" t="s">
        <v>5781</v>
      </c>
      <c r="D2721" t="s">
        <v>695</v>
      </c>
      <c r="E2721">
        <v>3101389485</v>
      </c>
      <c r="F2721">
        <v>3608275494</v>
      </c>
      <c r="G2721">
        <v>3710048604</v>
      </c>
      <c r="H2721">
        <v>3029349475</v>
      </c>
      <c r="I2721">
        <v>2529210504</v>
      </c>
      <c r="J2721">
        <v>2080011942</v>
      </c>
      <c r="K2721">
        <v>1083421563</v>
      </c>
      <c r="L2721">
        <v>489765201</v>
      </c>
      <c r="M2721">
        <v>510889700</v>
      </c>
      <c r="N2721">
        <v>585671842</v>
      </c>
      <c r="O2721">
        <v>816565525</v>
      </c>
      <c r="P2721">
        <v>477</v>
      </c>
      <c r="Q2721" t="s">
        <v>5782</v>
      </c>
    </row>
    <row r="2722" spans="1:17" x14ac:dyDescent="0.3">
      <c r="A2722" t="s">
        <v>47</v>
      </c>
      <c r="B2722" t="str">
        <f>"002872"</f>
        <v>002872</v>
      </c>
      <c r="C2722" t="s">
        <v>5783</v>
      </c>
      <c r="D2722" t="s">
        <v>362</v>
      </c>
      <c r="E2722">
        <v>3099191050</v>
      </c>
      <c r="F2722">
        <v>3606974611</v>
      </c>
      <c r="G2722">
        <v>4282876673</v>
      </c>
      <c r="H2722">
        <v>4727337109</v>
      </c>
      <c r="I2722">
        <v>5076361054</v>
      </c>
      <c r="J2722">
        <v>3417624400</v>
      </c>
      <c r="P2722">
        <v>69</v>
      </c>
      <c r="Q2722" t="s">
        <v>5784</v>
      </c>
    </row>
    <row r="2723" spans="1:17" x14ac:dyDescent="0.3">
      <c r="A2723" t="s">
        <v>47</v>
      </c>
      <c r="B2723" t="str">
        <f>"300655"</f>
        <v>300655</v>
      </c>
      <c r="C2723" t="s">
        <v>5785</v>
      </c>
      <c r="D2723" t="s">
        <v>3050</v>
      </c>
      <c r="E2723">
        <v>3099001618</v>
      </c>
      <c r="F2723">
        <v>2424827537</v>
      </c>
      <c r="G2723">
        <v>1816736897</v>
      </c>
      <c r="H2723">
        <v>1156580413</v>
      </c>
      <c r="I2723">
        <v>1079971857</v>
      </c>
      <c r="J2723">
        <v>560375200</v>
      </c>
      <c r="P2723">
        <v>3076</v>
      </c>
      <c r="Q2723" t="s">
        <v>5786</v>
      </c>
    </row>
    <row r="2724" spans="1:17" x14ac:dyDescent="0.3">
      <c r="A2724" t="s">
        <v>47</v>
      </c>
      <c r="B2724" t="str">
        <f>"002891"</f>
        <v>002891</v>
      </c>
      <c r="C2724" t="s">
        <v>5787</v>
      </c>
      <c r="D2724" t="s">
        <v>5788</v>
      </c>
      <c r="E2724">
        <v>3096606202</v>
      </c>
      <c r="F2724">
        <v>2494917115</v>
      </c>
      <c r="G2724">
        <v>1867442538</v>
      </c>
      <c r="H2724">
        <v>1680159540</v>
      </c>
      <c r="I2724">
        <v>1084290506</v>
      </c>
      <c r="J2724">
        <v>656344316</v>
      </c>
      <c r="P2724">
        <v>649</v>
      </c>
      <c r="Q2724" t="s">
        <v>5789</v>
      </c>
    </row>
    <row r="2725" spans="1:17" x14ac:dyDescent="0.3">
      <c r="A2725" t="s">
        <v>17</v>
      </c>
      <c r="B2725" t="str">
        <f>"688148"</f>
        <v>688148</v>
      </c>
      <c r="C2725" t="s">
        <v>5790</v>
      </c>
      <c r="D2725" t="s">
        <v>1017</v>
      </c>
      <c r="E2725">
        <v>3094668714</v>
      </c>
      <c r="F2725">
        <v>1836429316</v>
      </c>
      <c r="P2725">
        <v>29</v>
      </c>
      <c r="Q2725" t="s">
        <v>5791</v>
      </c>
    </row>
    <row r="2726" spans="1:17" x14ac:dyDescent="0.3">
      <c r="A2726" t="s">
        <v>47</v>
      </c>
      <c r="B2726" t="str">
        <f>"300986"</f>
        <v>300986</v>
      </c>
      <c r="C2726" t="s">
        <v>5792</v>
      </c>
      <c r="D2726" t="s">
        <v>346</v>
      </c>
      <c r="E2726">
        <v>3094657675</v>
      </c>
      <c r="F2726">
        <v>2126302113</v>
      </c>
      <c r="P2726">
        <v>34</v>
      </c>
      <c r="Q2726" t="s">
        <v>5793</v>
      </c>
    </row>
    <row r="2727" spans="1:17" x14ac:dyDescent="0.3">
      <c r="A2727" t="s">
        <v>17</v>
      </c>
      <c r="B2727" t="str">
        <f>"603399"</f>
        <v>603399</v>
      </c>
      <c r="C2727" t="s">
        <v>5794</v>
      </c>
      <c r="D2727" t="s">
        <v>388</v>
      </c>
      <c r="E2727">
        <v>3094543752</v>
      </c>
      <c r="F2727">
        <v>2817338965</v>
      </c>
      <c r="G2727">
        <v>3046836089</v>
      </c>
      <c r="H2727">
        <v>3731769032</v>
      </c>
      <c r="I2727">
        <v>4243943181</v>
      </c>
      <c r="J2727">
        <v>3420356753</v>
      </c>
      <c r="K2727">
        <v>2876354736</v>
      </c>
      <c r="L2727">
        <v>2495735560</v>
      </c>
      <c r="M2727">
        <v>2302476985</v>
      </c>
      <c r="N2727">
        <v>2141198295</v>
      </c>
      <c r="P2727">
        <v>72</v>
      </c>
      <c r="Q2727" t="s">
        <v>5795</v>
      </c>
    </row>
    <row r="2728" spans="1:17" x14ac:dyDescent="0.3">
      <c r="A2728" t="s">
        <v>17</v>
      </c>
      <c r="B2728" t="str">
        <f>"603687"</f>
        <v>603687</v>
      </c>
      <c r="C2728" t="s">
        <v>5796</v>
      </c>
      <c r="D2728" t="s">
        <v>1842</v>
      </c>
      <c r="E2728">
        <v>3093350584</v>
      </c>
      <c r="F2728">
        <v>2817313056</v>
      </c>
      <c r="G2728">
        <v>2109671076</v>
      </c>
      <c r="H2728">
        <v>1928342132</v>
      </c>
      <c r="P2728">
        <v>92</v>
      </c>
      <c r="Q2728" t="s">
        <v>5797</v>
      </c>
    </row>
    <row r="2729" spans="1:17" x14ac:dyDescent="0.3">
      <c r="A2729" t="s">
        <v>17</v>
      </c>
      <c r="B2729" t="str">
        <f>"600262"</f>
        <v>600262</v>
      </c>
      <c r="C2729" t="s">
        <v>5798</v>
      </c>
      <c r="D2729" t="s">
        <v>607</v>
      </c>
      <c r="E2729">
        <v>3092431374</v>
      </c>
      <c r="F2729">
        <v>2515046136</v>
      </c>
      <c r="G2729">
        <v>2763781348</v>
      </c>
      <c r="H2729">
        <v>2309925411</v>
      </c>
      <c r="I2729">
        <v>2091384529</v>
      </c>
      <c r="J2729">
        <v>2093691102</v>
      </c>
      <c r="K2729">
        <v>2515945482</v>
      </c>
      <c r="L2729">
        <v>3009381180</v>
      </c>
      <c r="M2729">
        <v>3534097948</v>
      </c>
      <c r="N2729">
        <v>3553252642</v>
      </c>
      <c r="O2729">
        <v>3268361877</v>
      </c>
      <c r="P2729">
        <v>75</v>
      </c>
      <c r="Q2729" t="s">
        <v>5799</v>
      </c>
    </row>
    <row r="2730" spans="1:17" x14ac:dyDescent="0.3">
      <c r="A2730" t="s">
        <v>17</v>
      </c>
      <c r="B2730" t="str">
        <f>"603258"</f>
        <v>603258</v>
      </c>
      <c r="C2730" t="s">
        <v>5800</v>
      </c>
      <c r="D2730" t="s">
        <v>1032</v>
      </c>
      <c r="E2730">
        <v>3092053543</v>
      </c>
      <c r="F2730">
        <v>3089299505</v>
      </c>
      <c r="G2730">
        <v>2680253480</v>
      </c>
      <c r="H2730">
        <v>2169886396</v>
      </c>
      <c r="I2730">
        <v>1886550676</v>
      </c>
      <c r="J2730">
        <v>1851550977</v>
      </c>
      <c r="P2730">
        <v>770</v>
      </c>
      <c r="Q2730" t="s">
        <v>5801</v>
      </c>
    </row>
    <row r="2731" spans="1:17" x14ac:dyDescent="0.3">
      <c r="A2731" t="s">
        <v>17</v>
      </c>
      <c r="B2731" t="str">
        <f>"605303"</f>
        <v>605303</v>
      </c>
      <c r="C2731" t="s">
        <v>5802</v>
      </c>
      <c r="D2731" t="s">
        <v>952</v>
      </c>
      <c r="E2731">
        <v>3088266870</v>
      </c>
      <c r="F2731">
        <v>3138786392</v>
      </c>
      <c r="P2731">
        <v>28</v>
      </c>
      <c r="Q2731" t="s">
        <v>5803</v>
      </c>
    </row>
    <row r="2732" spans="1:17" x14ac:dyDescent="0.3">
      <c r="A2732" t="s">
        <v>47</v>
      </c>
      <c r="B2732" t="str">
        <f>"300352"</f>
        <v>300352</v>
      </c>
      <c r="C2732" t="s">
        <v>5804</v>
      </c>
      <c r="D2732" t="s">
        <v>1859</v>
      </c>
      <c r="E2732">
        <v>3086599619</v>
      </c>
      <c r="F2732">
        <v>2834294514</v>
      </c>
      <c r="G2732">
        <v>2798069949</v>
      </c>
      <c r="H2732">
        <v>2595305141</v>
      </c>
      <c r="I2732">
        <v>2492667592</v>
      </c>
      <c r="J2732">
        <v>2307528330</v>
      </c>
      <c r="K2732">
        <v>964360955</v>
      </c>
      <c r="L2732">
        <v>790749648</v>
      </c>
      <c r="M2732">
        <v>705986399</v>
      </c>
      <c r="N2732">
        <v>629717332</v>
      </c>
      <c r="P2732">
        <v>255</v>
      </c>
      <c r="Q2732" t="s">
        <v>5805</v>
      </c>
    </row>
    <row r="2733" spans="1:17" x14ac:dyDescent="0.3">
      <c r="A2733" t="s">
        <v>47</v>
      </c>
      <c r="B2733" t="str">
        <f>"300504"</f>
        <v>300504</v>
      </c>
      <c r="C2733" t="s">
        <v>5806</v>
      </c>
      <c r="D2733" t="s">
        <v>962</v>
      </c>
      <c r="E2733">
        <v>3084474230</v>
      </c>
      <c r="F2733">
        <v>2568521708</v>
      </c>
      <c r="G2733">
        <v>2420369927</v>
      </c>
      <c r="H2733">
        <v>2587227425</v>
      </c>
      <c r="I2733">
        <v>2878829424</v>
      </c>
      <c r="P2733">
        <v>176</v>
      </c>
      <c r="Q2733" t="s">
        <v>5807</v>
      </c>
    </row>
    <row r="2734" spans="1:17" x14ac:dyDescent="0.3">
      <c r="A2734" t="s">
        <v>47</v>
      </c>
      <c r="B2734" t="str">
        <f>"000635"</f>
        <v>000635</v>
      </c>
      <c r="C2734" t="s">
        <v>5808</v>
      </c>
      <c r="D2734" t="s">
        <v>625</v>
      </c>
      <c r="E2734">
        <v>3080996740</v>
      </c>
      <c r="F2734">
        <v>3382855576</v>
      </c>
      <c r="G2734">
        <v>3050127441</v>
      </c>
      <c r="H2734">
        <v>3119187167</v>
      </c>
      <c r="I2734">
        <v>3497353623</v>
      </c>
      <c r="J2734">
        <v>3383516174</v>
      </c>
      <c r="K2734">
        <v>3167463288</v>
      </c>
      <c r="L2734">
        <v>3128711317</v>
      </c>
      <c r="M2734">
        <v>3450040597</v>
      </c>
      <c r="N2734">
        <v>3703775850</v>
      </c>
      <c r="O2734">
        <v>4123511371</v>
      </c>
      <c r="P2734">
        <v>135</v>
      </c>
      <c r="Q2734" t="s">
        <v>5809</v>
      </c>
    </row>
    <row r="2735" spans="1:17" x14ac:dyDescent="0.3">
      <c r="A2735" t="s">
        <v>17</v>
      </c>
      <c r="B2735" t="str">
        <f>"603966"</f>
        <v>603966</v>
      </c>
      <c r="C2735" t="s">
        <v>5810</v>
      </c>
      <c r="D2735" t="s">
        <v>607</v>
      </c>
      <c r="E2735">
        <v>3080470380</v>
      </c>
      <c r="F2735">
        <v>2896451359</v>
      </c>
      <c r="G2735">
        <v>2446549913</v>
      </c>
      <c r="H2735">
        <v>1933277096</v>
      </c>
      <c r="I2735">
        <v>1167901699</v>
      </c>
      <c r="J2735">
        <v>1020185621</v>
      </c>
      <c r="P2735">
        <v>122</v>
      </c>
      <c r="Q2735" t="s">
        <v>5811</v>
      </c>
    </row>
    <row r="2736" spans="1:17" x14ac:dyDescent="0.3">
      <c r="A2736" t="s">
        <v>47</v>
      </c>
      <c r="B2736" t="str">
        <f>"301061"</f>
        <v>301061</v>
      </c>
      <c r="C2736" t="s">
        <v>5812</v>
      </c>
      <c r="D2736" t="s">
        <v>2082</v>
      </c>
      <c r="E2736">
        <v>3080301391</v>
      </c>
      <c r="P2736">
        <v>28</v>
      </c>
      <c r="Q2736" t="s">
        <v>5813</v>
      </c>
    </row>
    <row r="2737" spans="1:17" x14ac:dyDescent="0.3">
      <c r="A2737" t="s">
        <v>47</v>
      </c>
      <c r="B2737" t="str">
        <f>"300320"</f>
        <v>300320</v>
      </c>
      <c r="C2737" t="s">
        <v>5814</v>
      </c>
      <c r="D2737" t="s">
        <v>3921</v>
      </c>
      <c r="E2737">
        <v>3079440535</v>
      </c>
      <c r="F2737">
        <v>2901692392</v>
      </c>
      <c r="G2737">
        <v>2714620596</v>
      </c>
      <c r="H2737">
        <v>2597880173</v>
      </c>
      <c r="I2737">
        <v>2203273440</v>
      </c>
      <c r="J2737">
        <v>1225148558</v>
      </c>
      <c r="K2737">
        <v>1044780130</v>
      </c>
      <c r="L2737">
        <v>1031215104</v>
      </c>
      <c r="M2737">
        <v>877968822</v>
      </c>
      <c r="N2737">
        <v>738596554</v>
      </c>
      <c r="O2737">
        <v>506173985</v>
      </c>
      <c r="P2737">
        <v>151</v>
      </c>
      <c r="Q2737" t="s">
        <v>5815</v>
      </c>
    </row>
    <row r="2738" spans="1:17" x14ac:dyDescent="0.3">
      <c r="A2738" t="s">
        <v>47</v>
      </c>
      <c r="B2738" t="str">
        <f>"002418"</f>
        <v>002418</v>
      </c>
      <c r="C2738" t="s">
        <v>5816</v>
      </c>
      <c r="D2738" t="s">
        <v>1511</v>
      </c>
      <c r="E2738">
        <v>3077561548</v>
      </c>
      <c r="F2738">
        <v>3106667706</v>
      </c>
      <c r="G2738">
        <v>3509280913</v>
      </c>
      <c r="H2738">
        <v>4747765348</v>
      </c>
      <c r="I2738">
        <v>10494234109</v>
      </c>
      <c r="J2738">
        <v>7245845378</v>
      </c>
      <c r="K2738">
        <v>4041104364</v>
      </c>
      <c r="L2738">
        <v>3267078624</v>
      </c>
      <c r="M2738">
        <v>2401223720</v>
      </c>
      <c r="N2738">
        <v>2218279148</v>
      </c>
      <c r="O2738">
        <v>1891482513</v>
      </c>
      <c r="P2738">
        <v>94</v>
      </c>
      <c r="Q2738" t="s">
        <v>5817</v>
      </c>
    </row>
    <row r="2739" spans="1:17" x14ac:dyDescent="0.3">
      <c r="A2739" t="s">
        <v>17</v>
      </c>
      <c r="B2739" t="str">
        <f>"605066"</f>
        <v>605066</v>
      </c>
      <c r="C2739" t="s">
        <v>5818</v>
      </c>
      <c r="D2739" t="s">
        <v>562</v>
      </c>
      <c r="E2739">
        <v>3077082443</v>
      </c>
      <c r="F2739">
        <v>3279846175</v>
      </c>
      <c r="G2739">
        <v>1831480897</v>
      </c>
      <c r="P2739">
        <v>54</v>
      </c>
      <c r="Q2739" t="s">
        <v>5819</v>
      </c>
    </row>
    <row r="2740" spans="1:17" x14ac:dyDescent="0.3">
      <c r="A2740" t="s">
        <v>17</v>
      </c>
      <c r="B2740" t="str">
        <f>"605333"</f>
        <v>605333</v>
      </c>
      <c r="C2740" t="s">
        <v>5820</v>
      </c>
      <c r="D2740" t="s">
        <v>836</v>
      </c>
      <c r="E2740">
        <v>3075649761</v>
      </c>
      <c r="F2740">
        <v>2163790037</v>
      </c>
      <c r="G2740">
        <v>1616425651</v>
      </c>
      <c r="P2740">
        <v>85</v>
      </c>
      <c r="Q2740" t="s">
        <v>5821</v>
      </c>
    </row>
    <row r="2741" spans="1:17" x14ac:dyDescent="0.3">
      <c r="A2741" t="s">
        <v>47</v>
      </c>
      <c r="B2741" t="str">
        <f>"301215"</f>
        <v>301215</v>
      </c>
      <c r="C2741" t="s">
        <v>5822</v>
      </c>
      <c r="E2741">
        <v>3073390920</v>
      </c>
      <c r="P2741">
        <v>7</v>
      </c>
      <c r="Q2741" t="s">
        <v>5823</v>
      </c>
    </row>
    <row r="2742" spans="1:17" x14ac:dyDescent="0.3">
      <c r="A2742" t="s">
        <v>17</v>
      </c>
      <c r="B2742" t="str">
        <f>"603017"</f>
        <v>603017</v>
      </c>
      <c r="C2742" t="s">
        <v>5824</v>
      </c>
      <c r="D2742" t="s">
        <v>2178</v>
      </c>
      <c r="E2742">
        <v>3073208558</v>
      </c>
      <c r="F2742">
        <v>3465387209</v>
      </c>
      <c r="G2742">
        <v>3187765743</v>
      </c>
      <c r="H2742">
        <v>2953565871</v>
      </c>
      <c r="I2742">
        <v>2682450168</v>
      </c>
      <c r="J2742">
        <v>2388534616</v>
      </c>
      <c r="K2742">
        <v>1835821964</v>
      </c>
      <c r="L2742">
        <v>929313464</v>
      </c>
      <c r="P2742">
        <v>121</v>
      </c>
      <c r="Q2742" t="s">
        <v>5825</v>
      </c>
    </row>
    <row r="2743" spans="1:17" x14ac:dyDescent="0.3">
      <c r="A2743" t="s">
        <v>17</v>
      </c>
      <c r="B2743" t="str">
        <f>"601616"</f>
        <v>601616</v>
      </c>
      <c r="C2743" t="s">
        <v>5826</v>
      </c>
      <c r="D2743" t="s">
        <v>562</v>
      </c>
      <c r="E2743">
        <v>3073007178</v>
      </c>
      <c r="F2743">
        <v>3019022381</v>
      </c>
      <c r="G2743">
        <v>3433874881</v>
      </c>
      <c r="H2743">
        <v>2839313244</v>
      </c>
      <c r="I2743">
        <v>2835212974</v>
      </c>
      <c r="J2743">
        <v>2779885217</v>
      </c>
      <c r="K2743">
        <v>3011124276</v>
      </c>
      <c r="L2743">
        <v>3066156262</v>
      </c>
      <c r="M2743">
        <v>3203414973</v>
      </c>
      <c r="N2743">
        <v>3336050205</v>
      </c>
      <c r="O2743">
        <v>3613529458</v>
      </c>
      <c r="P2743">
        <v>72</v>
      </c>
      <c r="Q2743" t="s">
        <v>5827</v>
      </c>
    </row>
    <row r="2744" spans="1:17" x14ac:dyDescent="0.3">
      <c r="A2744" t="s">
        <v>17</v>
      </c>
      <c r="B2744" t="str">
        <f>"605319"</f>
        <v>605319</v>
      </c>
      <c r="C2744" t="s">
        <v>5828</v>
      </c>
      <c r="D2744" t="s">
        <v>1815</v>
      </c>
      <c r="E2744">
        <v>3072749440</v>
      </c>
      <c r="F2744">
        <v>2419943386</v>
      </c>
      <c r="P2744">
        <v>22</v>
      </c>
      <c r="Q2744" t="s">
        <v>5829</v>
      </c>
    </row>
    <row r="2745" spans="1:17" x14ac:dyDescent="0.3">
      <c r="A2745" t="s">
        <v>47</v>
      </c>
      <c r="B2745" t="str">
        <f>"002194"</f>
        <v>002194</v>
      </c>
      <c r="C2745" t="s">
        <v>5830</v>
      </c>
      <c r="D2745" t="s">
        <v>367</v>
      </c>
      <c r="E2745">
        <v>3072352649</v>
      </c>
      <c r="F2745">
        <v>2738901638</v>
      </c>
      <c r="G2745">
        <v>2330772632</v>
      </c>
      <c r="H2745">
        <v>2123455186</v>
      </c>
      <c r="I2745">
        <v>1873403631</v>
      </c>
      <c r="J2745">
        <v>2398264507</v>
      </c>
      <c r="K2745">
        <v>2585676484</v>
      </c>
      <c r="L2745">
        <v>2549763787</v>
      </c>
      <c r="M2745">
        <v>2351033414</v>
      </c>
      <c r="N2745">
        <v>2196244251</v>
      </c>
      <c r="O2745">
        <v>2277407257</v>
      </c>
      <c r="P2745">
        <v>906</v>
      </c>
      <c r="Q2745" t="s">
        <v>5831</v>
      </c>
    </row>
    <row r="2746" spans="1:17" x14ac:dyDescent="0.3">
      <c r="A2746" t="s">
        <v>17</v>
      </c>
      <c r="B2746" t="str">
        <f>"688578"</f>
        <v>688578</v>
      </c>
      <c r="C2746" t="s">
        <v>5832</v>
      </c>
      <c r="D2746" t="s">
        <v>550</v>
      </c>
      <c r="E2746">
        <v>3071165464</v>
      </c>
      <c r="F2746">
        <v>2954982108</v>
      </c>
      <c r="G2746">
        <v>1170613300</v>
      </c>
      <c r="P2746">
        <v>47</v>
      </c>
      <c r="Q2746" t="s">
        <v>5833</v>
      </c>
    </row>
    <row r="2747" spans="1:17" x14ac:dyDescent="0.3">
      <c r="A2747" t="s">
        <v>17</v>
      </c>
      <c r="B2747" t="str">
        <f>"688267"</f>
        <v>688267</v>
      </c>
      <c r="C2747" t="s">
        <v>5834</v>
      </c>
      <c r="E2747">
        <v>3070752167</v>
      </c>
      <c r="P2747">
        <v>7</v>
      </c>
      <c r="Q2747" t="s">
        <v>5835</v>
      </c>
    </row>
    <row r="2748" spans="1:17" x14ac:dyDescent="0.3">
      <c r="A2748" t="s">
        <v>17</v>
      </c>
      <c r="B2748" t="str">
        <f>"603076"</f>
        <v>603076</v>
      </c>
      <c r="C2748" t="s">
        <v>5836</v>
      </c>
      <c r="D2748" t="s">
        <v>1973</v>
      </c>
      <c r="E2748">
        <v>3065786426</v>
      </c>
      <c r="F2748">
        <v>2366549287</v>
      </c>
      <c r="G2748">
        <v>1845474698</v>
      </c>
      <c r="H2748">
        <v>1976480565</v>
      </c>
      <c r="I2748">
        <v>1736855567</v>
      </c>
      <c r="P2748">
        <v>87</v>
      </c>
      <c r="Q2748" t="s">
        <v>5837</v>
      </c>
    </row>
    <row r="2749" spans="1:17" x14ac:dyDescent="0.3">
      <c r="A2749" t="s">
        <v>17</v>
      </c>
      <c r="B2749" t="str">
        <f>"603758"</f>
        <v>603758</v>
      </c>
      <c r="C2749" t="s">
        <v>5838</v>
      </c>
      <c r="D2749" t="s">
        <v>274</v>
      </c>
      <c r="E2749">
        <v>3063476590</v>
      </c>
      <c r="F2749">
        <v>2999114359</v>
      </c>
      <c r="G2749">
        <v>2601486237</v>
      </c>
      <c r="H2749">
        <v>2452860520</v>
      </c>
      <c r="I2749">
        <v>2594448445</v>
      </c>
      <c r="J2749">
        <v>2279523727</v>
      </c>
      <c r="P2749">
        <v>133</v>
      </c>
      <c r="Q2749" t="s">
        <v>5839</v>
      </c>
    </row>
    <row r="2750" spans="1:17" x14ac:dyDescent="0.3">
      <c r="A2750" t="s">
        <v>47</v>
      </c>
      <c r="B2750" t="str">
        <f>"002986"</f>
        <v>002986</v>
      </c>
      <c r="C2750" t="s">
        <v>5840</v>
      </c>
      <c r="D2750" t="s">
        <v>615</v>
      </c>
      <c r="E2750">
        <v>3060988864</v>
      </c>
      <c r="F2750">
        <v>2320096983</v>
      </c>
      <c r="G2750">
        <v>1345800667</v>
      </c>
      <c r="P2750">
        <v>58</v>
      </c>
      <c r="Q2750" t="s">
        <v>5841</v>
      </c>
    </row>
    <row r="2751" spans="1:17" x14ac:dyDescent="0.3">
      <c r="A2751" t="s">
        <v>47</v>
      </c>
      <c r="B2751" t="str">
        <f>"002695"</f>
        <v>002695</v>
      </c>
      <c r="C2751" t="s">
        <v>5842</v>
      </c>
      <c r="D2751" t="s">
        <v>3416</v>
      </c>
      <c r="E2751">
        <v>3060032081</v>
      </c>
      <c r="F2751">
        <v>2810185802</v>
      </c>
      <c r="G2751">
        <v>2871855568</v>
      </c>
      <c r="H2751">
        <v>2593414325</v>
      </c>
      <c r="I2751">
        <v>2290761790</v>
      </c>
      <c r="J2751">
        <v>1965359845</v>
      </c>
      <c r="K2751">
        <v>1897420869</v>
      </c>
      <c r="L2751">
        <v>1633070552</v>
      </c>
      <c r="M2751">
        <v>1541333069</v>
      </c>
      <c r="N2751">
        <v>1460360532</v>
      </c>
      <c r="P2751">
        <v>623</v>
      </c>
      <c r="Q2751" t="s">
        <v>5843</v>
      </c>
    </row>
    <row r="2752" spans="1:17" x14ac:dyDescent="0.3">
      <c r="A2752" t="s">
        <v>47</v>
      </c>
      <c r="B2752" t="str">
        <f>"300583"</f>
        <v>300583</v>
      </c>
      <c r="C2752" t="s">
        <v>5844</v>
      </c>
      <c r="D2752" t="s">
        <v>1112</v>
      </c>
      <c r="E2752">
        <v>3058544912</v>
      </c>
      <c r="F2752">
        <v>3011234105</v>
      </c>
      <c r="G2752">
        <v>2911972514</v>
      </c>
      <c r="H2752">
        <v>2827940031</v>
      </c>
      <c r="I2752">
        <v>2068455453</v>
      </c>
      <c r="J2752">
        <v>1747608275</v>
      </c>
      <c r="P2752">
        <v>76</v>
      </c>
      <c r="Q2752" t="s">
        <v>5845</v>
      </c>
    </row>
    <row r="2753" spans="1:17" x14ac:dyDescent="0.3">
      <c r="A2753" t="s">
        <v>47</v>
      </c>
      <c r="B2753" t="str">
        <f>"300335"</f>
        <v>300335</v>
      </c>
      <c r="C2753" t="s">
        <v>5846</v>
      </c>
      <c r="D2753" t="s">
        <v>1293</v>
      </c>
      <c r="E2753">
        <v>3057817900</v>
      </c>
      <c r="F2753">
        <v>3129371528</v>
      </c>
      <c r="G2753">
        <v>3173740354</v>
      </c>
      <c r="H2753">
        <v>3915221050</v>
      </c>
      <c r="I2753">
        <v>3327390691</v>
      </c>
      <c r="J2753">
        <v>2974860280</v>
      </c>
      <c r="K2753">
        <v>1983537631</v>
      </c>
      <c r="L2753">
        <v>984082664</v>
      </c>
      <c r="M2753">
        <v>905235893</v>
      </c>
      <c r="N2753">
        <v>853428448</v>
      </c>
      <c r="O2753">
        <v>547470138</v>
      </c>
      <c r="P2753">
        <v>231</v>
      </c>
      <c r="Q2753" t="s">
        <v>5847</v>
      </c>
    </row>
    <row r="2754" spans="1:17" x14ac:dyDescent="0.3">
      <c r="A2754" t="s">
        <v>17</v>
      </c>
      <c r="B2754" t="str">
        <f>"688248"</f>
        <v>688248</v>
      </c>
      <c r="C2754" t="s">
        <v>5848</v>
      </c>
      <c r="D2754" t="s">
        <v>679</v>
      </c>
      <c r="E2754">
        <v>3055963939</v>
      </c>
      <c r="P2754">
        <v>14</v>
      </c>
      <c r="Q2754" t="s">
        <v>5849</v>
      </c>
    </row>
    <row r="2755" spans="1:17" x14ac:dyDescent="0.3">
      <c r="A2755" t="s">
        <v>47</v>
      </c>
      <c r="B2755" t="str">
        <f>"002982"</f>
        <v>002982</v>
      </c>
      <c r="C2755" t="s">
        <v>5850</v>
      </c>
      <c r="D2755" t="s">
        <v>1805</v>
      </c>
      <c r="E2755">
        <v>3055157506</v>
      </c>
      <c r="F2755">
        <v>2466300790</v>
      </c>
      <c r="G2755">
        <v>1544806147</v>
      </c>
      <c r="P2755">
        <v>131</v>
      </c>
      <c r="Q2755" t="s">
        <v>5851</v>
      </c>
    </row>
    <row r="2756" spans="1:17" x14ac:dyDescent="0.3">
      <c r="A2756" t="s">
        <v>47</v>
      </c>
      <c r="B2756" t="str">
        <f>"000096"</f>
        <v>000096</v>
      </c>
      <c r="C2756" t="s">
        <v>5852</v>
      </c>
      <c r="D2756" t="s">
        <v>731</v>
      </c>
      <c r="E2756">
        <v>3053216977</v>
      </c>
      <c r="F2756">
        <v>3100386673</v>
      </c>
      <c r="G2756">
        <v>2940693340</v>
      </c>
      <c r="H2756">
        <v>2647057514</v>
      </c>
      <c r="I2756">
        <v>2556484582</v>
      </c>
      <c r="J2756">
        <v>2474305801</v>
      </c>
      <c r="K2756">
        <v>2202219976</v>
      </c>
      <c r="L2756">
        <v>2307188089</v>
      </c>
      <c r="M2756">
        <v>2069086622</v>
      </c>
      <c r="N2756">
        <v>1962474569</v>
      </c>
      <c r="O2756">
        <v>1958580797</v>
      </c>
      <c r="P2756">
        <v>86</v>
      </c>
      <c r="Q2756" t="s">
        <v>5853</v>
      </c>
    </row>
    <row r="2757" spans="1:17" x14ac:dyDescent="0.3">
      <c r="A2757" t="s">
        <v>17</v>
      </c>
      <c r="B2757" t="str">
        <f>"603886"</f>
        <v>603886</v>
      </c>
      <c r="C2757" t="s">
        <v>5854</v>
      </c>
      <c r="D2757" t="s">
        <v>3790</v>
      </c>
      <c r="E2757">
        <v>3045920459</v>
      </c>
      <c r="F2757">
        <v>2840111260</v>
      </c>
      <c r="G2757">
        <v>2488367525</v>
      </c>
      <c r="H2757">
        <v>2183527027</v>
      </c>
      <c r="I2757">
        <v>1956016258</v>
      </c>
      <c r="J2757">
        <v>1755857323</v>
      </c>
      <c r="P2757">
        <v>3081</v>
      </c>
      <c r="Q2757" t="s">
        <v>5855</v>
      </c>
    </row>
    <row r="2758" spans="1:17" x14ac:dyDescent="0.3">
      <c r="A2758" t="s">
        <v>47</v>
      </c>
      <c r="B2758" t="str">
        <f>"300708"</f>
        <v>300708</v>
      </c>
      <c r="C2758" t="s">
        <v>5856</v>
      </c>
      <c r="D2758" t="s">
        <v>862</v>
      </c>
      <c r="E2758">
        <v>3044732420</v>
      </c>
      <c r="F2758">
        <v>2727382259</v>
      </c>
      <c r="G2758">
        <v>2747065969</v>
      </c>
      <c r="H2758">
        <v>2791207962</v>
      </c>
      <c r="I2758">
        <v>1798684684</v>
      </c>
      <c r="P2758">
        <v>164</v>
      </c>
      <c r="Q2758" t="s">
        <v>5857</v>
      </c>
    </row>
    <row r="2759" spans="1:17" x14ac:dyDescent="0.3">
      <c r="A2759" t="s">
        <v>17</v>
      </c>
      <c r="B2759" t="str">
        <f>"688236"</f>
        <v>688236</v>
      </c>
      <c r="C2759" t="s">
        <v>5858</v>
      </c>
      <c r="D2759" t="s">
        <v>1650</v>
      </c>
      <c r="E2759">
        <v>3040149652</v>
      </c>
      <c r="P2759">
        <v>20</v>
      </c>
      <c r="Q2759" t="s">
        <v>5859</v>
      </c>
    </row>
    <row r="2760" spans="1:17" x14ac:dyDescent="0.3">
      <c r="A2760" t="s">
        <v>17</v>
      </c>
      <c r="B2760" t="str">
        <f>"688598"</f>
        <v>688598</v>
      </c>
      <c r="C2760" t="s">
        <v>5860</v>
      </c>
      <c r="D2760" t="s">
        <v>1555</v>
      </c>
      <c r="E2760">
        <v>3038039179</v>
      </c>
      <c r="F2760">
        <v>1530099455</v>
      </c>
      <c r="G2760">
        <v>376067002</v>
      </c>
      <c r="P2760">
        <v>262</v>
      </c>
      <c r="Q2760" t="s">
        <v>5861</v>
      </c>
    </row>
    <row r="2761" spans="1:17" x14ac:dyDescent="0.3">
      <c r="A2761" t="s">
        <v>17</v>
      </c>
      <c r="B2761" t="str">
        <f>"688788"</f>
        <v>688788</v>
      </c>
      <c r="C2761" t="s">
        <v>5862</v>
      </c>
      <c r="D2761" t="s">
        <v>1385</v>
      </c>
      <c r="E2761">
        <v>3036939598</v>
      </c>
      <c r="F2761">
        <v>3068377538</v>
      </c>
      <c r="G2761">
        <v>1156822600</v>
      </c>
      <c r="P2761">
        <v>57</v>
      </c>
      <c r="Q2761" t="s">
        <v>5863</v>
      </c>
    </row>
    <row r="2762" spans="1:17" x14ac:dyDescent="0.3">
      <c r="A2762" t="s">
        <v>47</v>
      </c>
      <c r="B2762" t="str">
        <f>"002997"</f>
        <v>002997</v>
      </c>
      <c r="C2762" t="s">
        <v>5864</v>
      </c>
      <c r="D2762" t="s">
        <v>1815</v>
      </c>
      <c r="E2762">
        <v>3036644499</v>
      </c>
      <c r="F2762">
        <v>2668731447</v>
      </c>
      <c r="P2762">
        <v>85</v>
      </c>
      <c r="Q2762" t="s">
        <v>5865</v>
      </c>
    </row>
    <row r="2763" spans="1:17" x14ac:dyDescent="0.3">
      <c r="A2763" t="s">
        <v>17</v>
      </c>
      <c r="B2763" t="str">
        <f>"605183"</f>
        <v>605183</v>
      </c>
      <c r="C2763" t="s">
        <v>5866</v>
      </c>
      <c r="D2763" t="s">
        <v>3283</v>
      </c>
      <c r="E2763">
        <v>3032872673</v>
      </c>
      <c r="F2763">
        <v>2840342525</v>
      </c>
      <c r="G2763">
        <v>2067623135</v>
      </c>
      <c r="H2763">
        <v>1874720577</v>
      </c>
      <c r="I2763">
        <v>1653512971</v>
      </c>
      <c r="P2763">
        <v>63</v>
      </c>
      <c r="Q2763" t="s">
        <v>5867</v>
      </c>
    </row>
    <row r="2764" spans="1:17" x14ac:dyDescent="0.3">
      <c r="A2764" t="s">
        <v>17</v>
      </c>
      <c r="B2764" t="str">
        <f>"688095"</f>
        <v>688095</v>
      </c>
      <c r="C2764" t="s">
        <v>5868</v>
      </c>
      <c r="D2764" t="s">
        <v>1010</v>
      </c>
      <c r="E2764">
        <v>3031149707</v>
      </c>
      <c r="F2764">
        <v>3192194818</v>
      </c>
      <c r="P2764">
        <v>141</v>
      </c>
      <c r="Q2764" t="s">
        <v>5869</v>
      </c>
    </row>
    <row r="2765" spans="1:17" x14ac:dyDescent="0.3">
      <c r="A2765" t="s">
        <v>17</v>
      </c>
      <c r="B2765" t="str">
        <f>"688176"</f>
        <v>688176</v>
      </c>
      <c r="C2765" t="s">
        <v>5870</v>
      </c>
      <c r="D2765" t="s">
        <v>550</v>
      </c>
      <c r="E2765">
        <v>3030660804</v>
      </c>
      <c r="P2765">
        <v>9</v>
      </c>
      <c r="Q2765" t="s">
        <v>5871</v>
      </c>
    </row>
    <row r="2766" spans="1:17" x14ac:dyDescent="0.3">
      <c r="A2766" t="s">
        <v>47</v>
      </c>
      <c r="B2766" t="str">
        <f>"002722"</f>
        <v>002722</v>
      </c>
      <c r="C2766" t="s">
        <v>5872</v>
      </c>
      <c r="D2766" t="s">
        <v>3463</v>
      </c>
      <c r="E2766">
        <v>3020180406</v>
      </c>
      <c r="F2766">
        <v>2979695100</v>
      </c>
      <c r="G2766">
        <v>3147040588</v>
      </c>
      <c r="H2766">
        <v>2833200612</v>
      </c>
      <c r="I2766">
        <v>2670636452</v>
      </c>
      <c r="J2766">
        <v>2381955430</v>
      </c>
      <c r="K2766">
        <v>2197172893</v>
      </c>
      <c r="L2766">
        <v>746003537</v>
      </c>
      <c r="M2766">
        <v>720619246</v>
      </c>
      <c r="P2766">
        <v>102</v>
      </c>
      <c r="Q2766" t="s">
        <v>5873</v>
      </c>
    </row>
    <row r="2767" spans="1:17" x14ac:dyDescent="0.3">
      <c r="A2767" t="s">
        <v>17</v>
      </c>
      <c r="B2767" t="str">
        <f>"603396"</f>
        <v>603396</v>
      </c>
      <c r="C2767" t="s">
        <v>5874</v>
      </c>
      <c r="D2767" t="s">
        <v>1789</v>
      </c>
      <c r="E2767">
        <v>3019206064</v>
      </c>
      <c r="F2767">
        <v>2315149096</v>
      </c>
      <c r="G2767">
        <v>1873346155</v>
      </c>
      <c r="H2767">
        <v>1863872104</v>
      </c>
      <c r="I2767">
        <v>1506479579</v>
      </c>
      <c r="P2767">
        <v>217</v>
      </c>
      <c r="Q2767" t="s">
        <v>5875</v>
      </c>
    </row>
    <row r="2768" spans="1:17" x14ac:dyDescent="0.3">
      <c r="A2768" t="s">
        <v>17</v>
      </c>
      <c r="B2768" t="str">
        <f>"688083"</f>
        <v>688083</v>
      </c>
      <c r="C2768" t="s">
        <v>5876</v>
      </c>
      <c r="D2768" t="s">
        <v>1859</v>
      </c>
      <c r="E2768">
        <v>3017978056</v>
      </c>
      <c r="F2768">
        <v>2852198313</v>
      </c>
      <c r="P2768">
        <v>130</v>
      </c>
      <c r="Q2768" t="s">
        <v>5877</v>
      </c>
    </row>
    <row r="2769" spans="1:17" x14ac:dyDescent="0.3">
      <c r="A2769" t="s">
        <v>17</v>
      </c>
      <c r="B2769" t="str">
        <f>"600305"</f>
        <v>600305</v>
      </c>
      <c r="C2769" t="s">
        <v>5878</v>
      </c>
      <c r="D2769" t="s">
        <v>1241</v>
      </c>
      <c r="E2769">
        <v>3015299886</v>
      </c>
      <c r="F2769">
        <v>3259039431</v>
      </c>
      <c r="G2769">
        <v>3141940257</v>
      </c>
      <c r="H2769">
        <v>2824353079</v>
      </c>
      <c r="I2769">
        <v>2643296644</v>
      </c>
      <c r="J2769">
        <v>2331107212</v>
      </c>
      <c r="K2769">
        <v>2273837236</v>
      </c>
      <c r="L2769">
        <v>2161585365</v>
      </c>
      <c r="M2769">
        <v>2260256438</v>
      </c>
      <c r="N2769">
        <v>2768247068</v>
      </c>
      <c r="O2769">
        <v>3365867124</v>
      </c>
      <c r="P2769">
        <v>2155</v>
      </c>
      <c r="Q2769" t="s">
        <v>5879</v>
      </c>
    </row>
    <row r="2770" spans="1:17" x14ac:dyDescent="0.3">
      <c r="A2770" t="s">
        <v>47</v>
      </c>
      <c r="B2770" t="str">
        <f>"000669"</f>
        <v>000669</v>
      </c>
      <c r="C2770" t="s">
        <v>5880</v>
      </c>
      <c r="D2770" t="s">
        <v>476</v>
      </c>
      <c r="E2770">
        <v>3012259922</v>
      </c>
      <c r="F2770">
        <v>3959910670</v>
      </c>
      <c r="G2770">
        <v>8961378445</v>
      </c>
      <c r="H2770">
        <v>11258066374</v>
      </c>
      <c r="I2770">
        <v>12976601211</v>
      </c>
      <c r="J2770">
        <v>12534680144</v>
      </c>
      <c r="K2770">
        <v>10259723012</v>
      </c>
      <c r="L2770">
        <v>9642482467</v>
      </c>
      <c r="M2770">
        <v>6209248932</v>
      </c>
      <c r="N2770">
        <v>5026791446</v>
      </c>
      <c r="O2770">
        <v>196822674</v>
      </c>
      <c r="P2770">
        <v>83</v>
      </c>
      <c r="Q2770" t="s">
        <v>5881</v>
      </c>
    </row>
    <row r="2771" spans="1:17" x14ac:dyDescent="0.3">
      <c r="A2771" t="s">
        <v>47</v>
      </c>
      <c r="B2771" t="str">
        <f>"301126"</f>
        <v>301126</v>
      </c>
      <c r="C2771" t="s">
        <v>5882</v>
      </c>
      <c r="D2771" t="s">
        <v>362</v>
      </c>
      <c r="E2771">
        <v>3011614969</v>
      </c>
      <c r="P2771">
        <v>14</v>
      </c>
      <c r="Q2771" t="s">
        <v>5883</v>
      </c>
    </row>
    <row r="2772" spans="1:17" x14ac:dyDescent="0.3">
      <c r="A2772" t="s">
        <v>47</v>
      </c>
      <c r="B2772" t="str">
        <f>"002741"</f>
        <v>002741</v>
      </c>
      <c r="C2772" t="s">
        <v>5884</v>
      </c>
      <c r="D2772" t="s">
        <v>3050</v>
      </c>
      <c r="E2772">
        <v>3008528710</v>
      </c>
      <c r="F2772">
        <v>2713713451</v>
      </c>
      <c r="G2772">
        <v>2548972656</v>
      </c>
      <c r="H2772">
        <v>2393586409</v>
      </c>
      <c r="I2772">
        <v>1718870018</v>
      </c>
      <c r="J2772">
        <v>1065877446</v>
      </c>
      <c r="K2772">
        <v>854881528</v>
      </c>
      <c r="L2772">
        <v>935511264</v>
      </c>
      <c r="P2772">
        <v>187</v>
      </c>
      <c r="Q2772" t="s">
        <v>5885</v>
      </c>
    </row>
    <row r="2773" spans="1:17" x14ac:dyDescent="0.3">
      <c r="A2773" t="s">
        <v>47</v>
      </c>
      <c r="B2773" t="str">
        <f>"300006"</f>
        <v>300006</v>
      </c>
      <c r="C2773" t="s">
        <v>5886</v>
      </c>
      <c r="D2773" t="s">
        <v>550</v>
      </c>
      <c r="E2773">
        <v>3008325817</v>
      </c>
      <c r="F2773">
        <v>3663070273</v>
      </c>
      <c r="G2773">
        <v>3424775859</v>
      </c>
      <c r="H2773">
        <v>3539233637</v>
      </c>
      <c r="I2773">
        <v>2950574848</v>
      </c>
      <c r="J2773">
        <v>2619746709</v>
      </c>
      <c r="K2773">
        <v>2598889193</v>
      </c>
      <c r="L2773">
        <v>2480674563</v>
      </c>
      <c r="M2773">
        <v>2251996327</v>
      </c>
      <c r="N2773">
        <v>1954892520</v>
      </c>
      <c r="O2773">
        <v>1116336996</v>
      </c>
      <c r="P2773">
        <v>136</v>
      </c>
      <c r="Q2773" t="s">
        <v>5887</v>
      </c>
    </row>
    <row r="2774" spans="1:17" x14ac:dyDescent="0.3">
      <c r="A2774" t="s">
        <v>47</v>
      </c>
      <c r="B2774" t="str">
        <f>"000803"</f>
        <v>000803</v>
      </c>
      <c r="C2774" t="s">
        <v>5888</v>
      </c>
      <c r="D2774" t="s">
        <v>652</v>
      </c>
      <c r="E2774">
        <v>3004615858</v>
      </c>
      <c r="F2774">
        <v>1815910351</v>
      </c>
      <c r="G2774">
        <v>361911447</v>
      </c>
      <c r="H2774">
        <v>1086641072</v>
      </c>
      <c r="I2774">
        <v>1253108965</v>
      </c>
      <c r="J2774">
        <v>535117895</v>
      </c>
      <c r="K2774">
        <v>480471443</v>
      </c>
      <c r="L2774">
        <v>441313774</v>
      </c>
      <c r="M2774">
        <v>525771260</v>
      </c>
      <c r="N2774">
        <v>326603533</v>
      </c>
      <c r="O2774">
        <v>271222860</v>
      </c>
      <c r="P2774">
        <v>79</v>
      </c>
      <c r="Q2774" t="s">
        <v>5889</v>
      </c>
    </row>
    <row r="2775" spans="1:17" x14ac:dyDescent="0.3">
      <c r="A2775" t="s">
        <v>47</v>
      </c>
      <c r="B2775" t="str">
        <f>"300140"</f>
        <v>300140</v>
      </c>
      <c r="C2775" t="s">
        <v>5890</v>
      </c>
      <c r="D2775" t="s">
        <v>1347</v>
      </c>
      <c r="E2775">
        <v>3002715016</v>
      </c>
      <c r="F2775">
        <v>3858421629</v>
      </c>
      <c r="G2775">
        <v>6440345639</v>
      </c>
      <c r="H2775">
        <v>6289061196</v>
      </c>
      <c r="I2775">
        <v>3827334886</v>
      </c>
      <c r="J2775">
        <v>3210533828</v>
      </c>
      <c r="K2775">
        <v>1153067468</v>
      </c>
      <c r="L2775">
        <v>1105693441</v>
      </c>
      <c r="M2775">
        <v>1023548923</v>
      </c>
      <c r="N2775">
        <v>896076551</v>
      </c>
      <c r="O2775">
        <v>865683329</v>
      </c>
      <c r="P2775">
        <v>103</v>
      </c>
      <c r="Q2775" t="s">
        <v>5891</v>
      </c>
    </row>
    <row r="2776" spans="1:17" x14ac:dyDescent="0.3">
      <c r="A2776" t="s">
        <v>17</v>
      </c>
      <c r="B2776" t="str">
        <f>"600097"</f>
        <v>600097</v>
      </c>
      <c r="C2776" t="s">
        <v>5892</v>
      </c>
      <c r="D2776" t="s">
        <v>5893</v>
      </c>
      <c r="E2776">
        <v>3001248279</v>
      </c>
      <c r="F2776">
        <v>3010765743</v>
      </c>
      <c r="G2776">
        <v>2653076790</v>
      </c>
      <c r="H2776">
        <v>2320202280</v>
      </c>
      <c r="I2776">
        <v>1816090182</v>
      </c>
      <c r="J2776">
        <v>1692926226</v>
      </c>
      <c r="K2776">
        <v>1098113913</v>
      </c>
      <c r="L2776">
        <v>1294279264</v>
      </c>
      <c r="M2776">
        <v>1283359098</v>
      </c>
      <c r="N2776">
        <v>1381075593</v>
      </c>
      <c r="O2776">
        <v>1339175895</v>
      </c>
      <c r="P2776">
        <v>116</v>
      </c>
      <c r="Q2776" t="s">
        <v>5894</v>
      </c>
    </row>
    <row r="2777" spans="1:17" x14ac:dyDescent="0.3">
      <c r="A2777" t="s">
        <v>47</v>
      </c>
      <c r="B2777" t="str">
        <f>"300374"</f>
        <v>300374</v>
      </c>
      <c r="C2777" t="s">
        <v>5895</v>
      </c>
      <c r="D2777" t="s">
        <v>3510</v>
      </c>
      <c r="E2777">
        <v>3000648699</v>
      </c>
      <c r="F2777">
        <v>3403583040</v>
      </c>
      <c r="G2777">
        <v>2800850592</v>
      </c>
      <c r="H2777">
        <v>2795080287</v>
      </c>
      <c r="I2777">
        <v>2365889089</v>
      </c>
      <c r="J2777">
        <v>1581191493</v>
      </c>
      <c r="K2777">
        <v>1089870776</v>
      </c>
      <c r="L2777">
        <v>1125424252</v>
      </c>
      <c r="P2777">
        <v>61</v>
      </c>
      <c r="Q2777" t="s">
        <v>5896</v>
      </c>
    </row>
    <row r="2778" spans="1:17" x14ac:dyDescent="0.3">
      <c r="A2778" t="s">
        <v>47</v>
      </c>
      <c r="B2778" t="str">
        <f>"002949"</f>
        <v>002949</v>
      </c>
      <c r="C2778" t="s">
        <v>5897</v>
      </c>
      <c r="D2778" t="s">
        <v>2178</v>
      </c>
      <c r="E2778">
        <v>2996539487</v>
      </c>
      <c r="F2778">
        <v>2720884640</v>
      </c>
      <c r="G2778">
        <v>1789300639</v>
      </c>
      <c r="H2778">
        <v>1630346797</v>
      </c>
      <c r="P2778">
        <v>158</v>
      </c>
      <c r="Q2778" t="s">
        <v>5898</v>
      </c>
    </row>
    <row r="2779" spans="1:17" x14ac:dyDescent="0.3">
      <c r="A2779" t="s">
        <v>47</v>
      </c>
      <c r="B2779" t="str">
        <f>"000545"</f>
        <v>000545</v>
      </c>
      <c r="C2779" t="s">
        <v>5899</v>
      </c>
      <c r="D2779" t="s">
        <v>851</v>
      </c>
      <c r="E2779">
        <v>2994344044</v>
      </c>
      <c r="F2779">
        <v>2979963827</v>
      </c>
      <c r="G2779">
        <v>3074282797</v>
      </c>
      <c r="H2779">
        <v>3195405839</v>
      </c>
      <c r="I2779">
        <v>2725411536</v>
      </c>
      <c r="J2779">
        <v>2817571227</v>
      </c>
      <c r="K2779">
        <v>2450809935</v>
      </c>
      <c r="L2779">
        <v>2220378271</v>
      </c>
      <c r="M2779">
        <v>1156437633</v>
      </c>
      <c r="N2779">
        <v>204851869</v>
      </c>
      <c r="O2779">
        <v>190049165</v>
      </c>
      <c r="P2779">
        <v>106</v>
      </c>
      <c r="Q2779" t="s">
        <v>5900</v>
      </c>
    </row>
    <row r="2780" spans="1:17" x14ac:dyDescent="0.3">
      <c r="A2780" t="s">
        <v>47</v>
      </c>
      <c r="B2780" t="str">
        <f>"002990"</f>
        <v>002990</v>
      </c>
      <c r="C2780" t="s">
        <v>5901</v>
      </c>
      <c r="D2780" t="s">
        <v>765</v>
      </c>
      <c r="E2780">
        <v>2991445985</v>
      </c>
      <c r="F2780">
        <v>2541639071</v>
      </c>
      <c r="G2780">
        <v>1190584811</v>
      </c>
      <c r="P2780">
        <v>109</v>
      </c>
      <c r="Q2780" t="s">
        <v>5902</v>
      </c>
    </row>
    <row r="2781" spans="1:17" x14ac:dyDescent="0.3">
      <c r="A2781" t="s">
        <v>17</v>
      </c>
      <c r="B2781" t="str">
        <f>"603968"</f>
        <v>603968</v>
      </c>
      <c r="C2781" t="s">
        <v>5903</v>
      </c>
      <c r="D2781" t="s">
        <v>1699</v>
      </c>
      <c r="E2781">
        <v>2990258057</v>
      </c>
      <c r="F2781">
        <v>2522971653</v>
      </c>
      <c r="G2781">
        <v>2275123569</v>
      </c>
      <c r="H2781">
        <v>2148682170</v>
      </c>
      <c r="I2781">
        <v>1963169174</v>
      </c>
      <c r="J2781">
        <v>1845800467</v>
      </c>
      <c r="K2781">
        <v>1554264784</v>
      </c>
      <c r="L2781">
        <v>1304149328</v>
      </c>
      <c r="P2781">
        <v>244</v>
      </c>
      <c r="Q2781" t="s">
        <v>5904</v>
      </c>
    </row>
    <row r="2782" spans="1:17" x14ac:dyDescent="0.3">
      <c r="A2782" t="s">
        <v>17</v>
      </c>
      <c r="B2782" t="str">
        <f>"688529"</f>
        <v>688529</v>
      </c>
      <c r="C2782" t="s">
        <v>5905</v>
      </c>
      <c r="D2782" t="s">
        <v>1973</v>
      </c>
      <c r="E2782">
        <v>2988856427</v>
      </c>
      <c r="F2782">
        <v>2599673366</v>
      </c>
      <c r="P2782">
        <v>33</v>
      </c>
      <c r="Q2782" t="s">
        <v>5906</v>
      </c>
    </row>
    <row r="2783" spans="1:17" x14ac:dyDescent="0.3">
      <c r="A2783" t="s">
        <v>47</v>
      </c>
      <c r="B2783" t="str">
        <f>"000548"</f>
        <v>000548</v>
      </c>
      <c r="C2783" t="s">
        <v>5907</v>
      </c>
      <c r="D2783" t="s">
        <v>471</v>
      </c>
      <c r="E2783">
        <v>2988602872</v>
      </c>
      <c r="F2783">
        <v>2411251120</v>
      </c>
      <c r="G2783">
        <v>2166901512</v>
      </c>
      <c r="H2783">
        <v>2186302748</v>
      </c>
      <c r="I2783">
        <v>2063242797</v>
      </c>
      <c r="J2783">
        <v>2325564207</v>
      </c>
      <c r="K2783">
        <v>2283716150</v>
      </c>
      <c r="L2783">
        <v>1892559261</v>
      </c>
      <c r="M2783">
        <v>1947723982</v>
      </c>
      <c r="N2783">
        <v>2155608983</v>
      </c>
      <c r="O2783">
        <v>2226582673</v>
      </c>
      <c r="P2783">
        <v>90</v>
      </c>
      <c r="Q2783" t="s">
        <v>5908</v>
      </c>
    </row>
    <row r="2784" spans="1:17" x14ac:dyDescent="0.3">
      <c r="A2784" t="s">
        <v>17</v>
      </c>
      <c r="B2784" t="str">
        <f>"600356"</f>
        <v>600356</v>
      </c>
      <c r="C2784" t="s">
        <v>5909</v>
      </c>
      <c r="D2784" t="s">
        <v>2612</v>
      </c>
      <c r="E2784">
        <v>2988519756</v>
      </c>
      <c r="F2784">
        <v>3184991662</v>
      </c>
      <c r="G2784">
        <v>3108852697</v>
      </c>
      <c r="H2784">
        <v>2806064328</v>
      </c>
      <c r="I2784">
        <v>2710370730</v>
      </c>
      <c r="J2784">
        <v>2703467316</v>
      </c>
      <c r="K2784">
        <v>2640488629</v>
      </c>
      <c r="L2784">
        <v>2679712979</v>
      </c>
      <c r="M2784">
        <v>2725478950</v>
      </c>
      <c r="N2784">
        <v>2751619058</v>
      </c>
      <c r="O2784">
        <v>2884546960</v>
      </c>
      <c r="P2784">
        <v>116</v>
      </c>
      <c r="Q2784" t="s">
        <v>5910</v>
      </c>
    </row>
    <row r="2785" spans="1:17" x14ac:dyDescent="0.3">
      <c r="A2785" t="s">
        <v>47</v>
      </c>
      <c r="B2785" t="str">
        <f>"300580"</f>
        <v>300580</v>
      </c>
      <c r="C2785" t="s">
        <v>5911</v>
      </c>
      <c r="D2785" t="s">
        <v>274</v>
      </c>
      <c r="E2785">
        <v>2987561946</v>
      </c>
      <c r="F2785">
        <v>2807383206</v>
      </c>
      <c r="G2785">
        <v>1924894672</v>
      </c>
      <c r="H2785">
        <v>1724593356</v>
      </c>
      <c r="I2785">
        <v>1530873010</v>
      </c>
      <c r="J2785">
        <v>1451514909</v>
      </c>
      <c r="P2785">
        <v>148</v>
      </c>
      <c r="Q2785" t="s">
        <v>5912</v>
      </c>
    </row>
    <row r="2786" spans="1:17" x14ac:dyDescent="0.3">
      <c r="A2786" t="s">
        <v>17</v>
      </c>
      <c r="B2786" t="str">
        <f>"603316"</f>
        <v>603316</v>
      </c>
      <c r="C2786" t="s">
        <v>5913</v>
      </c>
      <c r="D2786" t="s">
        <v>952</v>
      </c>
      <c r="E2786">
        <v>2987518904</v>
      </c>
      <c r="F2786">
        <v>2586099760</v>
      </c>
      <c r="G2786">
        <v>2206438757</v>
      </c>
      <c r="H2786">
        <v>1640112601</v>
      </c>
      <c r="I2786">
        <v>1316785980</v>
      </c>
      <c r="J2786">
        <v>831958161</v>
      </c>
      <c r="P2786">
        <v>59</v>
      </c>
      <c r="Q2786" t="s">
        <v>5914</v>
      </c>
    </row>
    <row r="2787" spans="1:17" x14ac:dyDescent="0.3">
      <c r="A2787" t="s">
        <v>17</v>
      </c>
      <c r="B2787" t="str">
        <f>"600861"</f>
        <v>600861</v>
      </c>
      <c r="C2787" t="s">
        <v>5915</v>
      </c>
      <c r="D2787" t="s">
        <v>780</v>
      </c>
      <c r="E2787">
        <v>2986620835</v>
      </c>
      <c r="F2787">
        <v>3169975885</v>
      </c>
      <c r="G2787">
        <v>3458578130</v>
      </c>
      <c r="H2787">
        <v>3705705084</v>
      </c>
      <c r="I2787">
        <v>3862289890</v>
      </c>
      <c r="J2787">
        <v>4476573033</v>
      </c>
      <c r="K2787">
        <v>4380473907</v>
      </c>
      <c r="L2787">
        <v>4365602408</v>
      </c>
      <c r="M2787">
        <v>3893452173</v>
      </c>
      <c r="N2787">
        <v>3342051281</v>
      </c>
      <c r="O2787">
        <v>2899188827</v>
      </c>
      <c r="P2787">
        <v>72</v>
      </c>
      <c r="Q2787" t="s">
        <v>5916</v>
      </c>
    </row>
    <row r="2788" spans="1:17" x14ac:dyDescent="0.3">
      <c r="A2788" t="s">
        <v>17</v>
      </c>
      <c r="B2788" t="str">
        <f>"603528"</f>
        <v>603528</v>
      </c>
      <c r="C2788" t="s">
        <v>5917</v>
      </c>
      <c r="D2788" t="s">
        <v>1859</v>
      </c>
      <c r="E2788">
        <v>2984810569</v>
      </c>
      <c r="F2788">
        <v>3038456676</v>
      </c>
      <c r="G2788">
        <v>2124750959</v>
      </c>
      <c r="H2788">
        <v>2091682114</v>
      </c>
      <c r="I2788">
        <v>2015490429</v>
      </c>
      <c r="J2788">
        <v>1859054806</v>
      </c>
      <c r="K2788">
        <v>1376873594</v>
      </c>
      <c r="P2788">
        <v>195</v>
      </c>
      <c r="Q2788" t="s">
        <v>5918</v>
      </c>
    </row>
    <row r="2789" spans="1:17" x14ac:dyDescent="0.3">
      <c r="A2789" t="s">
        <v>47</v>
      </c>
      <c r="B2789" t="str">
        <f>"300633"</f>
        <v>300633</v>
      </c>
      <c r="C2789" t="s">
        <v>5919</v>
      </c>
      <c r="D2789" t="s">
        <v>1083</v>
      </c>
      <c r="E2789">
        <v>2983099447</v>
      </c>
      <c r="F2789">
        <v>2148709521</v>
      </c>
      <c r="G2789">
        <v>2540277869</v>
      </c>
      <c r="H2789">
        <v>1781357370</v>
      </c>
      <c r="I2789">
        <v>1316478521</v>
      </c>
      <c r="J2789">
        <v>1161386612</v>
      </c>
      <c r="P2789">
        <v>515</v>
      </c>
      <c r="Q2789" t="s">
        <v>5920</v>
      </c>
    </row>
    <row r="2790" spans="1:17" x14ac:dyDescent="0.3">
      <c r="A2790" t="s">
        <v>47</v>
      </c>
      <c r="B2790" t="str">
        <f>"000430"</f>
        <v>000430</v>
      </c>
      <c r="C2790" t="s">
        <v>5921</v>
      </c>
      <c r="D2790" t="s">
        <v>4410</v>
      </c>
      <c r="E2790">
        <v>2982600794</v>
      </c>
      <c r="F2790">
        <v>2827491453</v>
      </c>
      <c r="G2790">
        <v>2651287865</v>
      </c>
      <c r="H2790">
        <v>2503815191</v>
      </c>
      <c r="I2790">
        <v>2326731084</v>
      </c>
      <c r="J2790">
        <v>2035590882</v>
      </c>
      <c r="K2790">
        <v>864558966</v>
      </c>
      <c r="L2790">
        <v>706888174</v>
      </c>
      <c r="M2790">
        <v>605440918</v>
      </c>
      <c r="N2790">
        <v>522975157</v>
      </c>
      <c r="O2790">
        <v>418140967</v>
      </c>
      <c r="P2790">
        <v>109</v>
      </c>
      <c r="Q2790" t="s">
        <v>5922</v>
      </c>
    </row>
    <row r="2791" spans="1:17" x14ac:dyDescent="0.3">
      <c r="A2791" t="s">
        <v>17</v>
      </c>
      <c r="B2791" t="str">
        <f>"603600"</f>
        <v>603600</v>
      </c>
      <c r="C2791" t="s">
        <v>5923</v>
      </c>
      <c r="D2791" t="s">
        <v>2082</v>
      </c>
      <c r="E2791">
        <v>2982503299</v>
      </c>
      <c r="F2791">
        <v>3255438752</v>
      </c>
      <c r="G2791">
        <v>1867093503</v>
      </c>
      <c r="H2791">
        <v>1689971700</v>
      </c>
      <c r="I2791">
        <v>1083206457</v>
      </c>
      <c r="J2791">
        <v>937351619</v>
      </c>
      <c r="K2791">
        <v>841253148</v>
      </c>
      <c r="L2791">
        <v>665146695</v>
      </c>
      <c r="P2791">
        <v>290</v>
      </c>
      <c r="Q2791" t="s">
        <v>5924</v>
      </c>
    </row>
    <row r="2792" spans="1:17" x14ac:dyDescent="0.3">
      <c r="A2792" t="s">
        <v>47</v>
      </c>
      <c r="B2792" t="str">
        <f>"002530"</f>
        <v>002530</v>
      </c>
      <c r="C2792" t="s">
        <v>5925</v>
      </c>
      <c r="D2792" t="s">
        <v>700</v>
      </c>
      <c r="E2792">
        <v>2982158347</v>
      </c>
      <c r="F2792">
        <v>3361856428</v>
      </c>
      <c r="G2792">
        <v>4381961336</v>
      </c>
      <c r="H2792">
        <v>5154537093</v>
      </c>
      <c r="I2792">
        <v>4835262306</v>
      </c>
      <c r="J2792">
        <v>4110604613</v>
      </c>
      <c r="K2792">
        <v>992953504</v>
      </c>
      <c r="L2792">
        <v>981507735</v>
      </c>
      <c r="M2792">
        <v>896241224</v>
      </c>
      <c r="N2792">
        <v>869898523</v>
      </c>
      <c r="O2792">
        <v>823268869</v>
      </c>
      <c r="P2792">
        <v>135</v>
      </c>
      <c r="Q2792" t="s">
        <v>5926</v>
      </c>
    </row>
    <row r="2793" spans="1:17" x14ac:dyDescent="0.3">
      <c r="A2793" t="s">
        <v>47</v>
      </c>
      <c r="B2793" t="str">
        <f>"002263"</f>
        <v>002263</v>
      </c>
      <c r="C2793" t="s">
        <v>5927</v>
      </c>
      <c r="D2793" t="s">
        <v>2485</v>
      </c>
      <c r="E2793">
        <v>2980081231</v>
      </c>
      <c r="F2793">
        <v>2780094347</v>
      </c>
      <c r="G2793">
        <v>2544989026</v>
      </c>
      <c r="H2793">
        <v>3119105548</v>
      </c>
      <c r="I2793">
        <v>3319199857</v>
      </c>
      <c r="J2793">
        <v>4037059361</v>
      </c>
      <c r="K2793">
        <v>4188241438</v>
      </c>
      <c r="L2793">
        <v>3589163495</v>
      </c>
      <c r="M2793">
        <v>3495445612</v>
      </c>
      <c r="N2793">
        <v>3261315475</v>
      </c>
      <c r="O2793">
        <v>3416721138</v>
      </c>
      <c r="P2793">
        <v>126</v>
      </c>
      <c r="Q2793" t="s">
        <v>5928</v>
      </c>
    </row>
    <row r="2794" spans="1:17" x14ac:dyDescent="0.3">
      <c r="A2794" t="s">
        <v>47</v>
      </c>
      <c r="B2794" t="str">
        <f>"000532"</f>
        <v>000532</v>
      </c>
      <c r="C2794" t="s">
        <v>5929</v>
      </c>
      <c r="D2794" t="s">
        <v>3519</v>
      </c>
      <c r="E2794">
        <v>2978006661</v>
      </c>
      <c r="F2794">
        <v>2585962206</v>
      </c>
      <c r="G2794">
        <v>2542309445</v>
      </c>
      <c r="H2794">
        <v>2622713121</v>
      </c>
      <c r="I2794">
        <v>2487824500</v>
      </c>
      <c r="J2794">
        <v>1961342135</v>
      </c>
      <c r="K2794">
        <v>1298883834</v>
      </c>
      <c r="L2794">
        <v>1143656029</v>
      </c>
      <c r="M2794">
        <v>1089975871</v>
      </c>
      <c r="N2794">
        <v>986144195</v>
      </c>
      <c r="O2794">
        <v>997376568</v>
      </c>
      <c r="P2794">
        <v>140</v>
      </c>
      <c r="Q2794" t="s">
        <v>5930</v>
      </c>
    </row>
    <row r="2795" spans="1:17" x14ac:dyDescent="0.3">
      <c r="A2795" t="s">
        <v>47</v>
      </c>
      <c r="B2795" t="str">
        <f>"000609"</f>
        <v>000609</v>
      </c>
      <c r="C2795" t="s">
        <v>5931</v>
      </c>
      <c r="D2795" t="s">
        <v>76</v>
      </c>
      <c r="E2795">
        <v>2976910257</v>
      </c>
      <c r="F2795">
        <v>3850075741</v>
      </c>
      <c r="G2795">
        <v>4303090807</v>
      </c>
      <c r="H2795">
        <v>3035445219</v>
      </c>
      <c r="I2795">
        <v>2084652867</v>
      </c>
      <c r="J2795">
        <v>1958961212</v>
      </c>
      <c r="K2795">
        <v>1777226827</v>
      </c>
      <c r="L2795">
        <v>1910117107</v>
      </c>
      <c r="M2795">
        <v>1908032407</v>
      </c>
      <c r="N2795">
        <v>1663464474</v>
      </c>
      <c r="O2795">
        <v>1475051274</v>
      </c>
      <c r="P2795">
        <v>95</v>
      </c>
      <c r="Q2795" t="s">
        <v>5932</v>
      </c>
    </row>
    <row r="2796" spans="1:17" x14ac:dyDescent="0.3">
      <c r="A2796" t="s">
        <v>47</v>
      </c>
      <c r="B2796" t="str">
        <f>"000571"</f>
        <v>000571</v>
      </c>
      <c r="C2796" t="s">
        <v>5933</v>
      </c>
      <c r="D2796" t="s">
        <v>141</v>
      </c>
      <c r="E2796">
        <v>2975922388</v>
      </c>
      <c r="F2796">
        <v>2818997792</v>
      </c>
      <c r="G2796">
        <v>3372737302</v>
      </c>
      <c r="H2796">
        <v>4032623759</v>
      </c>
      <c r="I2796">
        <v>5135227136</v>
      </c>
      <c r="J2796">
        <v>4559869411</v>
      </c>
      <c r="K2796">
        <v>5087607055</v>
      </c>
      <c r="L2796">
        <v>4861126690</v>
      </c>
      <c r="M2796">
        <v>3414262134</v>
      </c>
      <c r="N2796">
        <v>2793350905</v>
      </c>
      <c r="O2796">
        <v>2511783191</v>
      </c>
      <c r="P2796">
        <v>72</v>
      </c>
      <c r="Q2796" t="s">
        <v>5934</v>
      </c>
    </row>
    <row r="2797" spans="1:17" x14ac:dyDescent="0.3">
      <c r="A2797" t="s">
        <v>47</v>
      </c>
      <c r="B2797" t="str">
        <f>"002379"</f>
        <v>002379</v>
      </c>
      <c r="C2797" t="s">
        <v>5935</v>
      </c>
      <c r="D2797" t="s">
        <v>346</v>
      </c>
      <c r="E2797">
        <v>2973077227</v>
      </c>
      <c r="F2797">
        <v>2483190706</v>
      </c>
      <c r="G2797">
        <v>2440713114</v>
      </c>
      <c r="H2797">
        <v>2335596378</v>
      </c>
      <c r="I2797">
        <v>1352523259</v>
      </c>
      <c r="J2797">
        <v>1376748803</v>
      </c>
      <c r="K2797">
        <v>2135663056</v>
      </c>
      <c r="L2797">
        <v>4900768940</v>
      </c>
      <c r="M2797">
        <v>7513681524</v>
      </c>
      <c r="N2797">
        <v>6228528485</v>
      </c>
      <c r="O2797">
        <v>3932480760</v>
      </c>
      <c r="P2797">
        <v>88</v>
      </c>
      <c r="Q2797" t="s">
        <v>5936</v>
      </c>
    </row>
    <row r="2798" spans="1:17" x14ac:dyDescent="0.3">
      <c r="A2798" t="s">
        <v>47</v>
      </c>
      <c r="B2798" t="str">
        <f>"002224"</f>
        <v>002224</v>
      </c>
      <c r="C2798" t="s">
        <v>5937</v>
      </c>
      <c r="D2798" t="s">
        <v>3921</v>
      </c>
      <c r="E2798">
        <v>2971967658</v>
      </c>
      <c r="F2798">
        <v>2850848111</v>
      </c>
      <c r="G2798">
        <v>2805002831</v>
      </c>
      <c r="H2798">
        <v>2684941557</v>
      </c>
      <c r="I2798">
        <v>1988394062</v>
      </c>
      <c r="J2798">
        <v>1781075323</v>
      </c>
      <c r="K2798">
        <v>1624353949</v>
      </c>
      <c r="L2798">
        <v>1407211283</v>
      </c>
      <c r="M2798">
        <v>1212821770</v>
      </c>
      <c r="N2798">
        <v>1152674925</v>
      </c>
      <c r="O2798">
        <v>735406207</v>
      </c>
      <c r="P2798">
        <v>186</v>
      </c>
      <c r="Q2798" t="s">
        <v>5938</v>
      </c>
    </row>
    <row r="2799" spans="1:17" x14ac:dyDescent="0.3">
      <c r="A2799" t="s">
        <v>47</v>
      </c>
      <c r="B2799" t="str">
        <f>"002642"</f>
        <v>002642</v>
      </c>
      <c r="C2799" t="s">
        <v>5939</v>
      </c>
      <c r="D2799" t="s">
        <v>700</v>
      </c>
      <c r="E2799">
        <v>2971811357</v>
      </c>
      <c r="F2799">
        <v>2635411992</v>
      </c>
      <c r="G2799">
        <v>3745248109</v>
      </c>
      <c r="H2799">
        <v>4113735968</v>
      </c>
      <c r="I2799">
        <v>5995002658</v>
      </c>
      <c r="J2799">
        <v>4822608875</v>
      </c>
      <c r="K2799">
        <v>4601385022</v>
      </c>
      <c r="L2799">
        <v>3027565605</v>
      </c>
      <c r="M2799">
        <v>1897554037</v>
      </c>
      <c r="N2799">
        <v>1167224801</v>
      </c>
      <c r="O2799">
        <v>1016027100</v>
      </c>
      <c r="P2799">
        <v>221</v>
      </c>
      <c r="Q2799" t="s">
        <v>5940</v>
      </c>
    </row>
    <row r="2800" spans="1:17" x14ac:dyDescent="0.3">
      <c r="A2800" t="s">
        <v>17</v>
      </c>
      <c r="B2800" t="str">
        <f>"600976"</f>
        <v>600976</v>
      </c>
      <c r="C2800" t="s">
        <v>5941</v>
      </c>
      <c r="D2800" t="s">
        <v>695</v>
      </c>
      <c r="E2800">
        <v>2970623182</v>
      </c>
      <c r="F2800">
        <v>2563552582</v>
      </c>
      <c r="G2800">
        <v>1992448188</v>
      </c>
      <c r="H2800">
        <v>1727510248</v>
      </c>
      <c r="I2800">
        <v>1839593000</v>
      </c>
      <c r="J2800">
        <v>1807092481</v>
      </c>
      <c r="K2800">
        <v>1654001052</v>
      </c>
      <c r="L2800">
        <v>1647190026</v>
      </c>
      <c r="M2800">
        <v>1491799981</v>
      </c>
      <c r="N2800">
        <v>1460463206</v>
      </c>
      <c r="O2800">
        <v>1306196979</v>
      </c>
      <c r="P2800">
        <v>249</v>
      </c>
      <c r="Q2800" t="s">
        <v>5942</v>
      </c>
    </row>
    <row r="2801" spans="1:17" x14ac:dyDescent="0.3">
      <c r="A2801" t="s">
        <v>47</v>
      </c>
      <c r="B2801" t="str">
        <f>"002686"</f>
        <v>002686</v>
      </c>
      <c r="C2801" t="s">
        <v>5943</v>
      </c>
      <c r="D2801" t="s">
        <v>2730</v>
      </c>
      <c r="E2801">
        <v>2970121927</v>
      </c>
      <c r="F2801">
        <v>3425901923</v>
      </c>
      <c r="G2801">
        <v>2958227224</v>
      </c>
      <c r="H2801">
        <v>3640070846</v>
      </c>
      <c r="I2801">
        <v>3281837108</v>
      </c>
      <c r="J2801">
        <v>2312924815</v>
      </c>
      <c r="K2801">
        <v>1425854463</v>
      </c>
      <c r="L2801">
        <v>1145902090</v>
      </c>
      <c r="M2801">
        <v>937993574</v>
      </c>
      <c r="N2801">
        <v>888078284</v>
      </c>
      <c r="O2801">
        <v>457020449</v>
      </c>
      <c r="P2801">
        <v>78</v>
      </c>
      <c r="Q2801" t="s">
        <v>5944</v>
      </c>
    </row>
    <row r="2802" spans="1:17" x14ac:dyDescent="0.3">
      <c r="A2802" t="s">
        <v>47</v>
      </c>
      <c r="B2802" t="str">
        <f>"002657"</f>
        <v>002657</v>
      </c>
      <c r="C2802" t="s">
        <v>5945</v>
      </c>
      <c r="D2802" t="s">
        <v>700</v>
      </c>
      <c r="E2802">
        <v>2969605511</v>
      </c>
      <c r="F2802">
        <v>2997375328</v>
      </c>
      <c r="G2802">
        <v>3113205065</v>
      </c>
      <c r="H2802">
        <v>3696467001</v>
      </c>
      <c r="I2802">
        <v>3923551288</v>
      </c>
      <c r="J2802">
        <v>3616342351</v>
      </c>
      <c r="K2802">
        <v>3486190397</v>
      </c>
      <c r="L2802">
        <v>2316116571</v>
      </c>
      <c r="M2802">
        <v>1353987106</v>
      </c>
      <c r="N2802">
        <v>987599834</v>
      </c>
      <c r="O2802">
        <v>721008016</v>
      </c>
      <c r="P2802">
        <v>154</v>
      </c>
      <c r="Q2802" t="s">
        <v>5946</v>
      </c>
    </row>
    <row r="2803" spans="1:17" x14ac:dyDescent="0.3">
      <c r="A2803" t="s">
        <v>47</v>
      </c>
      <c r="B2803" t="str">
        <f>"300016"</f>
        <v>300016</v>
      </c>
      <c r="C2803" t="s">
        <v>5947</v>
      </c>
      <c r="D2803" t="s">
        <v>550</v>
      </c>
      <c r="E2803">
        <v>2967839367</v>
      </c>
      <c r="F2803">
        <v>2869515217</v>
      </c>
      <c r="G2803">
        <v>1932110468</v>
      </c>
      <c r="H2803">
        <v>1328461459</v>
      </c>
      <c r="I2803">
        <v>1169885859</v>
      </c>
      <c r="J2803">
        <v>1000808920</v>
      </c>
      <c r="K2803">
        <v>1088850060</v>
      </c>
      <c r="L2803">
        <v>932426673</v>
      </c>
      <c r="M2803">
        <v>654516743</v>
      </c>
      <c r="N2803">
        <v>594511352</v>
      </c>
      <c r="O2803">
        <v>532281646</v>
      </c>
      <c r="P2803">
        <v>305</v>
      </c>
      <c r="Q2803" t="s">
        <v>5948</v>
      </c>
    </row>
    <row r="2804" spans="1:17" x14ac:dyDescent="0.3">
      <c r="A2804" t="s">
        <v>17</v>
      </c>
      <c r="B2804" t="str">
        <f>"603803"</f>
        <v>603803</v>
      </c>
      <c r="C2804" t="s">
        <v>5949</v>
      </c>
      <c r="D2804" t="s">
        <v>962</v>
      </c>
      <c r="E2804">
        <v>2965407773</v>
      </c>
      <c r="F2804">
        <v>3877943182</v>
      </c>
      <c r="G2804">
        <v>3677571294</v>
      </c>
      <c r="H2804">
        <v>4078833292</v>
      </c>
      <c r="I2804">
        <v>3482140101</v>
      </c>
      <c r="J2804">
        <v>2724696321</v>
      </c>
      <c r="P2804">
        <v>153</v>
      </c>
      <c r="Q2804" t="s">
        <v>5950</v>
      </c>
    </row>
    <row r="2805" spans="1:17" x14ac:dyDescent="0.3">
      <c r="A2805" t="s">
        <v>47</v>
      </c>
      <c r="B2805" t="str">
        <f>"000410"</f>
        <v>000410</v>
      </c>
      <c r="C2805" t="s">
        <v>5951</v>
      </c>
      <c r="D2805" t="s">
        <v>3186</v>
      </c>
      <c r="E2805">
        <v>2965114441</v>
      </c>
      <c r="F2805">
        <v>5551079935</v>
      </c>
      <c r="G2805">
        <v>6684239773</v>
      </c>
      <c r="H2805">
        <v>18588850744</v>
      </c>
      <c r="I2805">
        <v>20068171643</v>
      </c>
      <c r="J2805">
        <v>24667676372</v>
      </c>
      <c r="K2805">
        <v>24389265330</v>
      </c>
      <c r="L2805">
        <v>22492986590</v>
      </c>
      <c r="M2805">
        <v>17730906034</v>
      </c>
      <c r="N2805">
        <v>14279378055</v>
      </c>
      <c r="O2805">
        <v>12832625525</v>
      </c>
      <c r="P2805">
        <v>101</v>
      </c>
      <c r="Q2805" t="s">
        <v>5952</v>
      </c>
    </row>
    <row r="2806" spans="1:17" x14ac:dyDescent="0.3">
      <c r="A2806" t="s">
        <v>47</v>
      </c>
      <c r="B2806" t="str">
        <f>"002671"</f>
        <v>002671</v>
      </c>
      <c r="C2806" t="s">
        <v>5953</v>
      </c>
      <c r="D2806" t="s">
        <v>1318</v>
      </c>
      <c r="E2806">
        <v>2962988187</v>
      </c>
      <c r="F2806">
        <v>3025841750</v>
      </c>
      <c r="G2806">
        <v>3019430419</v>
      </c>
      <c r="H2806">
        <v>3196164731</v>
      </c>
      <c r="I2806">
        <v>3498367695</v>
      </c>
      <c r="J2806">
        <v>3449883677</v>
      </c>
      <c r="K2806">
        <v>2499856175</v>
      </c>
      <c r="L2806">
        <v>2332060022</v>
      </c>
      <c r="M2806">
        <v>2024328567</v>
      </c>
      <c r="N2806">
        <v>1537215494</v>
      </c>
      <c r="O2806">
        <v>622325049</v>
      </c>
      <c r="P2806">
        <v>68</v>
      </c>
      <c r="Q2806" t="s">
        <v>5954</v>
      </c>
    </row>
    <row r="2807" spans="1:17" x14ac:dyDescent="0.3">
      <c r="A2807" t="s">
        <v>47</v>
      </c>
      <c r="B2807" t="str">
        <f>"002910"</f>
        <v>002910</v>
      </c>
      <c r="C2807" t="s">
        <v>5955</v>
      </c>
      <c r="D2807" t="s">
        <v>487</v>
      </c>
      <c r="E2807">
        <v>2960932790</v>
      </c>
      <c r="F2807">
        <v>2986636199</v>
      </c>
      <c r="G2807">
        <v>2561487114</v>
      </c>
      <c r="H2807">
        <v>2237009929</v>
      </c>
      <c r="I2807">
        <v>1767298253</v>
      </c>
      <c r="P2807">
        <v>147</v>
      </c>
      <c r="Q2807" t="s">
        <v>5956</v>
      </c>
    </row>
    <row r="2808" spans="1:17" x14ac:dyDescent="0.3">
      <c r="A2808" t="s">
        <v>17</v>
      </c>
      <c r="B2808" t="str">
        <f>"688200"</f>
        <v>688200</v>
      </c>
      <c r="C2808" t="s">
        <v>5957</v>
      </c>
      <c r="D2808" t="s">
        <v>1252</v>
      </c>
      <c r="E2808">
        <v>2956353941</v>
      </c>
      <c r="F2808">
        <v>2341677928</v>
      </c>
      <c r="G2808">
        <v>2031715332</v>
      </c>
      <c r="H2808">
        <v>405922638</v>
      </c>
      <c r="P2808">
        <v>291</v>
      </c>
      <c r="Q2808" t="s">
        <v>5958</v>
      </c>
    </row>
    <row r="2809" spans="1:17" x14ac:dyDescent="0.3">
      <c r="A2809" t="s">
        <v>47</v>
      </c>
      <c r="B2809" t="str">
        <f>"000705"</f>
        <v>000705</v>
      </c>
      <c r="C2809" t="s">
        <v>5959</v>
      </c>
      <c r="D2809" t="s">
        <v>362</v>
      </c>
      <c r="E2809">
        <v>2955943511</v>
      </c>
      <c r="F2809">
        <v>2672154857</v>
      </c>
      <c r="G2809">
        <v>2638819177</v>
      </c>
      <c r="H2809">
        <v>2209348520</v>
      </c>
      <c r="I2809">
        <v>2156968180</v>
      </c>
      <c r="J2809">
        <v>2100547135</v>
      </c>
      <c r="K2809">
        <v>2043392931</v>
      </c>
      <c r="L2809">
        <v>1841299884</v>
      </c>
      <c r="M2809">
        <v>1767954550</v>
      </c>
      <c r="N2809">
        <v>1714017039</v>
      </c>
      <c r="O2809">
        <v>1222589031</v>
      </c>
      <c r="P2809">
        <v>107</v>
      </c>
      <c r="Q2809" t="s">
        <v>5960</v>
      </c>
    </row>
    <row r="2810" spans="1:17" x14ac:dyDescent="0.3">
      <c r="A2810" t="s">
        <v>17</v>
      </c>
      <c r="B2810" t="str">
        <f>"603601"</f>
        <v>603601</v>
      </c>
      <c r="C2810" t="s">
        <v>5961</v>
      </c>
      <c r="D2810" t="s">
        <v>923</v>
      </c>
      <c r="E2810">
        <v>2954682221</v>
      </c>
      <c r="F2810">
        <v>2666413656</v>
      </c>
      <c r="G2810">
        <v>2619233983</v>
      </c>
      <c r="H2810">
        <v>2448814870</v>
      </c>
      <c r="I2810">
        <v>2216472147</v>
      </c>
      <c r="J2810">
        <v>1352420320</v>
      </c>
      <c r="K2810">
        <v>472850250</v>
      </c>
      <c r="L2810">
        <v>350122037</v>
      </c>
      <c r="P2810">
        <v>500</v>
      </c>
      <c r="Q2810" t="s">
        <v>5962</v>
      </c>
    </row>
    <row r="2811" spans="1:17" x14ac:dyDescent="0.3">
      <c r="A2811" t="s">
        <v>47</v>
      </c>
      <c r="B2811" t="str">
        <f>"000524"</f>
        <v>000524</v>
      </c>
      <c r="C2811" t="s">
        <v>5963</v>
      </c>
      <c r="D2811" t="s">
        <v>4931</v>
      </c>
      <c r="E2811">
        <v>2953806564</v>
      </c>
      <c r="F2811">
        <v>3360426623</v>
      </c>
      <c r="G2811">
        <v>3911572589</v>
      </c>
      <c r="H2811">
        <v>4634674280</v>
      </c>
      <c r="I2811">
        <v>4359064851</v>
      </c>
      <c r="J2811">
        <v>3331132642</v>
      </c>
      <c r="K2811">
        <v>821102720</v>
      </c>
      <c r="L2811">
        <v>806625807</v>
      </c>
      <c r="M2811">
        <v>752537330</v>
      </c>
      <c r="N2811">
        <v>738742909</v>
      </c>
      <c r="O2811">
        <v>718067185</v>
      </c>
      <c r="P2811">
        <v>156</v>
      </c>
      <c r="Q2811" t="s">
        <v>5964</v>
      </c>
    </row>
    <row r="2812" spans="1:17" x14ac:dyDescent="0.3">
      <c r="A2812" t="s">
        <v>47</v>
      </c>
      <c r="B2812" t="str">
        <f>"300673"</f>
        <v>300673</v>
      </c>
      <c r="C2812" t="s">
        <v>5965</v>
      </c>
      <c r="D2812" t="s">
        <v>5788</v>
      </c>
      <c r="E2812">
        <v>2950398767</v>
      </c>
      <c r="F2812">
        <v>2049108529</v>
      </c>
      <c r="G2812">
        <v>1483219106</v>
      </c>
      <c r="H2812">
        <v>1163660110</v>
      </c>
      <c r="I2812">
        <v>1007039341</v>
      </c>
      <c r="J2812">
        <v>572709719</v>
      </c>
      <c r="P2812">
        <v>512</v>
      </c>
      <c r="Q2812" t="s">
        <v>5966</v>
      </c>
    </row>
    <row r="2813" spans="1:17" x14ac:dyDescent="0.3">
      <c r="A2813" t="s">
        <v>47</v>
      </c>
      <c r="B2813" t="str">
        <f>"300687"</f>
        <v>300687</v>
      </c>
      <c r="C2813" t="s">
        <v>5967</v>
      </c>
      <c r="D2813" t="s">
        <v>700</v>
      </c>
      <c r="E2813">
        <v>2944595245</v>
      </c>
      <c r="F2813">
        <v>2024002760</v>
      </c>
      <c r="G2813">
        <v>1289586019</v>
      </c>
      <c r="H2813">
        <v>1135491888</v>
      </c>
      <c r="I2813">
        <v>873453178</v>
      </c>
      <c r="J2813">
        <v>424999001</v>
      </c>
      <c r="P2813">
        <v>266</v>
      </c>
      <c r="Q2813" t="s">
        <v>5968</v>
      </c>
    </row>
    <row r="2814" spans="1:17" x14ac:dyDescent="0.3">
      <c r="A2814" t="s">
        <v>47</v>
      </c>
      <c r="B2814" t="str">
        <f>"300214"</f>
        <v>300214</v>
      </c>
      <c r="C2814" t="s">
        <v>5969</v>
      </c>
      <c r="D2814" t="s">
        <v>3077</v>
      </c>
      <c r="E2814">
        <v>2943114096</v>
      </c>
      <c r="F2814">
        <v>2304596450</v>
      </c>
      <c r="G2814">
        <v>2108617346</v>
      </c>
      <c r="H2814">
        <v>1918439707</v>
      </c>
      <c r="I2814">
        <v>1756346078</v>
      </c>
      <c r="J2814">
        <v>1506411156</v>
      </c>
      <c r="K2814">
        <v>1550960217</v>
      </c>
      <c r="L2814">
        <v>1451548811</v>
      </c>
      <c r="M2814">
        <v>1398716799</v>
      </c>
      <c r="N2814">
        <v>1233349740</v>
      </c>
      <c r="O2814">
        <v>1259916204</v>
      </c>
      <c r="P2814">
        <v>107</v>
      </c>
      <c r="Q2814" t="s">
        <v>5970</v>
      </c>
    </row>
    <row r="2815" spans="1:17" x14ac:dyDescent="0.3">
      <c r="A2815" t="s">
        <v>17</v>
      </c>
      <c r="B2815" t="str">
        <f>"688136"</f>
        <v>688136</v>
      </c>
      <c r="C2815" t="s">
        <v>5971</v>
      </c>
      <c r="D2815" t="s">
        <v>1480</v>
      </c>
      <c r="E2815">
        <v>2941269292</v>
      </c>
      <c r="F2815">
        <v>2331024938</v>
      </c>
      <c r="P2815">
        <v>66</v>
      </c>
      <c r="Q2815" t="s">
        <v>5972</v>
      </c>
    </row>
    <row r="2816" spans="1:17" x14ac:dyDescent="0.3">
      <c r="A2816" t="s">
        <v>47</v>
      </c>
      <c r="B2816" t="str">
        <f>"300613"</f>
        <v>300613</v>
      </c>
      <c r="C2816" t="s">
        <v>5973</v>
      </c>
      <c r="D2816" t="s">
        <v>967</v>
      </c>
      <c r="E2816">
        <v>2939621150</v>
      </c>
      <c r="F2816">
        <v>1567953630</v>
      </c>
      <c r="G2816">
        <v>1307240434</v>
      </c>
      <c r="H2816">
        <v>1091821284</v>
      </c>
      <c r="I2816">
        <v>1079907501</v>
      </c>
      <c r="J2816">
        <v>908639589</v>
      </c>
      <c r="P2816">
        <v>355</v>
      </c>
      <c r="Q2816" t="s">
        <v>5974</v>
      </c>
    </row>
    <row r="2817" spans="1:17" x14ac:dyDescent="0.3">
      <c r="A2817" t="s">
        <v>47</v>
      </c>
      <c r="B2817" t="str">
        <f>"002803"</f>
        <v>002803</v>
      </c>
      <c r="C2817" t="s">
        <v>5975</v>
      </c>
      <c r="D2817" t="s">
        <v>2707</v>
      </c>
      <c r="E2817">
        <v>2938344481</v>
      </c>
      <c r="F2817">
        <v>2891816276</v>
      </c>
      <c r="G2817">
        <v>2512009843</v>
      </c>
      <c r="H2817">
        <v>1589257364</v>
      </c>
      <c r="I2817">
        <v>1087380975</v>
      </c>
      <c r="J2817">
        <v>780426210</v>
      </c>
      <c r="K2817">
        <v>620247071</v>
      </c>
      <c r="P2817">
        <v>601</v>
      </c>
      <c r="Q2817" t="s">
        <v>5976</v>
      </c>
    </row>
    <row r="2818" spans="1:17" x14ac:dyDescent="0.3">
      <c r="A2818" t="s">
        <v>47</v>
      </c>
      <c r="B2818" t="str">
        <f>"002917"</f>
        <v>002917</v>
      </c>
      <c r="C2818" t="s">
        <v>5977</v>
      </c>
      <c r="D2818" t="s">
        <v>1995</v>
      </c>
      <c r="E2818">
        <v>2936241637</v>
      </c>
      <c r="F2818">
        <v>1337446518</v>
      </c>
      <c r="G2818">
        <v>1094680889</v>
      </c>
      <c r="H2818">
        <v>813022968</v>
      </c>
      <c r="I2818">
        <v>748418870</v>
      </c>
      <c r="P2818">
        <v>67</v>
      </c>
      <c r="Q2818" t="s">
        <v>5978</v>
      </c>
    </row>
    <row r="2819" spans="1:17" x14ac:dyDescent="0.3">
      <c r="A2819" t="s">
        <v>17</v>
      </c>
      <c r="B2819" t="str">
        <f>"688285"</f>
        <v>688285</v>
      </c>
      <c r="C2819" t="s">
        <v>5979</v>
      </c>
      <c r="D2819" t="s">
        <v>193</v>
      </c>
      <c r="E2819">
        <v>2934966355</v>
      </c>
      <c r="P2819">
        <v>14</v>
      </c>
      <c r="Q2819" t="s">
        <v>5980</v>
      </c>
    </row>
    <row r="2820" spans="1:17" x14ac:dyDescent="0.3">
      <c r="A2820" t="s">
        <v>17</v>
      </c>
      <c r="B2820" t="str">
        <f>"603978"</f>
        <v>603978</v>
      </c>
      <c r="C2820" t="s">
        <v>5981</v>
      </c>
      <c r="D2820" t="s">
        <v>2432</v>
      </c>
      <c r="E2820">
        <v>2933319649</v>
      </c>
      <c r="F2820">
        <v>2534400585</v>
      </c>
      <c r="G2820">
        <v>2192777209</v>
      </c>
      <c r="H2820">
        <v>1889866357</v>
      </c>
      <c r="I2820">
        <v>1615899468</v>
      </c>
      <c r="J2820">
        <v>991476536</v>
      </c>
      <c r="P2820">
        <v>112</v>
      </c>
      <c r="Q2820" t="s">
        <v>5982</v>
      </c>
    </row>
    <row r="2821" spans="1:17" x14ac:dyDescent="0.3">
      <c r="A2821" t="s">
        <v>17</v>
      </c>
      <c r="B2821" t="str">
        <f>"603629"</f>
        <v>603629</v>
      </c>
      <c r="C2821" t="s">
        <v>5983</v>
      </c>
      <c r="D2821" t="s">
        <v>283</v>
      </c>
      <c r="E2821">
        <v>2932269250</v>
      </c>
      <c r="F2821">
        <v>2253464518</v>
      </c>
      <c r="G2821">
        <v>1850863427</v>
      </c>
      <c r="H2821">
        <v>1769277551</v>
      </c>
      <c r="P2821">
        <v>51</v>
      </c>
      <c r="Q2821" t="s">
        <v>5984</v>
      </c>
    </row>
    <row r="2822" spans="1:17" x14ac:dyDescent="0.3">
      <c r="A2822" t="s">
        <v>17</v>
      </c>
      <c r="B2822" t="str">
        <f>"688262"</f>
        <v>688262</v>
      </c>
      <c r="C2822" t="s">
        <v>5985</v>
      </c>
      <c r="D2822" t="s">
        <v>967</v>
      </c>
      <c r="E2822">
        <v>2931074645</v>
      </c>
      <c r="P2822">
        <v>19</v>
      </c>
      <c r="Q2822" t="s">
        <v>5986</v>
      </c>
    </row>
    <row r="2823" spans="1:17" x14ac:dyDescent="0.3">
      <c r="A2823" t="s">
        <v>47</v>
      </c>
      <c r="B2823" t="str">
        <f>"002474"</f>
        <v>002474</v>
      </c>
      <c r="C2823" t="s">
        <v>5987</v>
      </c>
      <c r="D2823" t="s">
        <v>700</v>
      </c>
      <c r="E2823">
        <v>2927153928</v>
      </c>
      <c r="F2823">
        <v>2843906415</v>
      </c>
      <c r="G2823">
        <v>2874676511</v>
      </c>
      <c r="H2823">
        <v>2649036259</v>
      </c>
      <c r="I2823">
        <v>2591291398</v>
      </c>
      <c r="J2823">
        <v>2173125033</v>
      </c>
      <c r="K2823">
        <v>1948943928</v>
      </c>
      <c r="L2823">
        <v>1661098694</v>
      </c>
      <c r="M2823">
        <v>1552045934</v>
      </c>
      <c r="N2823">
        <v>1460280266</v>
      </c>
      <c r="O2823">
        <v>1382990166</v>
      </c>
      <c r="P2823">
        <v>180</v>
      </c>
      <c r="Q2823" t="s">
        <v>5988</v>
      </c>
    </row>
    <row r="2824" spans="1:17" x14ac:dyDescent="0.3">
      <c r="A2824" t="s">
        <v>47</v>
      </c>
      <c r="B2824" t="str">
        <f>"002902"</f>
        <v>002902</v>
      </c>
      <c r="C2824" t="s">
        <v>5989</v>
      </c>
      <c r="D2824" t="s">
        <v>367</v>
      </c>
      <c r="E2824">
        <v>2923045650</v>
      </c>
      <c r="F2824">
        <v>2535370666</v>
      </c>
      <c r="G2824">
        <v>1773174385</v>
      </c>
      <c r="H2824">
        <v>1783337809</v>
      </c>
      <c r="I2824">
        <v>1705298452</v>
      </c>
      <c r="P2824">
        <v>216</v>
      </c>
      <c r="Q2824" t="s">
        <v>5990</v>
      </c>
    </row>
    <row r="2825" spans="1:17" x14ac:dyDescent="0.3">
      <c r="A2825" t="s">
        <v>47</v>
      </c>
      <c r="B2825" t="str">
        <f>"000637"</f>
        <v>000637</v>
      </c>
      <c r="C2825" t="s">
        <v>5991</v>
      </c>
      <c r="D2825" t="s">
        <v>615</v>
      </c>
      <c r="E2825">
        <v>2922608863</v>
      </c>
      <c r="F2825">
        <v>2093084993</v>
      </c>
      <c r="G2825">
        <v>1771527935</v>
      </c>
      <c r="H2825">
        <v>1221438133</v>
      </c>
      <c r="I2825">
        <v>1259878759</v>
      </c>
      <c r="J2825">
        <v>1249383449</v>
      </c>
      <c r="K2825">
        <v>1195261706</v>
      </c>
      <c r="L2825">
        <v>1236912612</v>
      </c>
      <c r="M2825">
        <v>1122605607</v>
      </c>
      <c r="N2825">
        <v>903851373</v>
      </c>
      <c r="O2825">
        <v>723276354</v>
      </c>
      <c r="P2825">
        <v>93</v>
      </c>
      <c r="Q2825" t="s">
        <v>5992</v>
      </c>
    </row>
    <row r="2826" spans="1:17" x14ac:dyDescent="0.3">
      <c r="A2826" t="s">
        <v>17</v>
      </c>
      <c r="B2826" t="str">
        <f>"600793"</f>
        <v>600793</v>
      </c>
      <c r="C2826" t="s">
        <v>5993</v>
      </c>
      <c r="D2826" t="s">
        <v>2612</v>
      </c>
      <c r="E2826">
        <v>2922355238</v>
      </c>
      <c r="F2826">
        <v>3151823467</v>
      </c>
      <c r="G2826">
        <v>3377507485</v>
      </c>
      <c r="H2826">
        <v>3714409510</v>
      </c>
      <c r="I2826">
        <v>3635324007</v>
      </c>
      <c r="J2826">
        <v>3528098395</v>
      </c>
      <c r="K2826">
        <v>3332377728</v>
      </c>
      <c r="L2826">
        <v>3233389075</v>
      </c>
      <c r="M2826">
        <v>1435379332</v>
      </c>
      <c r="N2826">
        <v>810912215</v>
      </c>
      <c r="O2826">
        <v>826622151</v>
      </c>
      <c r="P2826">
        <v>109</v>
      </c>
      <c r="Q2826" t="s">
        <v>5994</v>
      </c>
    </row>
    <row r="2827" spans="1:17" x14ac:dyDescent="0.3">
      <c r="A2827" t="s">
        <v>47</v>
      </c>
      <c r="B2827" t="str">
        <f>"002922"</f>
        <v>002922</v>
      </c>
      <c r="C2827" t="s">
        <v>5995</v>
      </c>
      <c r="D2827" t="s">
        <v>1609</v>
      </c>
      <c r="E2827">
        <v>2918991092</v>
      </c>
      <c r="F2827">
        <v>2373106569</v>
      </c>
      <c r="G2827">
        <v>1388192890</v>
      </c>
      <c r="H2827">
        <v>1291634523</v>
      </c>
      <c r="I2827">
        <v>1204006710</v>
      </c>
      <c r="P2827">
        <v>170</v>
      </c>
      <c r="Q2827" t="s">
        <v>5996</v>
      </c>
    </row>
    <row r="2828" spans="1:17" x14ac:dyDescent="0.3">
      <c r="A2828" t="s">
        <v>17</v>
      </c>
      <c r="B2828" t="str">
        <f>"688088"</f>
        <v>688088</v>
      </c>
      <c r="C2828" t="s">
        <v>5997</v>
      </c>
      <c r="D2828" t="s">
        <v>700</v>
      </c>
      <c r="E2828">
        <v>2916574886</v>
      </c>
      <c r="F2828">
        <v>3124831284</v>
      </c>
      <c r="G2828">
        <v>2850535600</v>
      </c>
      <c r="H2828">
        <v>1247027057</v>
      </c>
      <c r="P2828">
        <v>271</v>
      </c>
      <c r="Q2828" t="s">
        <v>5998</v>
      </c>
    </row>
    <row r="2829" spans="1:17" x14ac:dyDescent="0.3">
      <c r="A2829" t="s">
        <v>47</v>
      </c>
      <c r="B2829" t="str">
        <f>"002286"</f>
        <v>002286</v>
      </c>
      <c r="C2829" t="s">
        <v>5999</v>
      </c>
      <c r="D2829" t="s">
        <v>1708</v>
      </c>
      <c r="E2829">
        <v>2914407619</v>
      </c>
      <c r="F2829">
        <v>2807839828</v>
      </c>
      <c r="G2829">
        <v>2621305932</v>
      </c>
      <c r="H2829">
        <v>2707575263</v>
      </c>
      <c r="I2829">
        <v>2290364925</v>
      </c>
      <c r="J2829">
        <v>1945515189</v>
      </c>
      <c r="K2829">
        <v>1915038172</v>
      </c>
      <c r="L2829">
        <v>1872006373</v>
      </c>
      <c r="M2829">
        <v>1682230510</v>
      </c>
      <c r="N2829">
        <v>1135466757</v>
      </c>
      <c r="O2829">
        <v>1100261756</v>
      </c>
      <c r="P2829">
        <v>179</v>
      </c>
      <c r="Q2829" t="s">
        <v>6000</v>
      </c>
    </row>
    <row r="2830" spans="1:17" x14ac:dyDescent="0.3">
      <c r="A2830" t="s">
        <v>47</v>
      </c>
      <c r="B2830" t="str">
        <f>"000037"</f>
        <v>000037</v>
      </c>
      <c r="C2830" t="s">
        <v>6001</v>
      </c>
      <c r="D2830" t="s">
        <v>1293</v>
      </c>
      <c r="E2830">
        <v>2908640165</v>
      </c>
      <c r="F2830">
        <v>2764352666</v>
      </c>
      <c r="G2830">
        <v>3224956519</v>
      </c>
      <c r="H2830">
        <v>3161675893</v>
      </c>
      <c r="I2830">
        <v>3172002817</v>
      </c>
      <c r="J2830">
        <v>3409376209</v>
      </c>
      <c r="K2830">
        <v>4708633483</v>
      </c>
      <c r="L2830">
        <v>5417577449</v>
      </c>
      <c r="M2830">
        <v>5434280857</v>
      </c>
      <c r="N2830">
        <v>5650471030</v>
      </c>
      <c r="O2830">
        <v>5290472854</v>
      </c>
      <c r="P2830">
        <v>112</v>
      </c>
      <c r="Q2830" t="s">
        <v>6002</v>
      </c>
    </row>
    <row r="2831" spans="1:17" x14ac:dyDescent="0.3">
      <c r="A2831" t="s">
        <v>17</v>
      </c>
      <c r="B2831" t="str">
        <f>"600540"</f>
        <v>600540</v>
      </c>
      <c r="C2831" t="s">
        <v>6003</v>
      </c>
      <c r="D2831" t="s">
        <v>1780</v>
      </c>
      <c r="E2831">
        <v>2904512243</v>
      </c>
      <c r="F2831">
        <v>1408398808</v>
      </c>
      <c r="G2831">
        <v>1356664658</v>
      </c>
      <c r="H2831">
        <v>1574600100</v>
      </c>
      <c r="I2831">
        <v>2171892003</v>
      </c>
      <c r="J2831">
        <v>2348062503</v>
      </c>
      <c r="K2831">
        <v>2779930247</v>
      </c>
      <c r="L2831">
        <v>2943586311</v>
      </c>
      <c r="M2831">
        <v>2493271621</v>
      </c>
      <c r="N2831">
        <v>1972707801</v>
      </c>
      <c r="O2831">
        <v>2760806633</v>
      </c>
      <c r="P2831">
        <v>97</v>
      </c>
      <c r="Q2831" t="s">
        <v>6004</v>
      </c>
    </row>
    <row r="2832" spans="1:17" x14ac:dyDescent="0.3">
      <c r="A2832" t="s">
        <v>47</v>
      </c>
      <c r="B2832" t="str">
        <f>"300933"</f>
        <v>300933</v>
      </c>
      <c r="C2832" t="s">
        <v>6005</v>
      </c>
      <c r="D2832" t="s">
        <v>1616</v>
      </c>
      <c r="E2832">
        <v>2902381325</v>
      </c>
      <c r="F2832">
        <v>2422346506</v>
      </c>
      <c r="P2832">
        <v>30</v>
      </c>
      <c r="Q2832" t="s">
        <v>6006</v>
      </c>
    </row>
    <row r="2833" spans="1:17" x14ac:dyDescent="0.3">
      <c r="A2833" t="s">
        <v>47</v>
      </c>
      <c r="B2833" t="str">
        <f>"300430"</f>
        <v>300430</v>
      </c>
      <c r="C2833" t="s">
        <v>6007</v>
      </c>
      <c r="D2833" t="s">
        <v>1433</v>
      </c>
      <c r="E2833">
        <v>2901953746</v>
      </c>
      <c r="F2833">
        <v>2513682151</v>
      </c>
      <c r="G2833">
        <v>2331539045</v>
      </c>
      <c r="H2833">
        <v>2214775402</v>
      </c>
      <c r="I2833">
        <v>1958740226</v>
      </c>
      <c r="J2833">
        <v>931511155</v>
      </c>
      <c r="K2833">
        <v>894597770</v>
      </c>
      <c r="L2833">
        <v>959869466</v>
      </c>
      <c r="P2833">
        <v>95</v>
      </c>
      <c r="Q2833" t="s">
        <v>6008</v>
      </c>
    </row>
    <row r="2834" spans="1:17" x14ac:dyDescent="0.3">
      <c r="A2834" t="s">
        <v>47</v>
      </c>
      <c r="B2834" t="str">
        <f>"300322"</f>
        <v>300322</v>
      </c>
      <c r="C2834" t="s">
        <v>6009</v>
      </c>
      <c r="D2834" t="s">
        <v>283</v>
      </c>
      <c r="E2834">
        <v>2900619527</v>
      </c>
      <c r="F2834">
        <v>2976188038</v>
      </c>
      <c r="G2834">
        <v>1849920713</v>
      </c>
      <c r="H2834">
        <v>2000422150</v>
      </c>
      <c r="I2834">
        <v>1876540681</v>
      </c>
      <c r="J2834">
        <v>2359945395</v>
      </c>
      <c r="K2834">
        <v>2045232309</v>
      </c>
      <c r="L2834">
        <v>1069455793</v>
      </c>
      <c r="M2834">
        <v>862803276</v>
      </c>
      <c r="N2834">
        <v>604001552</v>
      </c>
      <c r="O2834">
        <v>270358317</v>
      </c>
      <c r="P2834">
        <v>387</v>
      </c>
      <c r="Q2834" t="s">
        <v>6010</v>
      </c>
    </row>
    <row r="2835" spans="1:17" x14ac:dyDescent="0.3">
      <c r="A2835" t="s">
        <v>47</v>
      </c>
      <c r="B2835" t="str">
        <f>"301179"</f>
        <v>301179</v>
      </c>
      <c r="C2835" t="s">
        <v>6011</v>
      </c>
      <c r="D2835" t="s">
        <v>679</v>
      </c>
      <c r="E2835">
        <v>2898166802</v>
      </c>
      <c r="P2835">
        <v>17</v>
      </c>
      <c r="Q2835" t="s">
        <v>6012</v>
      </c>
    </row>
    <row r="2836" spans="1:17" x14ac:dyDescent="0.3">
      <c r="A2836" t="s">
        <v>47</v>
      </c>
      <c r="B2836" t="str">
        <f>"300740"</f>
        <v>300740</v>
      </c>
      <c r="C2836" t="s">
        <v>6013</v>
      </c>
      <c r="D2836" t="s">
        <v>2419</v>
      </c>
      <c r="E2836">
        <v>2897218029</v>
      </c>
      <c r="F2836">
        <v>2169230121</v>
      </c>
      <c r="G2836">
        <v>1862867275</v>
      </c>
      <c r="H2836">
        <v>1728553847</v>
      </c>
      <c r="I2836">
        <v>1638254894</v>
      </c>
      <c r="P2836">
        <v>256</v>
      </c>
      <c r="Q2836" t="s">
        <v>6014</v>
      </c>
    </row>
    <row r="2837" spans="1:17" x14ac:dyDescent="0.3">
      <c r="A2837" t="s">
        <v>47</v>
      </c>
      <c r="B2837" t="str">
        <f>"000713"</f>
        <v>000713</v>
      </c>
      <c r="C2837" t="s">
        <v>6015</v>
      </c>
      <c r="D2837" t="s">
        <v>2235</v>
      </c>
      <c r="E2837">
        <v>2896704873</v>
      </c>
      <c r="F2837">
        <v>2710232356</v>
      </c>
      <c r="G2837">
        <v>2715606892</v>
      </c>
      <c r="H2837">
        <v>2466354707</v>
      </c>
      <c r="I2837">
        <v>2171907323</v>
      </c>
      <c r="J2837">
        <v>2050796271</v>
      </c>
      <c r="K2837">
        <v>1866091397</v>
      </c>
      <c r="L2837">
        <v>1809850538</v>
      </c>
      <c r="M2837">
        <v>1988744525</v>
      </c>
      <c r="N2837">
        <v>1783223366</v>
      </c>
      <c r="O2837">
        <v>1771626048</v>
      </c>
      <c r="P2837">
        <v>237</v>
      </c>
      <c r="Q2837" t="s">
        <v>6016</v>
      </c>
    </row>
    <row r="2838" spans="1:17" x14ac:dyDescent="0.3">
      <c r="A2838" t="s">
        <v>17</v>
      </c>
      <c r="B2838" t="str">
        <f>"600113"</f>
        <v>600113</v>
      </c>
      <c r="C2838" t="s">
        <v>6017</v>
      </c>
      <c r="D2838" t="s">
        <v>454</v>
      </c>
      <c r="E2838">
        <v>2896054557</v>
      </c>
      <c r="F2838">
        <v>2114838963</v>
      </c>
      <c r="G2838">
        <v>1914431933</v>
      </c>
      <c r="H2838">
        <v>1735977849</v>
      </c>
      <c r="I2838">
        <v>994302353</v>
      </c>
      <c r="J2838">
        <v>928516132</v>
      </c>
      <c r="K2838">
        <v>870790532</v>
      </c>
      <c r="L2838">
        <v>1187797212</v>
      </c>
      <c r="M2838">
        <v>1005703033</v>
      </c>
      <c r="N2838">
        <v>785088726</v>
      </c>
      <c r="O2838">
        <v>766711775</v>
      </c>
      <c r="P2838">
        <v>136</v>
      </c>
      <c r="Q2838" t="s">
        <v>6018</v>
      </c>
    </row>
    <row r="2839" spans="1:17" x14ac:dyDescent="0.3">
      <c r="A2839" t="s">
        <v>47</v>
      </c>
      <c r="B2839" t="str">
        <f>"001208"</f>
        <v>001208</v>
      </c>
      <c r="C2839" t="s">
        <v>6019</v>
      </c>
      <c r="D2839" t="s">
        <v>1616</v>
      </c>
      <c r="E2839">
        <v>2892458029</v>
      </c>
      <c r="F2839">
        <v>1754776151</v>
      </c>
      <c r="P2839">
        <v>66</v>
      </c>
      <c r="Q2839" t="s">
        <v>6020</v>
      </c>
    </row>
    <row r="2840" spans="1:17" x14ac:dyDescent="0.3">
      <c r="A2840" t="s">
        <v>47</v>
      </c>
      <c r="B2840" t="str">
        <f>"002712"</f>
        <v>002712</v>
      </c>
      <c r="C2840" t="s">
        <v>6021</v>
      </c>
      <c r="D2840" t="s">
        <v>1824</v>
      </c>
      <c r="E2840">
        <v>2888049026</v>
      </c>
      <c r="F2840">
        <v>2709370086</v>
      </c>
      <c r="G2840">
        <v>4097061705</v>
      </c>
      <c r="H2840">
        <v>4601112262</v>
      </c>
      <c r="I2840">
        <v>5253017198</v>
      </c>
      <c r="J2840">
        <v>4033737221</v>
      </c>
      <c r="K2840">
        <v>2072671503</v>
      </c>
      <c r="L2840">
        <v>1170607720</v>
      </c>
      <c r="M2840">
        <v>1006918613</v>
      </c>
      <c r="P2840">
        <v>107</v>
      </c>
      <c r="Q2840" t="s">
        <v>6022</v>
      </c>
    </row>
    <row r="2841" spans="1:17" x14ac:dyDescent="0.3">
      <c r="A2841" t="s">
        <v>17</v>
      </c>
      <c r="B2841" t="str">
        <f>"688072"</f>
        <v>688072</v>
      </c>
      <c r="C2841" t="s">
        <v>6023</v>
      </c>
      <c r="E2841">
        <v>2887617937</v>
      </c>
      <c r="F2841">
        <v>1898160147</v>
      </c>
      <c r="P2841">
        <v>5</v>
      </c>
      <c r="Q2841" t="s">
        <v>6024</v>
      </c>
    </row>
    <row r="2842" spans="1:17" x14ac:dyDescent="0.3">
      <c r="A2842" t="s">
        <v>47</v>
      </c>
      <c r="B2842" t="str">
        <f>"002172"</f>
        <v>002172</v>
      </c>
      <c r="C2842" t="s">
        <v>6025</v>
      </c>
      <c r="D2842" t="s">
        <v>1438</v>
      </c>
      <c r="E2842">
        <v>2882794247</v>
      </c>
      <c r="F2842">
        <v>6081789945</v>
      </c>
      <c r="G2842">
        <v>7133146178</v>
      </c>
      <c r="H2842">
        <v>7064356668</v>
      </c>
      <c r="I2842">
        <v>6196640972</v>
      </c>
      <c r="J2842">
        <v>4590220247</v>
      </c>
      <c r="K2842">
        <v>3872786286</v>
      </c>
      <c r="L2842">
        <v>2485179106</v>
      </c>
      <c r="M2842">
        <v>2832772494</v>
      </c>
      <c r="N2842">
        <v>3026844405</v>
      </c>
      <c r="O2842">
        <v>4057600511</v>
      </c>
      <c r="P2842">
        <v>141</v>
      </c>
      <c r="Q2842" t="s">
        <v>6026</v>
      </c>
    </row>
    <row r="2843" spans="1:17" x14ac:dyDescent="0.3">
      <c r="A2843" t="s">
        <v>47</v>
      </c>
      <c r="B2843" t="str">
        <f>"300065"</f>
        <v>300065</v>
      </c>
      <c r="C2843" t="s">
        <v>6027</v>
      </c>
      <c r="D2843" t="s">
        <v>351</v>
      </c>
      <c r="E2843">
        <v>2881851012</v>
      </c>
      <c r="F2843">
        <v>2865811971</v>
      </c>
      <c r="G2843">
        <v>2090295333</v>
      </c>
      <c r="H2843">
        <v>2197998909</v>
      </c>
      <c r="I2843">
        <v>2285050384</v>
      </c>
      <c r="J2843">
        <v>1828015949</v>
      </c>
      <c r="K2843">
        <v>1607831099</v>
      </c>
      <c r="L2843">
        <v>796230432</v>
      </c>
      <c r="M2843">
        <v>812678567</v>
      </c>
      <c r="N2843">
        <v>731705187</v>
      </c>
      <c r="O2843">
        <v>758300885</v>
      </c>
      <c r="P2843">
        <v>152</v>
      </c>
      <c r="Q2843" t="s">
        <v>6028</v>
      </c>
    </row>
    <row r="2844" spans="1:17" x14ac:dyDescent="0.3">
      <c r="A2844" t="s">
        <v>47</v>
      </c>
      <c r="B2844" t="str">
        <f>"002504"</f>
        <v>002504</v>
      </c>
      <c r="C2844" t="s">
        <v>6029</v>
      </c>
      <c r="D2844" t="s">
        <v>1163</v>
      </c>
      <c r="E2844">
        <v>2878787519</v>
      </c>
      <c r="F2844">
        <v>3507578310</v>
      </c>
      <c r="G2844">
        <v>3819248765</v>
      </c>
      <c r="H2844">
        <v>4747130921</v>
      </c>
      <c r="I2844">
        <v>4738386608</v>
      </c>
      <c r="J2844">
        <v>5510912927</v>
      </c>
      <c r="K2844">
        <v>3931547326</v>
      </c>
      <c r="L2844">
        <v>2682108961</v>
      </c>
      <c r="M2844">
        <v>959228165</v>
      </c>
      <c r="N2844">
        <v>887544338</v>
      </c>
      <c r="O2844">
        <v>778087707</v>
      </c>
      <c r="P2844">
        <v>66</v>
      </c>
      <c r="Q2844" t="s">
        <v>6030</v>
      </c>
    </row>
    <row r="2845" spans="1:17" x14ac:dyDescent="0.3">
      <c r="A2845" t="s">
        <v>17</v>
      </c>
      <c r="B2845" t="str">
        <f>"601798"</f>
        <v>601798</v>
      </c>
      <c r="C2845" t="s">
        <v>6031</v>
      </c>
      <c r="D2845" t="s">
        <v>607</v>
      </c>
      <c r="E2845">
        <v>2877520018</v>
      </c>
      <c r="F2845">
        <v>3084585465</v>
      </c>
      <c r="G2845">
        <v>3282977028</v>
      </c>
      <c r="H2845">
        <v>3056361041</v>
      </c>
      <c r="I2845">
        <v>3087441329</v>
      </c>
      <c r="J2845">
        <v>3121727168</v>
      </c>
      <c r="K2845">
        <v>2817181302</v>
      </c>
      <c r="L2845">
        <v>2809036368</v>
      </c>
      <c r="M2845">
        <v>2921627091</v>
      </c>
      <c r="N2845">
        <v>2947995186</v>
      </c>
      <c r="O2845">
        <v>2489300210</v>
      </c>
      <c r="P2845">
        <v>77</v>
      </c>
      <c r="Q2845" t="s">
        <v>6032</v>
      </c>
    </row>
    <row r="2846" spans="1:17" x14ac:dyDescent="0.3">
      <c r="A2846" t="s">
        <v>17</v>
      </c>
      <c r="B2846" t="str">
        <f>"603214"</f>
        <v>603214</v>
      </c>
      <c r="C2846" t="s">
        <v>6033</v>
      </c>
      <c r="D2846" t="s">
        <v>1904</v>
      </c>
      <c r="E2846">
        <v>2877021599</v>
      </c>
      <c r="F2846">
        <v>2238933456</v>
      </c>
      <c r="G2846">
        <v>1681775521</v>
      </c>
      <c r="H2846">
        <v>1441589133</v>
      </c>
      <c r="I2846">
        <v>1216676908</v>
      </c>
      <c r="P2846">
        <v>290</v>
      </c>
      <c r="Q2846" t="s">
        <v>6034</v>
      </c>
    </row>
    <row r="2847" spans="1:17" x14ac:dyDescent="0.3">
      <c r="A2847" t="s">
        <v>17</v>
      </c>
      <c r="B2847" t="str">
        <f>"600463"</f>
        <v>600463</v>
      </c>
      <c r="C2847" t="s">
        <v>6035</v>
      </c>
      <c r="D2847" t="s">
        <v>190</v>
      </c>
      <c r="E2847">
        <v>2876746234</v>
      </c>
      <c r="F2847">
        <v>2891552038</v>
      </c>
      <c r="G2847">
        <v>2836208848</v>
      </c>
      <c r="H2847">
        <v>2977057033</v>
      </c>
      <c r="I2847">
        <v>2898495128</v>
      </c>
      <c r="J2847">
        <v>2896311350</v>
      </c>
      <c r="K2847">
        <v>3000162629</v>
      </c>
      <c r="L2847">
        <v>2695557006</v>
      </c>
      <c r="M2847">
        <v>2481494375</v>
      </c>
      <c r="N2847">
        <v>2580022991</v>
      </c>
      <c r="O2847">
        <v>2278762869</v>
      </c>
      <c r="P2847">
        <v>66</v>
      </c>
      <c r="Q2847" t="s">
        <v>6036</v>
      </c>
    </row>
    <row r="2848" spans="1:17" x14ac:dyDescent="0.3">
      <c r="A2848" t="s">
        <v>47</v>
      </c>
      <c r="B2848" t="str">
        <f>"002369"</f>
        <v>002369</v>
      </c>
      <c r="C2848" t="s">
        <v>6037</v>
      </c>
      <c r="D2848" t="s">
        <v>283</v>
      </c>
      <c r="E2848">
        <v>2876723262</v>
      </c>
      <c r="F2848">
        <v>2869578689</v>
      </c>
      <c r="G2848">
        <v>3749050567</v>
      </c>
      <c r="H2848">
        <v>3293355600</v>
      </c>
      <c r="I2848">
        <v>4182348587</v>
      </c>
      <c r="J2848">
        <v>3450742615</v>
      </c>
      <c r="K2848">
        <v>3007557430</v>
      </c>
      <c r="L2848">
        <v>3070620430</v>
      </c>
      <c r="M2848">
        <v>2593712722</v>
      </c>
      <c r="N2848">
        <v>1939845346</v>
      </c>
      <c r="O2848">
        <v>1291115282</v>
      </c>
      <c r="P2848">
        <v>179</v>
      </c>
      <c r="Q2848" t="s">
        <v>6038</v>
      </c>
    </row>
    <row r="2849" spans="1:17" x14ac:dyDescent="0.3">
      <c r="A2849" t="s">
        <v>17</v>
      </c>
      <c r="B2849" t="str">
        <f>"600815"</f>
        <v>600815</v>
      </c>
      <c r="C2849" t="s">
        <v>6039</v>
      </c>
      <c r="D2849" t="s">
        <v>429</v>
      </c>
      <c r="E2849">
        <v>2875403866</v>
      </c>
      <c r="F2849">
        <v>3357395477</v>
      </c>
      <c r="G2849">
        <v>3725794060</v>
      </c>
      <c r="H2849">
        <v>4930927826</v>
      </c>
      <c r="I2849">
        <v>6382698485</v>
      </c>
      <c r="J2849">
        <v>8176797570</v>
      </c>
      <c r="K2849">
        <v>10108671407</v>
      </c>
      <c r="L2849">
        <v>10884530189</v>
      </c>
      <c r="M2849">
        <v>11582293636</v>
      </c>
      <c r="N2849">
        <v>11789120987</v>
      </c>
      <c r="O2849">
        <v>11643501885</v>
      </c>
      <c r="P2849">
        <v>67</v>
      </c>
      <c r="Q2849" t="s">
        <v>6040</v>
      </c>
    </row>
    <row r="2850" spans="1:17" x14ac:dyDescent="0.3">
      <c r="A2850" t="s">
        <v>47</v>
      </c>
      <c r="B2850" t="str">
        <f>"000757"</f>
        <v>000757</v>
      </c>
      <c r="C2850" t="s">
        <v>6041</v>
      </c>
      <c r="D2850" t="s">
        <v>3522</v>
      </c>
      <c r="E2850">
        <v>2873389143</v>
      </c>
      <c r="F2850">
        <v>2845912058</v>
      </c>
      <c r="G2850">
        <v>2835719995</v>
      </c>
      <c r="H2850">
        <v>1273862822</v>
      </c>
      <c r="I2850">
        <v>1150089480</v>
      </c>
      <c r="J2850">
        <v>979497327</v>
      </c>
      <c r="K2850">
        <v>866769681</v>
      </c>
      <c r="L2850">
        <v>867728557</v>
      </c>
      <c r="M2850">
        <v>527140057</v>
      </c>
      <c r="N2850">
        <v>485951511</v>
      </c>
      <c r="O2850">
        <v>469357541</v>
      </c>
      <c r="P2850">
        <v>88</v>
      </c>
      <c r="Q2850" t="s">
        <v>6042</v>
      </c>
    </row>
    <row r="2851" spans="1:17" x14ac:dyDescent="0.3">
      <c r="A2851" t="s">
        <v>47</v>
      </c>
      <c r="B2851" t="str">
        <f>"000777"</f>
        <v>000777</v>
      </c>
      <c r="C2851" t="s">
        <v>6043</v>
      </c>
      <c r="D2851" t="s">
        <v>401</v>
      </c>
      <c r="E2851">
        <v>2870731852</v>
      </c>
      <c r="F2851">
        <v>2595138781</v>
      </c>
      <c r="G2851">
        <v>2309591719</v>
      </c>
      <c r="H2851">
        <v>2213258930</v>
      </c>
      <c r="I2851">
        <v>2060745394</v>
      </c>
      <c r="J2851">
        <v>1861762886</v>
      </c>
      <c r="K2851">
        <v>1802787925</v>
      </c>
      <c r="L2851">
        <v>1823117468</v>
      </c>
      <c r="M2851">
        <v>1864801192</v>
      </c>
      <c r="N2851">
        <v>1748147516</v>
      </c>
      <c r="O2851">
        <v>1659116051</v>
      </c>
      <c r="P2851">
        <v>131</v>
      </c>
      <c r="Q2851" t="s">
        <v>6044</v>
      </c>
    </row>
    <row r="2852" spans="1:17" x14ac:dyDescent="0.3">
      <c r="A2852" t="s">
        <v>47</v>
      </c>
      <c r="B2852" t="str">
        <f>"300172"</f>
        <v>300172</v>
      </c>
      <c r="C2852" t="s">
        <v>6045</v>
      </c>
      <c r="D2852" t="s">
        <v>520</v>
      </c>
      <c r="E2852">
        <v>2867069888</v>
      </c>
      <c r="F2852">
        <v>2655408849</v>
      </c>
      <c r="G2852">
        <v>2520987431</v>
      </c>
      <c r="H2852">
        <v>2287386814</v>
      </c>
      <c r="I2852">
        <v>2049950266</v>
      </c>
      <c r="J2852">
        <v>1753842000</v>
      </c>
      <c r="K2852">
        <v>1517519657</v>
      </c>
      <c r="L2852">
        <v>1315548679</v>
      </c>
      <c r="M2852">
        <v>1225538596</v>
      </c>
      <c r="N2852">
        <v>1047036069</v>
      </c>
      <c r="O2852">
        <v>937636329</v>
      </c>
      <c r="P2852">
        <v>110</v>
      </c>
      <c r="Q2852" t="s">
        <v>6046</v>
      </c>
    </row>
    <row r="2853" spans="1:17" x14ac:dyDescent="0.3">
      <c r="A2853" t="s">
        <v>47</v>
      </c>
      <c r="B2853" t="str">
        <f>"300869"</f>
        <v>300869</v>
      </c>
      <c r="C2853" t="s">
        <v>6047</v>
      </c>
      <c r="D2853" t="s">
        <v>1083</v>
      </c>
      <c r="E2853">
        <v>2865183147</v>
      </c>
      <c r="F2853">
        <v>2534849026</v>
      </c>
      <c r="P2853">
        <v>174</v>
      </c>
      <c r="Q2853" t="s">
        <v>6048</v>
      </c>
    </row>
    <row r="2854" spans="1:17" x14ac:dyDescent="0.3">
      <c r="A2854" t="s">
        <v>47</v>
      </c>
      <c r="B2854" t="str">
        <f>"300113"</f>
        <v>300113</v>
      </c>
      <c r="C2854" t="s">
        <v>6049</v>
      </c>
      <c r="D2854" t="s">
        <v>1032</v>
      </c>
      <c r="E2854">
        <v>2862757520</v>
      </c>
      <c r="F2854">
        <v>3020163552</v>
      </c>
      <c r="G2854">
        <v>3205595779</v>
      </c>
      <c r="H2854">
        <v>3806659788</v>
      </c>
      <c r="I2854">
        <v>4121407957</v>
      </c>
      <c r="J2854">
        <v>3473539154</v>
      </c>
      <c r="K2854">
        <v>2726226547</v>
      </c>
      <c r="L2854">
        <v>1337662827</v>
      </c>
      <c r="M2854">
        <v>1077171510</v>
      </c>
      <c r="N2854">
        <v>902317880</v>
      </c>
      <c r="O2854">
        <v>786854058</v>
      </c>
      <c r="P2854">
        <v>481</v>
      </c>
      <c r="Q2854" t="s">
        <v>6050</v>
      </c>
    </row>
    <row r="2855" spans="1:17" x14ac:dyDescent="0.3">
      <c r="A2855" t="s">
        <v>17</v>
      </c>
      <c r="B2855" t="str">
        <f>"600822"</f>
        <v>600822</v>
      </c>
      <c r="C2855" t="s">
        <v>6051</v>
      </c>
      <c r="D2855" t="s">
        <v>462</v>
      </c>
      <c r="E2855">
        <v>2862668599</v>
      </c>
      <c r="F2855">
        <v>1775003520</v>
      </c>
      <c r="G2855">
        <v>1738346455</v>
      </c>
      <c r="H2855">
        <v>1731338959</v>
      </c>
      <c r="I2855">
        <v>2131864560</v>
      </c>
      <c r="J2855">
        <v>1982703149</v>
      </c>
      <c r="K2855">
        <v>4617703433</v>
      </c>
      <c r="L2855">
        <v>9369195178</v>
      </c>
      <c r="M2855">
        <v>11522278507</v>
      </c>
      <c r="N2855">
        <v>13222096778</v>
      </c>
      <c r="O2855">
        <v>12377859162</v>
      </c>
      <c r="P2855">
        <v>75</v>
      </c>
      <c r="Q2855" t="s">
        <v>6052</v>
      </c>
    </row>
    <row r="2856" spans="1:17" x14ac:dyDescent="0.3">
      <c r="A2856" t="s">
        <v>47</v>
      </c>
      <c r="B2856" t="str">
        <f>"300532"</f>
        <v>300532</v>
      </c>
      <c r="C2856" t="s">
        <v>6053</v>
      </c>
      <c r="D2856" t="s">
        <v>700</v>
      </c>
      <c r="E2856">
        <v>2862474660</v>
      </c>
      <c r="F2856">
        <v>2311087178</v>
      </c>
      <c r="G2856">
        <v>1792031572</v>
      </c>
      <c r="H2856">
        <v>1646196018</v>
      </c>
      <c r="I2856">
        <v>1340076461</v>
      </c>
      <c r="J2856">
        <v>1115585474</v>
      </c>
      <c r="K2856">
        <v>772623145</v>
      </c>
      <c r="P2856">
        <v>220</v>
      </c>
      <c r="Q2856" t="s">
        <v>6054</v>
      </c>
    </row>
    <row r="2857" spans="1:17" x14ac:dyDescent="0.3">
      <c r="A2857" t="s">
        <v>47</v>
      </c>
      <c r="B2857" t="str">
        <f>"002650"</f>
        <v>002650</v>
      </c>
      <c r="C2857" t="s">
        <v>6055</v>
      </c>
      <c r="D2857" t="s">
        <v>1241</v>
      </c>
      <c r="E2857">
        <v>2861934715</v>
      </c>
      <c r="F2857">
        <v>3122826510</v>
      </c>
      <c r="G2857">
        <v>2782909255</v>
      </c>
      <c r="H2857">
        <v>2605851641</v>
      </c>
      <c r="I2857">
        <v>2845490824</v>
      </c>
      <c r="J2857">
        <v>2877862690</v>
      </c>
      <c r="K2857">
        <v>2722274239</v>
      </c>
      <c r="L2857">
        <v>2246330772</v>
      </c>
      <c r="M2857">
        <v>2442139749</v>
      </c>
      <c r="N2857">
        <v>1940998610</v>
      </c>
      <c r="O2857">
        <v>1842869998</v>
      </c>
      <c r="P2857">
        <v>207</v>
      </c>
      <c r="Q2857" t="s">
        <v>6056</v>
      </c>
    </row>
    <row r="2858" spans="1:17" x14ac:dyDescent="0.3">
      <c r="A2858" t="s">
        <v>17</v>
      </c>
      <c r="B2858" t="str">
        <f>"688513"</f>
        <v>688513</v>
      </c>
      <c r="C2858" t="s">
        <v>6057</v>
      </c>
      <c r="D2858" t="s">
        <v>550</v>
      </c>
      <c r="E2858">
        <v>2861798804</v>
      </c>
      <c r="F2858">
        <v>2556132835</v>
      </c>
      <c r="P2858">
        <v>58</v>
      </c>
      <c r="Q2858" t="s">
        <v>6058</v>
      </c>
    </row>
    <row r="2859" spans="1:17" x14ac:dyDescent="0.3">
      <c r="A2859" t="s">
        <v>47</v>
      </c>
      <c r="B2859" t="str">
        <f>"002753"</f>
        <v>002753</v>
      </c>
      <c r="C2859" t="s">
        <v>6059</v>
      </c>
      <c r="D2859" t="s">
        <v>3283</v>
      </c>
      <c r="E2859">
        <v>2861323215</v>
      </c>
      <c r="F2859">
        <v>2678396855</v>
      </c>
      <c r="G2859">
        <v>2352073615</v>
      </c>
      <c r="H2859">
        <v>2039999220</v>
      </c>
      <c r="I2859">
        <v>1821811094</v>
      </c>
      <c r="J2859">
        <v>1185555251</v>
      </c>
      <c r="K2859">
        <v>1032265512</v>
      </c>
      <c r="L2859">
        <v>801008900</v>
      </c>
      <c r="P2859">
        <v>170</v>
      </c>
      <c r="Q2859" t="s">
        <v>6060</v>
      </c>
    </row>
    <row r="2860" spans="1:17" x14ac:dyDescent="0.3">
      <c r="A2860" t="s">
        <v>17</v>
      </c>
      <c r="B2860" t="str">
        <f>"603339"</f>
        <v>603339</v>
      </c>
      <c r="C2860" t="s">
        <v>6061</v>
      </c>
      <c r="D2860" t="s">
        <v>2730</v>
      </c>
      <c r="E2860">
        <v>2860079299</v>
      </c>
      <c r="F2860">
        <v>2503492881</v>
      </c>
      <c r="G2860">
        <v>2386924943</v>
      </c>
      <c r="H2860">
        <v>2234662771</v>
      </c>
      <c r="I2860">
        <v>1812449357</v>
      </c>
      <c r="J2860">
        <v>1624948477</v>
      </c>
      <c r="K2860">
        <v>875800483</v>
      </c>
      <c r="P2860">
        <v>163</v>
      </c>
      <c r="Q2860" t="s">
        <v>6062</v>
      </c>
    </row>
    <row r="2861" spans="1:17" x14ac:dyDescent="0.3">
      <c r="A2861" t="s">
        <v>17</v>
      </c>
      <c r="B2861" t="str">
        <f>"603998"</f>
        <v>603998</v>
      </c>
      <c r="C2861" t="s">
        <v>6063</v>
      </c>
      <c r="D2861" t="s">
        <v>695</v>
      </c>
      <c r="E2861">
        <v>2853199831</v>
      </c>
      <c r="F2861">
        <v>2253741235</v>
      </c>
      <c r="G2861">
        <v>2073835150</v>
      </c>
      <c r="H2861">
        <v>1681165516</v>
      </c>
      <c r="I2861">
        <v>1411134246</v>
      </c>
      <c r="J2861">
        <v>1294023391</v>
      </c>
      <c r="K2861">
        <v>1060887143</v>
      </c>
      <c r="L2861">
        <v>946378391</v>
      </c>
      <c r="P2861">
        <v>126</v>
      </c>
      <c r="Q2861" t="s">
        <v>6064</v>
      </c>
    </row>
    <row r="2862" spans="1:17" x14ac:dyDescent="0.3">
      <c r="A2862" t="s">
        <v>47</v>
      </c>
      <c r="B2862" t="str">
        <f>"002566"</f>
        <v>002566</v>
      </c>
      <c r="C2862" t="s">
        <v>6065</v>
      </c>
      <c r="D2862" t="s">
        <v>695</v>
      </c>
      <c r="E2862">
        <v>2850618839</v>
      </c>
      <c r="F2862">
        <v>2768818814</v>
      </c>
      <c r="G2862">
        <v>2503032462</v>
      </c>
      <c r="H2862">
        <v>2611298935</v>
      </c>
      <c r="I2862">
        <v>2656394579</v>
      </c>
      <c r="J2862">
        <v>2714914789</v>
      </c>
      <c r="K2862">
        <v>2709011628</v>
      </c>
      <c r="L2862">
        <v>2724239730</v>
      </c>
      <c r="M2862">
        <v>2014862823</v>
      </c>
      <c r="N2862">
        <v>1686348049</v>
      </c>
      <c r="O2862">
        <v>1581160491</v>
      </c>
      <c r="P2862">
        <v>134</v>
      </c>
      <c r="Q2862" t="s">
        <v>6066</v>
      </c>
    </row>
    <row r="2863" spans="1:17" x14ac:dyDescent="0.3">
      <c r="A2863" t="s">
        <v>47</v>
      </c>
      <c r="B2863" t="str">
        <f>"300077"</f>
        <v>300077</v>
      </c>
      <c r="C2863" t="s">
        <v>6067</v>
      </c>
      <c r="D2863" t="s">
        <v>967</v>
      </c>
      <c r="E2863">
        <v>2849516322</v>
      </c>
      <c r="F2863">
        <v>2137224163</v>
      </c>
      <c r="G2863">
        <v>2020256874</v>
      </c>
      <c r="H2863">
        <v>3132678378</v>
      </c>
      <c r="I2863">
        <v>4741342522</v>
      </c>
      <c r="J2863">
        <v>3293219023</v>
      </c>
      <c r="K2863">
        <v>3189185188</v>
      </c>
      <c r="L2863">
        <v>2867191803</v>
      </c>
      <c r="M2863">
        <v>2846318086</v>
      </c>
      <c r="N2863">
        <v>2873889536</v>
      </c>
      <c r="O2863">
        <v>2916501188</v>
      </c>
      <c r="P2863">
        <v>3150</v>
      </c>
      <c r="Q2863" t="s">
        <v>6068</v>
      </c>
    </row>
    <row r="2864" spans="1:17" x14ac:dyDescent="0.3">
      <c r="A2864" t="s">
        <v>47</v>
      </c>
      <c r="B2864" t="str">
        <f>"300486"</f>
        <v>300486</v>
      </c>
      <c r="C2864" t="s">
        <v>6069</v>
      </c>
      <c r="D2864" t="s">
        <v>4037</v>
      </c>
      <c r="E2864">
        <v>2849288982</v>
      </c>
      <c r="F2864">
        <v>3009996511</v>
      </c>
      <c r="G2864">
        <v>2349667888</v>
      </c>
      <c r="H2864">
        <v>2168455342</v>
      </c>
      <c r="I2864">
        <v>1553255520</v>
      </c>
      <c r="J2864">
        <v>1047412664</v>
      </c>
      <c r="K2864">
        <v>979363242</v>
      </c>
      <c r="L2864">
        <v>645220806</v>
      </c>
      <c r="P2864">
        <v>74</v>
      </c>
      <c r="Q2864" t="s">
        <v>6070</v>
      </c>
    </row>
    <row r="2865" spans="1:17" x14ac:dyDescent="0.3">
      <c r="A2865" t="s">
        <v>17</v>
      </c>
      <c r="B2865" t="str">
        <f>"688368"</f>
        <v>688368</v>
      </c>
      <c r="C2865" t="s">
        <v>6071</v>
      </c>
      <c r="D2865" t="s">
        <v>2795</v>
      </c>
      <c r="E2865">
        <v>2848505609</v>
      </c>
      <c r="F2865">
        <v>1766944757</v>
      </c>
      <c r="G2865">
        <v>1419699706</v>
      </c>
      <c r="J2865">
        <v>314365048</v>
      </c>
      <c r="P2865">
        <v>213</v>
      </c>
      <c r="Q2865" t="s">
        <v>6072</v>
      </c>
    </row>
    <row r="2866" spans="1:17" x14ac:dyDescent="0.3">
      <c r="A2866" t="s">
        <v>47</v>
      </c>
      <c r="B2866" t="str">
        <f>"300121"</f>
        <v>300121</v>
      </c>
      <c r="C2866" t="s">
        <v>6073</v>
      </c>
      <c r="D2866" t="s">
        <v>3781</v>
      </c>
      <c r="E2866">
        <v>2845967514</v>
      </c>
      <c r="F2866">
        <v>2394972580</v>
      </c>
      <c r="G2866">
        <v>2136770831</v>
      </c>
      <c r="H2866">
        <v>2284987137</v>
      </c>
      <c r="I2866">
        <v>2329012482</v>
      </c>
      <c r="J2866">
        <v>1373467694</v>
      </c>
      <c r="K2866">
        <v>1278257697</v>
      </c>
      <c r="L2866">
        <v>1396842800</v>
      </c>
      <c r="M2866">
        <v>1188278661</v>
      </c>
      <c r="N2866">
        <v>955354171</v>
      </c>
      <c r="O2866">
        <v>575690499</v>
      </c>
      <c r="P2866">
        <v>353</v>
      </c>
      <c r="Q2866" t="s">
        <v>6074</v>
      </c>
    </row>
    <row r="2867" spans="1:17" x14ac:dyDescent="0.3">
      <c r="A2867" t="s">
        <v>47</v>
      </c>
      <c r="B2867" t="str">
        <f>"002787"</f>
        <v>002787</v>
      </c>
      <c r="C2867" t="s">
        <v>6075</v>
      </c>
      <c r="D2867" t="s">
        <v>1913</v>
      </c>
      <c r="E2867">
        <v>2840205636</v>
      </c>
      <c r="F2867">
        <v>2814482948</v>
      </c>
      <c r="G2867">
        <v>2353710641</v>
      </c>
      <c r="H2867">
        <v>2247244194</v>
      </c>
      <c r="I2867">
        <v>1380557536</v>
      </c>
      <c r="J2867">
        <v>1256139542</v>
      </c>
      <c r="K2867">
        <v>1121685632</v>
      </c>
      <c r="L2867">
        <v>859150782</v>
      </c>
      <c r="P2867">
        <v>102</v>
      </c>
      <c r="Q2867" t="s">
        <v>6076</v>
      </c>
    </row>
    <row r="2868" spans="1:17" x14ac:dyDescent="0.3">
      <c r="A2868" t="s">
        <v>47</v>
      </c>
      <c r="B2868" t="str">
        <f>"301199"</f>
        <v>301199</v>
      </c>
      <c r="C2868" t="s">
        <v>6077</v>
      </c>
      <c r="D2868" t="s">
        <v>2592</v>
      </c>
      <c r="E2868">
        <v>2839647804</v>
      </c>
      <c r="P2868">
        <v>10</v>
      </c>
      <c r="Q2868" t="s">
        <v>6078</v>
      </c>
    </row>
    <row r="2869" spans="1:17" x14ac:dyDescent="0.3">
      <c r="A2869" t="s">
        <v>47</v>
      </c>
      <c r="B2869" t="str">
        <f>"002561"</f>
        <v>002561</v>
      </c>
      <c r="C2869" t="s">
        <v>6079</v>
      </c>
      <c r="D2869" t="s">
        <v>1073</v>
      </c>
      <c r="E2869">
        <v>2839128531</v>
      </c>
      <c r="F2869">
        <v>2866848279</v>
      </c>
      <c r="G2869">
        <v>2654639016</v>
      </c>
      <c r="H2869">
        <v>2744964012</v>
      </c>
      <c r="I2869">
        <v>2698108441</v>
      </c>
      <c r="J2869">
        <v>2571985152</v>
      </c>
      <c r="K2869">
        <v>2508510564</v>
      </c>
      <c r="L2869">
        <v>2402079469</v>
      </c>
      <c r="M2869">
        <v>2234007468</v>
      </c>
      <c r="N2869">
        <v>2176583787</v>
      </c>
      <c r="O2869">
        <v>1926787617</v>
      </c>
      <c r="P2869">
        <v>183</v>
      </c>
      <c r="Q2869" t="s">
        <v>6080</v>
      </c>
    </row>
    <row r="2870" spans="1:17" x14ac:dyDescent="0.3">
      <c r="A2870" t="s">
        <v>17</v>
      </c>
      <c r="B2870" t="str">
        <f>"603867"</f>
        <v>603867</v>
      </c>
      <c r="C2870" t="s">
        <v>6081</v>
      </c>
      <c r="D2870" t="s">
        <v>710</v>
      </c>
      <c r="E2870">
        <v>2838478255</v>
      </c>
      <c r="F2870">
        <v>2666626910</v>
      </c>
      <c r="G2870">
        <v>2170599802</v>
      </c>
      <c r="H2870">
        <v>1677938800</v>
      </c>
      <c r="P2870">
        <v>88</v>
      </c>
      <c r="Q2870" t="s">
        <v>6082</v>
      </c>
    </row>
    <row r="2871" spans="1:17" x14ac:dyDescent="0.3">
      <c r="A2871" t="s">
        <v>47</v>
      </c>
      <c r="B2871" t="str">
        <f>"301029"</f>
        <v>301029</v>
      </c>
      <c r="C2871" t="s">
        <v>6083</v>
      </c>
      <c r="D2871" t="s">
        <v>4037</v>
      </c>
      <c r="E2871">
        <v>2837919552</v>
      </c>
      <c r="F2871">
        <v>1753251858</v>
      </c>
      <c r="P2871">
        <v>67</v>
      </c>
      <c r="Q2871" t="s">
        <v>6084</v>
      </c>
    </row>
    <row r="2872" spans="1:17" x14ac:dyDescent="0.3">
      <c r="A2872" t="s">
        <v>47</v>
      </c>
      <c r="B2872" t="str">
        <f>"300317"</f>
        <v>300317</v>
      </c>
      <c r="C2872" t="s">
        <v>6085</v>
      </c>
      <c r="D2872" t="s">
        <v>976</v>
      </c>
      <c r="E2872">
        <v>2837057711</v>
      </c>
      <c r="F2872">
        <v>3393670744</v>
      </c>
      <c r="G2872">
        <v>4306761007</v>
      </c>
      <c r="H2872">
        <v>6792543231</v>
      </c>
      <c r="I2872">
        <v>9068829691</v>
      </c>
      <c r="J2872">
        <v>9303560866</v>
      </c>
      <c r="K2872">
        <v>6646542446</v>
      </c>
      <c r="L2872">
        <v>1421531066</v>
      </c>
      <c r="M2872">
        <v>1128552354</v>
      </c>
      <c r="N2872">
        <v>1075895720</v>
      </c>
      <c r="O2872">
        <v>575897190</v>
      </c>
      <c r="P2872">
        <v>142</v>
      </c>
      <c r="Q2872" t="s">
        <v>6086</v>
      </c>
    </row>
    <row r="2873" spans="1:17" x14ac:dyDescent="0.3">
      <c r="A2873" t="s">
        <v>47</v>
      </c>
      <c r="B2873" t="str">
        <f>"300193"</f>
        <v>300193</v>
      </c>
      <c r="C2873" t="s">
        <v>6087</v>
      </c>
      <c r="D2873" t="s">
        <v>1433</v>
      </c>
      <c r="E2873">
        <v>2834041794</v>
      </c>
      <c r="F2873">
        <v>2792221991</v>
      </c>
      <c r="G2873">
        <v>2540284467</v>
      </c>
      <c r="H2873">
        <v>2802781524</v>
      </c>
      <c r="I2873">
        <v>2650831883</v>
      </c>
      <c r="J2873">
        <v>2501427289</v>
      </c>
      <c r="K2873">
        <v>2344145202</v>
      </c>
      <c r="L2873">
        <v>2123557750</v>
      </c>
      <c r="M2873">
        <v>2133197913</v>
      </c>
      <c r="N2873">
        <v>2074311012</v>
      </c>
      <c r="O2873">
        <v>2080420510</v>
      </c>
      <c r="P2873">
        <v>154</v>
      </c>
      <c r="Q2873" t="s">
        <v>6088</v>
      </c>
    </row>
    <row r="2874" spans="1:17" x14ac:dyDescent="0.3">
      <c r="A2874" t="s">
        <v>47</v>
      </c>
      <c r="B2874" t="str">
        <f>"300213"</f>
        <v>300213</v>
      </c>
      <c r="C2874" t="s">
        <v>6089</v>
      </c>
      <c r="D2874" t="s">
        <v>4914</v>
      </c>
      <c r="E2874">
        <v>2833918566</v>
      </c>
      <c r="F2874">
        <v>2938160366</v>
      </c>
      <c r="G2874">
        <v>2987290407</v>
      </c>
      <c r="H2874">
        <v>3055157059</v>
      </c>
      <c r="I2874">
        <v>2974472665</v>
      </c>
      <c r="J2874">
        <v>2279521485</v>
      </c>
      <c r="K2874">
        <v>1521337994</v>
      </c>
      <c r="L2874">
        <v>1400033369</v>
      </c>
      <c r="M2874">
        <v>1048698633</v>
      </c>
      <c r="N2874">
        <v>898202371</v>
      </c>
      <c r="O2874">
        <v>755166581</v>
      </c>
      <c r="P2874">
        <v>188</v>
      </c>
      <c r="Q2874" t="s">
        <v>6090</v>
      </c>
    </row>
    <row r="2875" spans="1:17" x14ac:dyDescent="0.3">
      <c r="A2875" t="s">
        <v>47</v>
      </c>
      <c r="B2875" t="str">
        <f>"002696"</f>
        <v>002696</v>
      </c>
      <c r="C2875" t="s">
        <v>6091</v>
      </c>
      <c r="D2875" t="s">
        <v>3602</v>
      </c>
      <c r="E2875">
        <v>2829873191</v>
      </c>
      <c r="F2875">
        <v>2703838134</v>
      </c>
      <c r="G2875">
        <v>2892255253</v>
      </c>
      <c r="H2875">
        <v>3796761386</v>
      </c>
      <c r="I2875">
        <v>3471165197</v>
      </c>
      <c r="J2875">
        <v>1851402174</v>
      </c>
      <c r="K2875">
        <v>1772211360</v>
      </c>
      <c r="L2875">
        <v>1579559809</v>
      </c>
      <c r="M2875">
        <v>1318563781</v>
      </c>
      <c r="N2875">
        <v>1174852165</v>
      </c>
      <c r="P2875">
        <v>93</v>
      </c>
      <c r="Q2875" t="s">
        <v>6092</v>
      </c>
    </row>
    <row r="2876" spans="1:17" x14ac:dyDescent="0.3">
      <c r="A2876" t="s">
        <v>17</v>
      </c>
      <c r="B2876" t="str">
        <f>"605108"</f>
        <v>605108</v>
      </c>
      <c r="C2876" t="s">
        <v>6093</v>
      </c>
      <c r="D2876" t="s">
        <v>6094</v>
      </c>
      <c r="E2876">
        <v>2828148454</v>
      </c>
      <c r="F2876">
        <v>2644354981</v>
      </c>
      <c r="G2876">
        <v>1432344597</v>
      </c>
      <c r="P2876">
        <v>104</v>
      </c>
      <c r="Q2876" t="s">
        <v>6095</v>
      </c>
    </row>
    <row r="2877" spans="1:17" x14ac:dyDescent="0.3">
      <c r="A2877" t="s">
        <v>47</v>
      </c>
      <c r="B2877" t="str">
        <f>"300686"</f>
        <v>300686</v>
      </c>
      <c r="C2877" t="s">
        <v>6096</v>
      </c>
      <c r="D2877" t="s">
        <v>283</v>
      </c>
      <c r="E2877">
        <v>2828002371</v>
      </c>
      <c r="F2877">
        <v>3131934142</v>
      </c>
      <c r="G2877">
        <v>1875410517</v>
      </c>
      <c r="H2877">
        <v>1584212531</v>
      </c>
      <c r="I2877">
        <v>953085026</v>
      </c>
      <c r="J2877">
        <v>533470281</v>
      </c>
      <c r="P2877">
        <v>192</v>
      </c>
      <c r="Q2877" t="s">
        <v>6097</v>
      </c>
    </row>
    <row r="2878" spans="1:17" x14ac:dyDescent="0.3">
      <c r="A2878" t="s">
        <v>17</v>
      </c>
      <c r="B2878" t="str">
        <f>"603085"</f>
        <v>603085</v>
      </c>
      <c r="C2878" t="s">
        <v>6098</v>
      </c>
      <c r="D2878" t="s">
        <v>416</v>
      </c>
      <c r="E2878">
        <v>2825202923</v>
      </c>
      <c r="F2878">
        <v>2633573058</v>
      </c>
      <c r="G2878">
        <v>2440031149</v>
      </c>
      <c r="H2878">
        <v>2464004469</v>
      </c>
      <c r="I2878">
        <v>1581770308</v>
      </c>
      <c r="J2878">
        <v>1139853846</v>
      </c>
      <c r="K2878">
        <v>542092571</v>
      </c>
      <c r="P2878">
        <v>81</v>
      </c>
      <c r="Q2878" t="s">
        <v>6099</v>
      </c>
    </row>
    <row r="2879" spans="1:17" x14ac:dyDescent="0.3">
      <c r="A2879" t="s">
        <v>47</v>
      </c>
      <c r="B2879" t="str">
        <f>"300067"</f>
        <v>300067</v>
      </c>
      <c r="C2879" t="s">
        <v>6100</v>
      </c>
      <c r="D2879" t="s">
        <v>703</v>
      </c>
      <c r="E2879">
        <v>2814861137</v>
      </c>
      <c r="F2879">
        <v>2401798907</v>
      </c>
      <c r="G2879">
        <v>2126338050</v>
      </c>
      <c r="H2879">
        <v>1975523776</v>
      </c>
      <c r="I2879">
        <v>1878076935</v>
      </c>
      <c r="J2879">
        <v>1625719681</v>
      </c>
      <c r="K2879">
        <v>1533888177</v>
      </c>
      <c r="L2879">
        <v>1143916965</v>
      </c>
      <c r="M2879">
        <v>935135321</v>
      </c>
      <c r="N2879">
        <v>761911699</v>
      </c>
      <c r="O2879">
        <v>756837543</v>
      </c>
      <c r="P2879">
        <v>100</v>
      </c>
      <c r="Q2879" t="s">
        <v>6101</v>
      </c>
    </row>
    <row r="2880" spans="1:17" x14ac:dyDescent="0.3">
      <c r="A2880" t="s">
        <v>17</v>
      </c>
      <c r="B2880" t="str">
        <f>"605288"</f>
        <v>605288</v>
      </c>
      <c r="C2880" t="s">
        <v>6102</v>
      </c>
      <c r="D2880" t="s">
        <v>1360</v>
      </c>
      <c r="E2880">
        <v>2814308694</v>
      </c>
      <c r="F2880">
        <v>2714301252</v>
      </c>
      <c r="G2880">
        <v>1201638199</v>
      </c>
      <c r="P2880">
        <v>86</v>
      </c>
      <c r="Q2880" t="s">
        <v>6103</v>
      </c>
    </row>
    <row r="2881" spans="1:17" x14ac:dyDescent="0.3">
      <c r="A2881" t="s">
        <v>47</v>
      </c>
      <c r="B2881" t="str">
        <f>"300365"</f>
        <v>300365</v>
      </c>
      <c r="C2881" t="s">
        <v>6104</v>
      </c>
      <c r="D2881" t="s">
        <v>1859</v>
      </c>
      <c r="E2881">
        <v>2813501097</v>
      </c>
      <c r="F2881">
        <v>2690830694</v>
      </c>
      <c r="G2881">
        <v>2775862903</v>
      </c>
      <c r="H2881">
        <v>2489729294</v>
      </c>
      <c r="I2881">
        <v>1933861430</v>
      </c>
      <c r="J2881">
        <v>988820662</v>
      </c>
      <c r="K2881">
        <v>749757748</v>
      </c>
      <c r="L2881">
        <v>545907765</v>
      </c>
      <c r="M2881">
        <v>506452140</v>
      </c>
      <c r="P2881">
        <v>334</v>
      </c>
      <c r="Q2881" t="s">
        <v>6105</v>
      </c>
    </row>
    <row r="2882" spans="1:17" x14ac:dyDescent="0.3">
      <c r="A2882" t="s">
        <v>47</v>
      </c>
      <c r="B2882" t="str">
        <f>"002811"</f>
        <v>002811</v>
      </c>
      <c r="C2882" t="s">
        <v>6106</v>
      </c>
      <c r="D2882" t="s">
        <v>1163</v>
      </c>
      <c r="E2882">
        <v>2813387614</v>
      </c>
      <c r="F2882">
        <v>2971114552</v>
      </c>
      <c r="G2882">
        <v>3264585554</v>
      </c>
      <c r="H2882">
        <v>2624412127</v>
      </c>
      <c r="I2882">
        <v>2544975058</v>
      </c>
      <c r="J2882">
        <v>2381791935</v>
      </c>
      <c r="P2882">
        <v>95</v>
      </c>
      <c r="Q2882" t="s">
        <v>6107</v>
      </c>
    </row>
    <row r="2883" spans="1:17" x14ac:dyDescent="0.3">
      <c r="A2883" t="s">
        <v>47</v>
      </c>
      <c r="B2883" t="str">
        <f>"300599"</f>
        <v>300599</v>
      </c>
      <c r="C2883" t="s">
        <v>6108</v>
      </c>
      <c r="D2883" t="s">
        <v>2927</v>
      </c>
      <c r="E2883">
        <v>2811985933</v>
      </c>
      <c r="F2883">
        <v>2217674333</v>
      </c>
      <c r="G2883">
        <v>1942833720</v>
      </c>
      <c r="H2883">
        <v>1767145242</v>
      </c>
      <c r="I2883">
        <v>1636856145</v>
      </c>
      <c r="J2883">
        <v>1576654284</v>
      </c>
      <c r="P2883">
        <v>102</v>
      </c>
      <c r="Q2883" t="s">
        <v>6109</v>
      </c>
    </row>
    <row r="2884" spans="1:17" x14ac:dyDescent="0.3">
      <c r="A2884" t="s">
        <v>47</v>
      </c>
      <c r="B2884" t="str">
        <f>"300008"</f>
        <v>300008</v>
      </c>
      <c r="C2884" t="s">
        <v>6110</v>
      </c>
      <c r="D2884" t="s">
        <v>351</v>
      </c>
      <c r="E2884">
        <v>2808647123</v>
      </c>
      <c r="F2884">
        <v>2098490509</v>
      </c>
      <c r="G2884">
        <v>2036196370</v>
      </c>
      <c r="H2884">
        <v>2347362089</v>
      </c>
      <c r="I2884">
        <v>4301540665</v>
      </c>
      <c r="J2884">
        <v>3858958022</v>
      </c>
      <c r="K2884">
        <v>2766772381</v>
      </c>
      <c r="L2884">
        <v>1371240424</v>
      </c>
      <c r="M2884">
        <v>632393529</v>
      </c>
      <c r="N2884">
        <v>651441075</v>
      </c>
      <c r="O2884">
        <v>648081671</v>
      </c>
      <c r="P2884">
        <v>107</v>
      </c>
      <c r="Q2884" t="s">
        <v>6111</v>
      </c>
    </row>
    <row r="2885" spans="1:17" x14ac:dyDescent="0.3">
      <c r="A2885" t="s">
        <v>47</v>
      </c>
      <c r="B2885" t="str">
        <f>"002214"</f>
        <v>002214</v>
      </c>
      <c r="C2885" t="s">
        <v>6112</v>
      </c>
      <c r="D2885" t="s">
        <v>1385</v>
      </c>
      <c r="E2885">
        <v>2805302846</v>
      </c>
      <c r="F2885">
        <v>2788014939</v>
      </c>
      <c r="G2885">
        <v>1698198446</v>
      </c>
      <c r="H2885">
        <v>1410043769</v>
      </c>
      <c r="I2885">
        <v>1355974995</v>
      </c>
      <c r="J2885">
        <v>1264933932</v>
      </c>
      <c r="K2885">
        <v>1371449982</v>
      </c>
      <c r="L2885">
        <v>1259073166</v>
      </c>
      <c r="M2885">
        <v>1156029516</v>
      </c>
      <c r="N2885">
        <v>687886324</v>
      </c>
      <c r="O2885">
        <v>667547514</v>
      </c>
      <c r="P2885">
        <v>511</v>
      </c>
      <c r="Q2885" t="s">
        <v>6113</v>
      </c>
    </row>
    <row r="2886" spans="1:17" x14ac:dyDescent="0.3">
      <c r="A2886" t="s">
        <v>17</v>
      </c>
      <c r="B2886" t="str">
        <f>"603859"</f>
        <v>603859</v>
      </c>
      <c r="C2886" t="s">
        <v>6114</v>
      </c>
      <c r="D2886" t="s">
        <v>1360</v>
      </c>
      <c r="E2886">
        <v>2803360563</v>
      </c>
      <c r="F2886">
        <v>2004211291</v>
      </c>
      <c r="G2886">
        <v>1774710941</v>
      </c>
      <c r="H2886">
        <v>977797520</v>
      </c>
      <c r="I2886">
        <v>820772100</v>
      </c>
      <c r="J2886">
        <v>767430961</v>
      </c>
      <c r="P2886">
        <v>205</v>
      </c>
      <c r="Q2886" t="s">
        <v>6115</v>
      </c>
    </row>
    <row r="2887" spans="1:17" x14ac:dyDescent="0.3">
      <c r="A2887" t="s">
        <v>47</v>
      </c>
      <c r="B2887" t="str">
        <f>"002565"</f>
        <v>002565</v>
      </c>
      <c r="C2887" t="s">
        <v>6116</v>
      </c>
      <c r="D2887" t="s">
        <v>1842</v>
      </c>
      <c r="E2887">
        <v>2801698877</v>
      </c>
      <c r="F2887">
        <v>2968284189</v>
      </c>
      <c r="G2887">
        <v>2949700746</v>
      </c>
      <c r="H2887">
        <v>3545739975</v>
      </c>
      <c r="I2887">
        <v>3967538543</v>
      </c>
      <c r="J2887">
        <v>3766262620</v>
      </c>
      <c r="K2887">
        <v>3399831991</v>
      </c>
      <c r="L2887">
        <v>3259290426</v>
      </c>
      <c r="M2887">
        <v>3309761399</v>
      </c>
      <c r="N2887">
        <v>2576572668</v>
      </c>
      <c r="O2887">
        <v>1939845239</v>
      </c>
      <c r="P2887">
        <v>107</v>
      </c>
      <c r="Q2887" t="s">
        <v>6117</v>
      </c>
    </row>
    <row r="2888" spans="1:17" x14ac:dyDescent="0.3">
      <c r="A2888" t="s">
        <v>17</v>
      </c>
      <c r="B2888" t="str">
        <f>"688133"</f>
        <v>688133</v>
      </c>
      <c r="C2888" t="s">
        <v>6118</v>
      </c>
      <c r="D2888" t="s">
        <v>710</v>
      </c>
      <c r="E2888">
        <v>2801671866</v>
      </c>
      <c r="F2888">
        <v>1917337981</v>
      </c>
      <c r="H2888">
        <v>609667200</v>
      </c>
      <c r="P2888">
        <v>118</v>
      </c>
      <c r="Q2888" t="s">
        <v>6119</v>
      </c>
    </row>
    <row r="2889" spans="1:17" x14ac:dyDescent="0.3">
      <c r="A2889" t="s">
        <v>47</v>
      </c>
      <c r="B2889" t="str">
        <f>"300592"</f>
        <v>300592</v>
      </c>
      <c r="C2889" t="s">
        <v>6120</v>
      </c>
      <c r="D2889" t="s">
        <v>1163</v>
      </c>
      <c r="E2889">
        <v>2793258026</v>
      </c>
      <c r="F2889">
        <v>888770137</v>
      </c>
      <c r="G2889">
        <v>1016368133</v>
      </c>
      <c r="H2889">
        <v>1021167542</v>
      </c>
      <c r="I2889">
        <v>954607098</v>
      </c>
      <c r="J2889">
        <v>813285092</v>
      </c>
      <c r="P2889">
        <v>65</v>
      </c>
      <c r="Q2889" t="s">
        <v>6121</v>
      </c>
    </row>
    <row r="2890" spans="1:17" x14ac:dyDescent="0.3">
      <c r="A2890" t="s">
        <v>47</v>
      </c>
      <c r="B2890" t="str">
        <f>"300758"</f>
        <v>300758</v>
      </c>
      <c r="C2890" t="s">
        <v>6122</v>
      </c>
      <c r="D2890" t="s">
        <v>5419</v>
      </c>
      <c r="E2890">
        <v>2791741645</v>
      </c>
      <c r="F2890">
        <v>2120300203</v>
      </c>
      <c r="G2890">
        <v>1506523011</v>
      </c>
      <c r="H2890">
        <v>1310451869</v>
      </c>
      <c r="P2890">
        <v>104</v>
      </c>
      <c r="Q2890" t="s">
        <v>6123</v>
      </c>
    </row>
    <row r="2891" spans="1:17" x14ac:dyDescent="0.3">
      <c r="A2891" t="s">
        <v>47</v>
      </c>
      <c r="B2891" t="str">
        <f>"000038"</f>
        <v>000038</v>
      </c>
      <c r="C2891" t="s">
        <v>6124</v>
      </c>
      <c r="D2891" t="s">
        <v>810</v>
      </c>
      <c r="E2891">
        <v>2789956799</v>
      </c>
      <c r="F2891">
        <v>3284198856</v>
      </c>
      <c r="G2891">
        <v>3069158456</v>
      </c>
      <c r="H2891">
        <v>3062604077</v>
      </c>
      <c r="I2891">
        <v>5728931026</v>
      </c>
      <c r="J2891">
        <v>6177914402</v>
      </c>
      <c r="K2891">
        <v>3669220810</v>
      </c>
      <c r="L2891">
        <v>647962176</v>
      </c>
      <c r="M2891">
        <v>678523642</v>
      </c>
      <c r="N2891">
        <v>620538843</v>
      </c>
      <c r="O2891">
        <v>644235860</v>
      </c>
      <c r="P2891">
        <v>113</v>
      </c>
      <c r="Q2891" t="s">
        <v>6125</v>
      </c>
    </row>
    <row r="2892" spans="1:17" x14ac:dyDescent="0.3">
      <c r="A2892" t="s">
        <v>17</v>
      </c>
      <c r="B2892" t="str">
        <f>"605179"</f>
        <v>605179</v>
      </c>
      <c r="C2892" t="s">
        <v>6126</v>
      </c>
      <c r="D2892" t="s">
        <v>487</v>
      </c>
      <c r="E2892">
        <v>2784291741</v>
      </c>
      <c r="F2892">
        <v>2391986608</v>
      </c>
      <c r="P2892">
        <v>84</v>
      </c>
      <c r="Q2892" t="s">
        <v>6127</v>
      </c>
    </row>
    <row r="2893" spans="1:17" x14ac:dyDescent="0.3">
      <c r="A2893" t="s">
        <v>17</v>
      </c>
      <c r="B2893" t="str">
        <f>"603535"</f>
        <v>603535</v>
      </c>
      <c r="C2893" t="s">
        <v>6128</v>
      </c>
      <c r="D2893" t="s">
        <v>618</v>
      </c>
      <c r="E2893">
        <v>2782165422</v>
      </c>
      <c r="F2893">
        <v>2282990860</v>
      </c>
      <c r="G2893">
        <v>2090800909</v>
      </c>
      <c r="H2893">
        <v>1944100408</v>
      </c>
      <c r="I2893">
        <v>1682111213</v>
      </c>
      <c r="J2893">
        <v>1076971100</v>
      </c>
      <c r="P2893">
        <v>85</v>
      </c>
      <c r="Q2893" t="s">
        <v>6129</v>
      </c>
    </row>
    <row r="2894" spans="1:17" x14ac:dyDescent="0.3">
      <c r="A2894" t="s">
        <v>47</v>
      </c>
      <c r="B2894" t="str">
        <f>"300019"</f>
        <v>300019</v>
      </c>
      <c r="C2894" t="s">
        <v>6130</v>
      </c>
      <c r="D2894" t="s">
        <v>1833</v>
      </c>
      <c r="E2894">
        <v>2781779223</v>
      </c>
      <c r="F2894">
        <v>2573599937</v>
      </c>
      <c r="G2894">
        <v>1167639421</v>
      </c>
      <c r="H2894">
        <v>981579477</v>
      </c>
      <c r="I2894">
        <v>949463524</v>
      </c>
      <c r="J2894">
        <v>938009762</v>
      </c>
      <c r="K2894">
        <v>868963032</v>
      </c>
      <c r="L2894">
        <v>806125190</v>
      </c>
      <c r="M2894">
        <v>674652038</v>
      </c>
      <c r="N2894">
        <v>589518208</v>
      </c>
      <c r="O2894">
        <v>527365150</v>
      </c>
      <c r="P2894">
        <v>295</v>
      </c>
      <c r="Q2894" t="s">
        <v>6131</v>
      </c>
    </row>
    <row r="2895" spans="1:17" x14ac:dyDescent="0.3">
      <c r="A2895" t="s">
        <v>47</v>
      </c>
      <c r="B2895" t="str">
        <f>"300918"</f>
        <v>300918</v>
      </c>
      <c r="C2895" t="s">
        <v>6132</v>
      </c>
      <c r="D2895" t="s">
        <v>3463</v>
      </c>
      <c r="E2895">
        <v>2779704423</v>
      </c>
      <c r="F2895">
        <v>2281588519</v>
      </c>
      <c r="P2895">
        <v>38</v>
      </c>
      <c r="Q2895" t="s">
        <v>6133</v>
      </c>
    </row>
    <row r="2896" spans="1:17" x14ac:dyDescent="0.3">
      <c r="A2896" t="s">
        <v>47</v>
      </c>
      <c r="B2896" t="str">
        <f>"002810"</f>
        <v>002810</v>
      </c>
      <c r="C2896" t="s">
        <v>6134</v>
      </c>
      <c r="D2896" t="s">
        <v>710</v>
      </c>
      <c r="E2896">
        <v>2771411884</v>
      </c>
      <c r="F2896">
        <v>1757382442</v>
      </c>
      <c r="G2896">
        <v>1446231318</v>
      </c>
      <c r="H2896">
        <v>1355027838</v>
      </c>
      <c r="I2896">
        <v>1172497751</v>
      </c>
      <c r="J2896">
        <v>998133533</v>
      </c>
      <c r="P2896">
        <v>419</v>
      </c>
      <c r="Q2896" t="s">
        <v>6135</v>
      </c>
    </row>
    <row r="2897" spans="1:17" x14ac:dyDescent="0.3">
      <c r="A2897" t="s">
        <v>17</v>
      </c>
      <c r="B2897" t="str">
        <f>"603555"</f>
        <v>603555</v>
      </c>
      <c r="C2897" t="s">
        <v>6136</v>
      </c>
      <c r="D2897" t="s">
        <v>6137</v>
      </c>
      <c r="E2897">
        <v>2771320736</v>
      </c>
      <c r="F2897">
        <v>3494361069</v>
      </c>
      <c r="G2897">
        <v>3680680701</v>
      </c>
      <c r="H2897">
        <v>4836364778</v>
      </c>
      <c r="I2897">
        <v>7734940694</v>
      </c>
      <c r="J2897">
        <v>7766814079</v>
      </c>
      <c r="K2897">
        <v>5234127369</v>
      </c>
      <c r="L2897">
        <v>4415262087</v>
      </c>
      <c r="M2897">
        <v>3819765290</v>
      </c>
      <c r="P2897">
        <v>81</v>
      </c>
      <c r="Q2897" t="s">
        <v>6138</v>
      </c>
    </row>
    <row r="2898" spans="1:17" x14ac:dyDescent="0.3">
      <c r="A2898" t="s">
        <v>17</v>
      </c>
      <c r="B2898" t="str">
        <f>"603773"</f>
        <v>603773</v>
      </c>
      <c r="C2898" t="s">
        <v>6139</v>
      </c>
      <c r="D2898" t="s">
        <v>181</v>
      </c>
      <c r="E2898">
        <v>2771164710</v>
      </c>
      <c r="F2898">
        <v>2052479713</v>
      </c>
      <c r="G2898">
        <v>1822450712</v>
      </c>
      <c r="H2898">
        <v>1748885906</v>
      </c>
      <c r="I2898">
        <v>1025188066</v>
      </c>
      <c r="P2898">
        <v>141</v>
      </c>
      <c r="Q2898" t="s">
        <v>6140</v>
      </c>
    </row>
    <row r="2899" spans="1:17" x14ac:dyDescent="0.3">
      <c r="A2899" t="s">
        <v>47</v>
      </c>
      <c r="B2899" t="str">
        <f>"301091"</f>
        <v>301091</v>
      </c>
      <c r="C2899" t="s">
        <v>6141</v>
      </c>
      <c r="D2899" t="s">
        <v>2178</v>
      </c>
      <c r="E2899">
        <v>2769534626</v>
      </c>
      <c r="P2899">
        <v>25</v>
      </c>
      <c r="Q2899" t="s">
        <v>6142</v>
      </c>
    </row>
    <row r="2900" spans="1:17" x14ac:dyDescent="0.3">
      <c r="A2900" t="s">
        <v>17</v>
      </c>
      <c r="B2900" t="str">
        <f>"688686"</f>
        <v>688686</v>
      </c>
      <c r="C2900" t="s">
        <v>6143</v>
      </c>
      <c r="D2900" t="s">
        <v>4037</v>
      </c>
      <c r="E2900">
        <v>2769020070</v>
      </c>
      <c r="F2900">
        <v>2529048054</v>
      </c>
      <c r="G2900">
        <v>653870600</v>
      </c>
      <c r="P2900">
        <v>117</v>
      </c>
      <c r="Q2900" t="s">
        <v>6144</v>
      </c>
    </row>
    <row r="2901" spans="1:17" x14ac:dyDescent="0.3">
      <c r="A2901" t="s">
        <v>47</v>
      </c>
      <c r="B2901" t="str">
        <f>"002781"</f>
        <v>002781</v>
      </c>
      <c r="C2901" t="s">
        <v>6145</v>
      </c>
      <c r="D2901" t="s">
        <v>1163</v>
      </c>
      <c r="E2901">
        <v>2763140744</v>
      </c>
      <c r="F2901">
        <v>3914969591</v>
      </c>
      <c r="G2901">
        <v>4332727308</v>
      </c>
      <c r="H2901">
        <v>4636795676</v>
      </c>
      <c r="I2901">
        <v>4187567796</v>
      </c>
      <c r="J2901">
        <v>3670297941</v>
      </c>
      <c r="K2901">
        <v>3110360162</v>
      </c>
      <c r="L2901">
        <v>2493754021</v>
      </c>
      <c r="P2901">
        <v>68</v>
      </c>
      <c r="Q2901" t="s">
        <v>6146</v>
      </c>
    </row>
    <row r="2902" spans="1:17" x14ac:dyDescent="0.3">
      <c r="A2902" t="s">
        <v>47</v>
      </c>
      <c r="B2902" t="str">
        <f>"002445"</f>
        <v>002445</v>
      </c>
      <c r="C2902" t="s">
        <v>6147</v>
      </c>
      <c r="D2902" t="s">
        <v>1032</v>
      </c>
      <c r="E2902">
        <v>2761108488</v>
      </c>
      <c r="F2902">
        <v>2361453355</v>
      </c>
      <c r="G2902">
        <v>2729529630</v>
      </c>
      <c r="H2902">
        <v>5001731073</v>
      </c>
      <c r="I2902">
        <v>7820952455</v>
      </c>
      <c r="J2902">
        <v>6673451305</v>
      </c>
      <c r="K2902">
        <v>3732797095</v>
      </c>
      <c r="L2902">
        <v>3692729053</v>
      </c>
      <c r="M2902">
        <v>2350477860</v>
      </c>
      <c r="N2902">
        <v>2098551859</v>
      </c>
      <c r="O2902">
        <v>1843923503</v>
      </c>
      <c r="P2902">
        <v>110</v>
      </c>
      <c r="Q2902" t="s">
        <v>6148</v>
      </c>
    </row>
    <row r="2903" spans="1:17" x14ac:dyDescent="0.3">
      <c r="A2903" t="s">
        <v>47</v>
      </c>
      <c r="B2903" t="str">
        <f>"300249"</f>
        <v>300249</v>
      </c>
      <c r="C2903" t="s">
        <v>6149</v>
      </c>
      <c r="D2903" t="s">
        <v>765</v>
      </c>
      <c r="E2903">
        <v>2758635421</v>
      </c>
      <c r="F2903">
        <v>2745933576</v>
      </c>
      <c r="G2903">
        <v>2859401923</v>
      </c>
      <c r="H2903">
        <v>2828372749</v>
      </c>
      <c r="I2903">
        <v>2457711000</v>
      </c>
      <c r="J2903">
        <v>1993601259</v>
      </c>
      <c r="K2903">
        <v>1563656905</v>
      </c>
      <c r="L2903">
        <v>1433660396</v>
      </c>
      <c r="M2903">
        <v>695211245</v>
      </c>
      <c r="N2903">
        <v>682772588</v>
      </c>
      <c r="O2903">
        <v>562861685</v>
      </c>
      <c r="P2903">
        <v>195</v>
      </c>
      <c r="Q2903" t="s">
        <v>6150</v>
      </c>
    </row>
    <row r="2904" spans="1:17" x14ac:dyDescent="0.3">
      <c r="A2904" t="s">
        <v>47</v>
      </c>
      <c r="B2904" t="str">
        <f>"002581"</f>
        <v>002581</v>
      </c>
      <c r="C2904" t="s">
        <v>6151</v>
      </c>
      <c r="D2904" t="s">
        <v>1480</v>
      </c>
      <c r="E2904">
        <v>2757328480</v>
      </c>
      <c r="F2904">
        <v>2490694264</v>
      </c>
      <c r="G2904">
        <v>3363143790</v>
      </c>
      <c r="H2904">
        <v>3972383772</v>
      </c>
      <c r="I2904">
        <v>4357810793</v>
      </c>
      <c r="J2904">
        <v>2724129218</v>
      </c>
      <c r="K2904">
        <v>2453118389</v>
      </c>
      <c r="L2904">
        <v>806688217</v>
      </c>
      <c r="M2904">
        <v>799011637</v>
      </c>
      <c r="N2904">
        <v>758131227</v>
      </c>
      <c r="O2904">
        <v>717673121</v>
      </c>
      <c r="P2904">
        <v>228</v>
      </c>
      <c r="Q2904" t="s">
        <v>6152</v>
      </c>
    </row>
    <row r="2905" spans="1:17" x14ac:dyDescent="0.3">
      <c r="A2905" t="s">
        <v>47</v>
      </c>
      <c r="B2905" t="str">
        <f>"300695"</f>
        <v>300695</v>
      </c>
      <c r="C2905" t="s">
        <v>6153</v>
      </c>
      <c r="D2905" t="s">
        <v>1102</v>
      </c>
      <c r="E2905">
        <v>2755803288</v>
      </c>
      <c r="F2905">
        <v>2328255688</v>
      </c>
      <c r="G2905">
        <v>2263495196</v>
      </c>
      <c r="H2905">
        <v>2048343004</v>
      </c>
      <c r="I2905">
        <v>1977626622</v>
      </c>
      <c r="J2905">
        <v>787200944</v>
      </c>
      <c r="P2905">
        <v>125</v>
      </c>
      <c r="Q2905" t="s">
        <v>6154</v>
      </c>
    </row>
    <row r="2906" spans="1:17" x14ac:dyDescent="0.3">
      <c r="A2906" t="s">
        <v>17</v>
      </c>
      <c r="B2906" t="str">
        <f>"603066"</f>
        <v>603066</v>
      </c>
      <c r="C2906" t="s">
        <v>6155</v>
      </c>
      <c r="D2906" t="s">
        <v>339</v>
      </c>
      <c r="E2906">
        <v>2755333715</v>
      </c>
      <c r="F2906">
        <v>1505083101</v>
      </c>
      <c r="G2906">
        <v>1422504020</v>
      </c>
      <c r="H2906">
        <v>1266549897</v>
      </c>
      <c r="I2906">
        <v>1176839725</v>
      </c>
      <c r="J2906">
        <v>1018591754</v>
      </c>
      <c r="K2906">
        <v>940527772</v>
      </c>
      <c r="L2906">
        <v>597914400</v>
      </c>
      <c r="P2906">
        <v>116</v>
      </c>
      <c r="Q2906" t="s">
        <v>6156</v>
      </c>
    </row>
    <row r="2907" spans="1:17" x14ac:dyDescent="0.3">
      <c r="A2907" t="s">
        <v>17</v>
      </c>
      <c r="B2907" t="str">
        <f>"600868"</f>
        <v>600868</v>
      </c>
      <c r="C2907" t="s">
        <v>6157</v>
      </c>
      <c r="D2907" t="s">
        <v>238</v>
      </c>
      <c r="E2907">
        <v>2755263469</v>
      </c>
      <c r="F2907">
        <v>2762385992</v>
      </c>
      <c r="G2907">
        <v>2409028100</v>
      </c>
      <c r="H2907">
        <v>2355260529</v>
      </c>
      <c r="I2907">
        <v>2394403519</v>
      </c>
      <c r="J2907">
        <v>2466806121</v>
      </c>
      <c r="K2907">
        <v>2568487883</v>
      </c>
      <c r="L2907">
        <v>2687526601</v>
      </c>
      <c r="M2907">
        <v>2866343778</v>
      </c>
      <c r="N2907">
        <v>2949127696</v>
      </c>
      <c r="O2907">
        <v>3599293411</v>
      </c>
      <c r="P2907">
        <v>125</v>
      </c>
      <c r="Q2907" t="s">
        <v>6158</v>
      </c>
    </row>
    <row r="2908" spans="1:17" x14ac:dyDescent="0.3">
      <c r="A2908" t="s">
        <v>17</v>
      </c>
      <c r="B2908" t="str">
        <f>"603165"</f>
        <v>603165</v>
      </c>
      <c r="C2908" t="s">
        <v>6159</v>
      </c>
      <c r="D2908" t="s">
        <v>587</v>
      </c>
      <c r="E2908">
        <v>2754212678</v>
      </c>
      <c r="F2908">
        <v>2154086395</v>
      </c>
      <c r="G2908">
        <v>1955001445</v>
      </c>
      <c r="H2908">
        <v>1481253601</v>
      </c>
      <c r="I2908">
        <v>1378880664</v>
      </c>
      <c r="J2908">
        <v>1005350650</v>
      </c>
      <c r="P2908">
        <v>587</v>
      </c>
      <c r="Q2908" t="s">
        <v>6160</v>
      </c>
    </row>
    <row r="2909" spans="1:17" x14ac:dyDescent="0.3">
      <c r="A2909" t="s">
        <v>47</v>
      </c>
      <c r="B2909" t="str">
        <f>"300407"</f>
        <v>300407</v>
      </c>
      <c r="C2909" t="s">
        <v>6161</v>
      </c>
      <c r="D2909" t="s">
        <v>679</v>
      </c>
      <c r="E2909">
        <v>2753471977</v>
      </c>
      <c r="F2909">
        <v>2671151919</v>
      </c>
      <c r="G2909">
        <v>2515405686</v>
      </c>
      <c r="H2909">
        <v>2268151765</v>
      </c>
      <c r="I2909">
        <v>1950568099</v>
      </c>
      <c r="J2909">
        <v>1927160605</v>
      </c>
      <c r="K2909">
        <v>1125774164</v>
      </c>
      <c r="L2909">
        <v>1071283637</v>
      </c>
      <c r="P2909">
        <v>132</v>
      </c>
      <c r="Q2909" t="s">
        <v>6162</v>
      </c>
    </row>
    <row r="2910" spans="1:17" x14ac:dyDescent="0.3">
      <c r="A2910" t="s">
        <v>47</v>
      </c>
      <c r="B2910" t="str">
        <f>"300351"</f>
        <v>300351</v>
      </c>
      <c r="C2910" t="s">
        <v>6163</v>
      </c>
      <c r="D2910" t="s">
        <v>193</v>
      </c>
      <c r="E2910">
        <v>2747637697</v>
      </c>
      <c r="F2910">
        <v>2474525062</v>
      </c>
      <c r="G2910">
        <v>2332700374</v>
      </c>
      <c r="H2910">
        <v>2809786534</v>
      </c>
      <c r="I2910">
        <v>3353045219</v>
      </c>
      <c r="J2910">
        <v>3063393434</v>
      </c>
      <c r="K2910">
        <v>1296248978</v>
      </c>
      <c r="L2910">
        <v>1169335491</v>
      </c>
      <c r="M2910">
        <v>1024212397</v>
      </c>
      <c r="N2910">
        <v>941194463</v>
      </c>
      <c r="P2910">
        <v>234</v>
      </c>
      <c r="Q2910" t="s">
        <v>6164</v>
      </c>
    </row>
    <row r="2911" spans="1:17" x14ac:dyDescent="0.3">
      <c r="A2911" t="s">
        <v>17</v>
      </c>
      <c r="B2911" t="str">
        <f>"688315"</f>
        <v>688315</v>
      </c>
      <c r="C2911" t="s">
        <v>6165</v>
      </c>
      <c r="D2911" t="s">
        <v>6166</v>
      </c>
      <c r="E2911">
        <v>2747597285</v>
      </c>
      <c r="F2911">
        <v>2007328740</v>
      </c>
      <c r="P2911">
        <v>46</v>
      </c>
      <c r="Q2911" t="s">
        <v>6167</v>
      </c>
    </row>
    <row r="2912" spans="1:17" x14ac:dyDescent="0.3">
      <c r="A2912" t="s">
        <v>47</v>
      </c>
      <c r="B2912" t="str">
        <f>"300978"</f>
        <v>300978</v>
      </c>
      <c r="C2912" t="s">
        <v>6168</v>
      </c>
      <c r="D2912" t="s">
        <v>416</v>
      </c>
      <c r="E2912">
        <v>2744731521</v>
      </c>
      <c r="F2912">
        <v>1848159179</v>
      </c>
      <c r="P2912">
        <v>37</v>
      </c>
      <c r="Q2912" t="s">
        <v>6169</v>
      </c>
    </row>
    <row r="2913" spans="1:17" x14ac:dyDescent="0.3">
      <c r="A2913" t="s">
        <v>47</v>
      </c>
      <c r="B2913" t="str">
        <f>"002855"</f>
        <v>002855</v>
      </c>
      <c r="C2913" t="s">
        <v>6170</v>
      </c>
      <c r="D2913" t="s">
        <v>283</v>
      </c>
      <c r="E2913">
        <v>2742468870</v>
      </c>
      <c r="F2913">
        <v>2929540567</v>
      </c>
      <c r="G2913">
        <v>2609289156</v>
      </c>
      <c r="H2913">
        <v>2477717194</v>
      </c>
      <c r="I2913">
        <v>2139768210</v>
      </c>
      <c r="J2913">
        <v>1833429182</v>
      </c>
      <c r="P2913">
        <v>138</v>
      </c>
      <c r="Q2913" t="s">
        <v>6171</v>
      </c>
    </row>
    <row r="2914" spans="1:17" x14ac:dyDescent="0.3">
      <c r="A2914" t="s">
        <v>17</v>
      </c>
      <c r="B2914" t="str">
        <f>"600719"</f>
        <v>600719</v>
      </c>
      <c r="C2914" t="s">
        <v>6172</v>
      </c>
      <c r="D2914" t="s">
        <v>1293</v>
      </c>
      <c r="E2914">
        <v>2740849885</v>
      </c>
      <c r="F2914">
        <v>2573317384</v>
      </c>
      <c r="G2914">
        <v>2181717269</v>
      </c>
      <c r="H2914">
        <v>2096660460</v>
      </c>
      <c r="I2914">
        <v>1595313580</v>
      </c>
      <c r="J2914">
        <v>1626160872</v>
      </c>
      <c r="K2914">
        <v>1440955637</v>
      </c>
      <c r="L2914">
        <v>1231974664</v>
      </c>
      <c r="M2914">
        <v>1321112653</v>
      </c>
      <c r="N2914">
        <v>1489697994</v>
      </c>
      <c r="O2914">
        <v>1651805321</v>
      </c>
      <c r="P2914">
        <v>68</v>
      </c>
      <c r="Q2914" t="s">
        <v>6173</v>
      </c>
    </row>
    <row r="2915" spans="1:17" x14ac:dyDescent="0.3">
      <c r="A2915" t="s">
        <v>47</v>
      </c>
      <c r="B2915" t="str">
        <f>"003038"</f>
        <v>003038</v>
      </c>
      <c r="C2915" t="s">
        <v>6174</v>
      </c>
      <c r="D2915" t="s">
        <v>346</v>
      </c>
      <c r="E2915">
        <v>2739162927</v>
      </c>
      <c r="F2915">
        <v>1398295786</v>
      </c>
      <c r="P2915">
        <v>74</v>
      </c>
      <c r="Q2915" t="s">
        <v>6175</v>
      </c>
    </row>
    <row r="2916" spans="1:17" x14ac:dyDescent="0.3">
      <c r="A2916" t="s">
        <v>17</v>
      </c>
      <c r="B2916" t="str">
        <f>"600291"</f>
        <v>600291</v>
      </c>
      <c r="C2916" t="s">
        <v>6176</v>
      </c>
      <c r="D2916" t="s">
        <v>32</v>
      </c>
      <c r="E2916">
        <v>2730752391</v>
      </c>
      <c r="F2916">
        <v>3281175363</v>
      </c>
      <c r="G2916">
        <v>62934656595</v>
      </c>
      <c r="H2916">
        <v>96966803142</v>
      </c>
      <c r="I2916">
        <v>155138875922</v>
      </c>
      <c r="J2916">
        <v>266958567918</v>
      </c>
      <c r="K2916">
        <v>279418662116</v>
      </c>
      <c r="M2916">
        <v>19744196105.91</v>
      </c>
      <c r="N2916">
        <v>16997998798.68</v>
      </c>
      <c r="O2916">
        <v>14521617247.23</v>
      </c>
      <c r="P2916">
        <v>276</v>
      </c>
      <c r="Q2916" t="s">
        <v>6177</v>
      </c>
    </row>
    <row r="2917" spans="1:17" x14ac:dyDescent="0.3">
      <c r="A2917" t="s">
        <v>47</v>
      </c>
      <c r="B2917" t="str">
        <f>"002708"</f>
        <v>002708</v>
      </c>
      <c r="C2917" t="s">
        <v>6178</v>
      </c>
      <c r="D2917" t="s">
        <v>274</v>
      </c>
      <c r="E2917">
        <v>2730032076</v>
      </c>
      <c r="F2917">
        <v>2659083686</v>
      </c>
      <c r="G2917">
        <v>2151797655</v>
      </c>
      <c r="H2917">
        <v>2137297333</v>
      </c>
      <c r="I2917">
        <v>2351436485</v>
      </c>
      <c r="J2917">
        <v>2294226231</v>
      </c>
      <c r="K2917">
        <v>2623052065</v>
      </c>
      <c r="L2917">
        <v>1143622822</v>
      </c>
      <c r="M2917">
        <v>1065177827</v>
      </c>
      <c r="P2917">
        <v>91</v>
      </c>
      <c r="Q2917" t="s">
        <v>6179</v>
      </c>
    </row>
    <row r="2918" spans="1:17" x14ac:dyDescent="0.3">
      <c r="A2918" t="s">
        <v>47</v>
      </c>
      <c r="B2918" t="str">
        <f>"300572"</f>
        <v>300572</v>
      </c>
      <c r="C2918" t="s">
        <v>6180</v>
      </c>
      <c r="D2918" t="s">
        <v>3772</v>
      </c>
      <c r="E2918">
        <v>2729995067</v>
      </c>
      <c r="F2918">
        <v>1680725444</v>
      </c>
      <c r="G2918">
        <v>1324915211</v>
      </c>
      <c r="H2918">
        <v>1232371471</v>
      </c>
      <c r="I2918">
        <v>1089229154</v>
      </c>
      <c r="J2918">
        <v>919887278</v>
      </c>
      <c r="P2918">
        <v>466</v>
      </c>
      <c r="Q2918" t="s">
        <v>6181</v>
      </c>
    </row>
    <row r="2919" spans="1:17" x14ac:dyDescent="0.3">
      <c r="A2919" t="s">
        <v>47</v>
      </c>
      <c r="B2919" t="str">
        <f>"002763"</f>
        <v>002763</v>
      </c>
      <c r="C2919" t="s">
        <v>6182</v>
      </c>
      <c r="D2919" t="s">
        <v>4276</v>
      </c>
      <c r="E2919">
        <v>2726072004</v>
      </c>
      <c r="F2919">
        <v>2758394364</v>
      </c>
      <c r="G2919">
        <v>2476558191</v>
      </c>
      <c r="H2919">
        <v>2501838739</v>
      </c>
      <c r="I2919">
        <v>2318195037</v>
      </c>
      <c r="J2919">
        <v>2060363931</v>
      </c>
      <c r="K2919">
        <v>1938363769</v>
      </c>
      <c r="L2919">
        <v>1628794297</v>
      </c>
      <c r="P2919">
        <v>293</v>
      </c>
      <c r="Q2919" t="s">
        <v>6183</v>
      </c>
    </row>
    <row r="2920" spans="1:17" x14ac:dyDescent="0.3">
      <c r="A2920" t="s">
        <v>17</v>
      </c>
      <c r="B2920" t="str">
        <f>"688257"</f>
        <v>688257</v>
      </c>
      <c r="C2920" t="s">
        <v>6184</v>
      </c>
      <c r="D2920" t="s">
        <v>401</v>
      </c>
      <c r="E2920">
        <v>2723871479</v>
      </c>
      <c r="P2920">
        <v>17</v>
      </c>
      <c r="Q2920" t="s">
        <v>6185</v>
      </c>
    </row>
    <row r="2921" spans="1:17" x14ac:dyDescent="0.3">
      <c r="A2921" t="s">
        <v>17</v>
      </c>
      <c r="B2921" t="str">
        <f>"603109"</f>
        <v>603109</v>
      </c>
      <c r="C2921" t="s">
        <v>6186</v>
      </c>
      <c r="D2921" t="s">
        <v>1815</v>
      </c>
      <c r="E2921">
        <v>2722581937</v>
      </c>
      <c r="F2921">
        <v>2173857615</v>
      </c>
      <c r="G2921">
        <v>1815377480</v>
      </c>
      <c r="P2921">
        <v>80</v>
      </c>
      <c r="Q2921" t="s">
        <v>6187</v>
      </c>
    </row>
    <row r="2922" spans="1:17" x14ac:dyDescent="0.3">
      <c r="A2922" t="s">
        <v>47</v>
      </c>
      <c r="B2922" t="str">
        <f>"002467"</f>
        <v>002467</v>
      </c>
      <c r="C2922" t="s">
        <v>6188</v>
      </c>
      <c r="D2922" t="s">
        <v>3761</v>
      </c>
      <c r="E2922">
        <v>2721879472</v>
      </c>
      <c r="F2922">
        <v>2939399498</v>
      </c>
      <c r="G2922">
        <v>2761240329</v>
      </c>
      <c r="H2922">
        <v>2613232963</v>
      </c>
      <c r="I2922">
        <v>2306705320</v>
      </c>
      <c r="J2922">
        <v>2657587712</v>
      </c>
      <c r="K2922">
        <v>2803820582</v>
      </c>
      <c r="L2922">
        <v>1741090767</v>
      </c>
      <c r="M2922">
        <v>1638914652</v>
      </c>
      <c r="N2922">
        <v>1615896796</v>
      </c>
      <c r="O2922">
        <v>1208530049</v>
      </c>
      <c r="P2922">
        <v>200</v>
      </c>
      <c r="Q2922" t="s">
        <v>6189</v>
      </c>
    </row>
    <row r="2923" spans="1:17" x14ac:dyDescent="0.3">
      <c r="A2923" t="s">
        <v>17</v>
      </c>
      <c r="B2923" t="str">
        <f>"688697"</f>
        <v>688697</v>
      </c>
      <c r="C2923" t="s">
        <v>6190</v>
      </c>
      <c r="D2923" t="s">
        <v>3186</v>
      </c>
      <c r="E2923">
        <v>2721140602</v>
      </c>
      <c r="P2923">
        <v>16</v>
      </c>
      <c r="Q2923" t="s">
        <v>6191</v>
      </c>
    </row>
    <row r="2924" spans="1:17" x14ac:dyDescent="0.3">
      <c r="A2924" t="s">
        <v>17</v>
      </c>
      <c r="B2924" t="str">
        <f>"605500"</f>
        <v>605500</v>
      </c>
      <c r="C2924" t="s">
        <v>6192</v>
      </c>
      <c r="D2924" t="s">
        <v>587</v>
      </c>
      <c r="E2924">
        <v>2719924859</v>
      </c>
      <c r="F2924">
        <v>2400768394</v>
      </c>
      <c r="P2924">
        <v>37</v>
      </c>
      <c r="Q2924" t="s">
        <v>6193</v>
      </c>
    </row>
    <row r="2925" spans="1:17" x14ac:dyDescent="0.3">
      <c r="A2925" t="s">
        <v>47</v>
      </c>
      <c r="B2925" t="str">
        <f>"000836"</f>
        <v>000836</v>
      </c>
      <c r="C2925" t="s">
        <v>6194</v>
      </c>
      <c r="D2925" t="s">
        <v>828</v>
      </c>
      <c r="E2925">
        <v>2718959164</v>
      </c>
      <c r="F2925">
        <v>2621954646</v>
      </c>
      <c r="G2925">
        <v>2476628494</v>
      </c>
      <c r="H2925">
        <v>2847405087</v>
      </c>
      <c r="I2925">
        <v>2716024718</v>
      </c>
      <c r="J2925">
        <v>2632824578</v>
      </c>
      <c r="K2925">
        <v>2572525184</v>
      </c>
      <c r="L2925">
        <v>3136360999</v>
      </c>
      <c r="M2925">
        <v>2477844998</v>
      </c>
      <c r="N2925">
        <v>2398968294</v>
      </c>
      <c r="O2925">
        <v>2144043986</v>
      </c>
      <c r="P2925">
        <v>135</v>
      </c>
      <c r="Q2925" t="s">
        <v>6195</v>
      </c>
    </row>
    <row r="2926" spans="1:17" x14ac:dyDescent="0.3">
      <c r="A2926" t="s">
        <v>17</v>
      </c>
      <c r="B2926" t="str">
        <f>"600082"</f>
        <v>600082</v>
      </c>
      <c r="C2926" t="s">
        <v>6196</v>
      </c>
      <c r="D2926" t="s">
        <v>190</v>
      </c>
      <c r="E2926">
        <v>2718353030</v>
      </c>
      <c r="F2926">
        <v>2895960962</v>
      </c>
      <c r="G2926">
        <v>2855843716</v>
      </c>
      <c r="H2926">
        <v>3101149724</v>
      </c>
      <c r="I2926">
        <v>3557819880</v>
      </c>
      <c r="J2926">
        <v>3476373365</v>
      </c>
      <c r="K2926">
        <v>3468619712</v>
      </c>
      <c r="L2926">
        <v>3420787629</v>
      </c>
      <c r="M2926">
        <v>3196501896</v>
      </c>
      <c r="N2926">
        <v>2790977203</v>
      </c>
      <c r="O2926">
        <v>2831770495</v>
      </c>
      <c r="P2926">
        <v>75</v>
      </c>
      <c r="Q2926" t="s">
        <v>6197</v>
      </c>
    </row>
    <row r="2927" spans="1:17" x14ac:dyDescent="0.3">
      <c r="A2927" t="s">
        <v>17</v>
      </c>
      <c r="B2927" t="str">
        <f>"603926"</f>
        <v>603926</v>
      </c>
      <c r="C2927" t="s">
        <v>6198</v>
      </c>
      <c r="D2927" t="s">
        <v>274</v>
      </c>
      <c r="E2927">
        <v>2716647567</v>
      </c>
      <c r="F2927">
        <v>2230802620</v>
      </c>
      <c r="G2927">
        <v>2008543207</v>
      </c>
      <c r="H2927">
        <v>1594636704</v>
      </c>
      <c r="I2927">
        <v>1395258473</v>
      </c>
      <c r="J2927">
        <v>788637122</v>
      </c>
      <c r="P2927">
        <v>104</v>
      </c>
      <c r="Q2927" t="s">
        <v>6199</v>
      </c>
    </row>
    <row r="2928" spans="1:17" x14ac:dyDescent="0.3">
      <c r="A2928" t="s">
        <v>47</v>
      </c>
      <c r="B2928" t="str">
        <f>"300279"</f>
        <v>300279</v>
      </c>
      <c r="C2928" t="s">
        <v>6200</v>
      </c>
      <c r="D2928" t="s">
        <v>283</v>
      </c>
      <c r="E2928">
        <v>2716247243</v>
      </c>
      <c r="F2928">
        <v>2580693213</v>
      </c>
      <c r="G2928">
        <v>2341319785</v>
      </c>
      <c r="H2928">
        <v>2462186791</v>
      </c>
      <c r="I2928">
        <v>3165350000</v>
      </c>
      <c r="J2928">
        <v>2902727842</v>
      </c>
      <c r="K2928">
        <v>2116356359</v>
      </c>
      <c r="L2928">
        <v>1119153494</v>
      </c>
      <c r="M2928">
        <v>596160614</v>
      </c>
      <c r="N2928">
        <v>503598931</v>
      </c>
      <c r="O2928">
        <v>482812231</v>
      </c>
      <c r="P2928">
        <v>166</v>
      </c>
      <c r="Q2928" t="s">
        <v>6201</v>
      </c>
    </row>
    <row r="2929" spans="1:17" x14ac:dyDescent="0.3">
      <c r="A2929" t="s">
        <v>17</v>
      </c>
      <c r="B2929" t="str">
        <f>"688505"</f>
        <v>688505</v>
      </c>
      <c r="C2929" t="s">
        <v>6202</v>
      </c>
      <c r="D2929" t="s">
        <v>550</v>
      </c>
      <c r="E2929">
        <v>2713750038</v>
      </c>
      <c r="F2929">
        <v>2412291449</v>
      </c>
      <c r="G2929">
        <v>1467333633</v>
      </c>
      <c r="P2929">
        <v>69</v>
      </c>
      <c r="Q2929" t="s">
        <v>6203</v>
      </c>
    </row>
    <row r="2930" spans="1:17" x14ac:dyDescent="0.3">
      <c r="A2930" t="s">
        <v>47</v>
      </c>
      <c r="B2930" t="str">
        <f>"300586"</f>
        <v>300586</v>
      </c>
      <c r="C2930" t="s">
        <v>6204</v>
      </c>
      <c r="D2930" t="s">
        <v>833</v>
      </c>
      <c r="E2930">
        <v>2709299181</v>
      </c>
      <c r="F2930">
        <v>2015142905</v>
      </c>
      <c r="G2930">
        <v>1827884077</v>
      </c>
      <c r="H2930">
        <v>1721050368</v>
      </c>
      <c r="I2930">
        <v>857815191</v>
      </c>
      <c r="J2930">
        <v>669172329</v>
      </c>
      <c r="P2930">
        <v>132</v>
      </c>
      <c r="Q2930" t="s">
        <v>6205</v>
      </c>
    </row>
    <row r="2931" spans="1:17" x14ac:dyDescent="0.3">
      <c r="A2931" t="s">
        <v>17</v>
      </c>
      <c r="B2931" t="str">
        <f>"600965"</f>
        <v>600965</v>
      </c>
      <c r="C2931" t="s">
        <v>6206</v>
      </c>
      <c r="D2931" t="s">
        <v>1721</v>
      </c>
      <c r="E2931">
        <v>2708024125</v>
      </c>
      <c r="F2931">
        <v>2492523177</v>
      </c>
      <c r="G2931">
        <v>2704607262</v>
      </c>
      <c r="H2931">
        <v>2811224402</v>
      </c>
      <c r="I2931">
        <v>2451333740</v>
      </c>
      <c r="J2931">
        <v>2576212697</v>
      </c>
      <c r="K2931">
        <v>2002326566</v>
      </c>
      <c r="L2931">
        <v>1238406381</v>
      </c>
      <c r="M2931">
        <v>1132962256</v>
      </c>
      <c r="N2931">
        <v>713860663</v>
      </c>
      <c r="O2931">
        <v>643651913</v>
      </c>
      <c r="P2931">
        <v>113</v>
      </c>
      <c r="Q2931" t="s">
        <v>6207</v>
      </c>
    </row>
    <row r="2932" spans="1:17" x14ac:dyDescent="0.3">
      <c r="A2932" t="s">
        <v>47</v>
      </c>
      <c r="B2932" t="str">
        <f>"301100"</f>
        <v>301100</v>
      </c>
      <c r="C2932" t="s">
        <v>6208</v>
      </c>
      <c r="D2932" t="s">
        <v>710</v>
      </c>
      <c r="E2932">
        <v>2707737798</v>
      </c>
      <c r="P2932">
        <v>11</v>
      </c>
      <c r="Q2932" t="s">
        <v>6209</v>
      </c>
    </row>
    <row r="2933" spans="1:17" x14ac:dyDescent="0.3">
      <c r="A2933" t="s">
        <v>17</v>
      </c>
      <c r="B2933" t="str">
        <f>"603586"</f>
        <v>603586</v>
      </c>
      <c r="C2933" t="s">
        <v>6210</v>
      </c>
      <c r="D2933" t="s">
        <v>274</v>
      </c>
      <c r="E2933">
        <v>2707166860</v>
      </c>
      <c r="F2933">
        <v>2630561626</v>
      </c>
      <c r="G2933">
        <v>2782779031</v>
      </c>
      <c r="H2933">
        <v>2799735550</v>
      </c>
      <c r="I2933">
        <v>2875879591</v>
      </c>
      <c r="J2933">
        <v>2803477859</v>
      </c>
      <c r="P2933">
        <v>109</v>
      </c>
      <c r="Q2933" t="s">
        <v>6211</v>
      </c>
    </row>
    <row r="2934" spans="1:17" x14ac:dyDescent="0.3">
      <c r="A2934" t="s">
        <v>47</v>
      </c>
      <c r="B2934" t="str">
        <f>"002571"</f>
        <v>002571</v>
      </c>
      <c r="C2934" t="s">
        <v>6212</v>
      </c>
      <c r="D2934" t="s">
        <v>2016</v>
      </c>
      <c r="E2934">
        <v>2706802787</v>
      </c>
      <c r="F2934">
        <v>2024807184</v>
      </c>
      <c r="G2934">
        <v>1957782235</v>
      </c>
      <c r="H2934">
        <v>1811084216</v>
      </c>
      <c r="I2934">
        <v>1821015507</v>
      </c>
      <c r="J2934">
        <v>1935946126</v>
      </c>
      <c r="K2934">
        <v>2179947255</v>
      </c>
      <c r="L2934">
        <v>2107300376</v>
      </c>
      <c r="M2934">
        <v>2161004206</v>
      </c>
      <c r="N2934">
        <v>1459581531</v>
      </c>
      <c r="O2934">
        <v>1188123923</v>
      </c>
      <c r="P2934">
        <v>92</v>
      </c>
      <c r="Q2934" t="s">
        <v>6213</v>
      </c>
    </row>
    <row r="2935" spans="1:17" x14ac:dyDescent="0.3">
      <c r="A2935" t="s">
        <v>47</v>
      </c>
      <c r="B2935" t="str">
        <f>"300382"</f>
        <v>300382</v>
      </c>
      <c r="C2935" t="s">
        <v>6214</v>
      </c>
      <c r="D2935" t="s">
        <v>1973</v>
      </c>
      <c r="E2935">
        <v>2705794546</v>
      </c>
      <c r="F2935">
        <v>2241053339</v>
      </c>
      <c r="G2935">
        <v>1876214787</v>
      </c>
      <c r="H2935">
        <v>1929408542</v>
      </c>
      <c r="I2935">
        <v>1437837419</v>
      </c>
      <c r="J2935">
        <v>1180000930</v>
      </c>
      <c r="K2935">
        <v>864107021</v>
      </c>
      <c r="L2935">
        <v>798581365</v>
      </c>
      <c r="M2935">
        <v>777679747</v>
      </c>
      <c r="P2935">
        <v>182</v>
      </c>
      <c r="Q2935" t="s">
        <v>6215</v>
      </c>
    </row>
    <row r="2936" spans="1:17" x14ac:dyDescent="0.3">
      <c r="A2936" t="s">
        <v>17</v>
      </c>
      <c r="B2936" t="str">
        <f>"688261"</f>
        <v>688261</v>
      </c>
      <c r="C2936" t="s">
        <v>6216</v>
      </c>
      <c r="E2936">
        <v>2705577525</v>
      </c>
      <c r="P2936">
        <v>11</v>
      </c>
      <c r="Q2936" t="s">
        <v>6217</v>
      </c>
    </row>
    <row r="2937" spans="1:17" x14ac:dyDescent="0.3">
      <c r="A2937" t="s">
        <v>17</v>
      </c>
      <c r="B2937" t="str">
        <f>"603070"</f>
        <v>603070</v>
      </c>
      <c r="C2937" t="s">
        <v>6218</v>
      </c>
      <c r="E2937">
        <v>2705511969</v>
      </c>
      <c r="P2937">
        <v>10</v>
      </c>
      <c r="Q2937" t="s">
        <v>6219</v>
      </c>
    </row>
    <row r="2938" spans="1:17" x14ac:dyDescent="0.3">
      <c r="A2938" t="s">
        <v>47</v>
      </c>
      <c r="B2938" t="str">
        <f>"002006"</f>
        <v>002006</v>
      </c>
      <c r="C2938" t="s">
        <v>6220</v>
      </c>
      <c r="D2938" t="s">
        <v>1973</v>
      </c>
      <c r="E2938">
        <v>2702737169</v>
      </c>
      <c r="F2938">
        <v>2321291132</v>
      </c>
      <c r="G2938">
        <v>1724002455</v>
      </c>
      <c r="H2938">
        <v>1940821361</v>
      </c>
      <c r="I2938">
        <v>1820273986</v>
      </c>
      <c r="J2938">
        <v>1762016225</v>
      </c>
      <c r="K2938">
        <v>1588696625</v>
      </c>
      <c r="L2938">
        <v>1649784568</v>
      </c>
      <c r="M2938">
        <v>1976086838</v>
      </c>
      <c r="N2938">
        <v>2144138191</v>
      </c>
      <c r="O2938">
        <v>2530980856</v>
      </c>
      <c r="P2938">
        <v>127</v>
      </c>
      <c r="Q2938" t="s">
        <v>6221</v>
      </c>
    </row>
    <row r="2939" spans="1:17" x14ac:dyDescent="0.3">
      <c r="A2939" t="s">
        <v>47</v>
      </c>
      <c r="B2939" t="str">
        <f>"300871"</f>
        <v>300871</v>
      </c>
      <c r="C2939" t="s">
        <v>6222</v>
      </c>
      <c r="D2939" t="s">
        <v>3286</v>
      </c>
      <c r="E2939">
        <v>2701491465</v>
      </c>
      <c r="F2939">
        <v>1788363689</v>
      </c>
      <c r="P2939">
        <v>83</v>
      </c>
      <c r="Q2939" t="s">
        <v>6223</v>
      </c>
    </row>
    <row r="2940" spans="1:17" x14ac:dyDescent="0.3">
      <c r="A2940" t="s">
        <v>47</v>
      </c>
      <c r="B2940" t="str">
        <f>"300932"</f>
        <v>300932</v>
      </c>
      <c r="C2940" t="s">
        <v>6224</v>
      </c>
      <c r="D2940" t="s">
        <v>562</v>
      </c>
      <c r="E2940">
        <v>2700069860</v>
      </c>
      <c r="F2940">
        <v>2057281582</v>
      </c>
      <c r="P2940">
        <v>29</v>
      </c>
      <c r="Q2940" t="s">
        <v>6225</v>
      </c>
    </row>
    <row r="2941" spans="1:17" x14ac:dyDescent="0.3">
      <c r="A2941" t="s">
        <v>17</v>
      </c>
      <c r="B2941" t="str">
        <f>"688196"</f>
        <v>688196</v>
      </c>
      <c r="C2941" t="s">
        <v>6226</v>
      </c>
      <c r="D2941" t="s">
        <v>710</v>
      </c>
      <c r="E2941">
        <v>2698668356</v>
      </c>
      <c r="F2941">
        <v>2342607634</v>
      </c>
      <c r="G2941">
        <v>2210001306</v>
      </c>
      <c r="H2941">
        <v>858728679</v>
      </c>
      <c r="P2941">
        <v>188</v>
      </c>
      <c r="Q2941" t="s">
        <v>6227</v>
      </c>
    </row>
    <row r="2942" spans="1:17" x14ac:dyDescent="0.3">
      <c r="A2942" t="s">
        <v>47</v>
      </c>
      <c r="B2942" t="str">
        <f>"002550"</f>
        <v>002550</v>
      </c>
      <c r="C2942" t="s">
        <v>6228</v>
      </c>
      <c r="D2942" t="s">
        <v>550</v>
      </c>
      <c r="E2942">
        <v>2698419872</v>
      </c>
      <c r="F2942">
        <v>2365832157</v>
      </c>
      <c r="G2942">
        <v>2782930110</v>
      </c>
      <c r="H2942">
        <v>3242204141</v>
      </c>
      <c r="I2942">
        <v>3082873595</v>
      </c>
      <c r="J2942">
        <v>2998799725</v>
      </c>
      <c r="K2942">
        <v>2882358316</v>
      </c>
      <c r="L2942">
        <v>2331924371</v>
      </c>
      <c r="M2942">
        <v>2080916546</v>
      </c>
      <c r="N2942">
        <v>1961232391</v>
      </c>
      <c r="O2942">
        <v>1848935798</v>
      </c>
      <c r="P2942">
        <v>172</v>
      </c>
      <c r="Q2942" t="s">
        <v>6229</v>
      </c>
    </row>
    <row r="2943" spans="1:17" x14ac:dyDescent="0.3">
      <c r="A2943" t="s">
        <v>17</v>
      </c>
      <c r="B2943" t="str">
        <f>"600636"</f>
        <v>600636</v>
      </c>
      <c r="C2943" t="s">
        <v>6230</v>
      </c>
      <c r="D2943" t="s">
        <v>2006</v>
      </c>
      <c r="E2943">
        <v>2696418393</v>
      </c>
      <c r="F2943">
        <v>3132193593</v>
      </c>
      <c r="G2943">
        <v>3166999466</v>
      </c>
      <c r="H2943">
        <v>3452906456</v>
      </c>
      <c r="I2943">
        <v>3251828678</v>
      </c>
      <c r="J2943">
        <v>4425046647</v>
      </c>
      <c r="K2943">
        <v>4384421238</v>
      </c>
      <c r="L2943">
        <v>4259552440</v>
      </c>
      <c r="M2943">
        <v>3543995167</v>
      </c>
      <c r="N2943">
        <v>3311119859</v>
      </c>
      <c r="O2943">
        <v>3364120308</v>
      </c>
      <c r="P2943">
        <v>136</v>
      </c>
      <c r="Q2943" t="s">
        <v>6231</v>
      </c>
    </row>
    <row r="2944" spans="1:17" x14ac:dyDescent="0.3">
      <c r="A2944" t="s">
        <v>17</v>
      </c>
      <c r="B2944" t="str">
        <f>"603155"</f>
        <v>603155</v>
      </c>
      <c r="C2944" t="s">
        <v>6232</v>
      </c>
      <c r="D2944" t="s">
        <v>1833</v>
      </c>
      <c r="E2944">
        <v>2696366822</v>
      </c>
      <c r="F2944">
        <v>2153698794</v>
      </c>
      <c r="P2944">
        <v>76</v>
      </c>
      <c r="Q2944" t="s">
        <v>6233</v>
      </c>
    </row>
    <row r="2945" spans="1:17" x14ac:dyDescent="0.3">
      <c r="A2945" t="s">
        <v>47</v>
      </c>
      <c r="B2945" t="str">
        <f>"300470"</f>
        <v>300470</v>
      </c>
      <c r="C2945" t="s">
        <v>6234</v>
      </c>
      <c r="D2945" t="s">
        <v>1433</v>
      </c>
      <c r="E2945">
        <v>2694408972</v>
      </c>
      <c r="F2945">
        <v>2435657984</v>
      </c>
      <c r="G2945">
        <v>1819889602</v>
      </c>
      <c r="H2945">
        <v>1643442208</v>
      </c>
      <c r="I2945">
        <v>1207179732</v>
      </c>
      <c r="J2945">
        <v>1230842048</v>
      </c>
      <c r="K2945">
        <v>931381795</v>
      </c>
      <c r="L2945">
        <v>483227618</v>
      </c>
      <c r="P2945">
        <v>347</v>
      </c>
      <c r="Q2945" t="s">
        <v>6235</v>
      </c>
    </row>
    <row r="2946" spans="1:17" x14ac:dyDescent="0.3">
      <c r="A2946" t="s">
        <v>47</v>
      </c>
      <c r="B2946" t="str">
        <f>"300683"</f>
        <v>300683</v>
      </c>
      <c r="C2946" t="s">
        <v>6236</v>
      </c>
      <c r="D2946" t="s">
        <v>1480</v>
      </c>
      <c r="E2946">
        <v>2694221728</v>
      </c>
      <c r="F2946">
        <v>2172091701</v>
      </c>
      <c r="G2946">
        <v>2172082532</v>
      </c>
      <c r="H2946">
        <v>2170514974</v>
      </c>
      <c r="I2946">
        <v>1902780948</v>
      </c>
      <c r="J2946">
        <v>1004647500</v>
      </c>
      <c r="P2946">
        <v>123</v>
      </c>
      <c r="Q2946" t="s">
        <v>6237</v>
      </c>
    </row>
    <row r="2947" spans="1:17" x14ac:dyDescent="0.3">
      <c r="A2947" t="s">
        <v>47</v>
      </c>
      <c r="B2947" t="str">
        <f>"300593"</f>
        <v>300593</v>
      </c>
      <c r="C2947" t="s">
        <v>6238</v>
      </c>
      <c r="D2947" t="s">
        <v>2256</v>
      </c>
      <c r="E2947">
        <v>2693614406</v>
      </c>
      <c r="F2947">
        <v>1832253730</v>
      </c>
      <c r="G2947">
        <v>1404514287</v>
      </c>
      <c r="H2947">
        <v>1350674907</v>
      </c>
      <c r="I2947">
        <v>789665411</v>
      </c>
      <c r="J2947">
        <v>738773499</v>
      </c>
      <c r="P2947">
        <v>254</v>
      </c>
      <c r="Q2947" t="s">
        <v>6239</v>
      </c>
    </row>
    <row r="2948" spans="1:17" x14ac:dyDescent="0.3">
      <c r="A2948" t="s">
        <v>47</v>
      </c>
      <c r="B2948" t="str">
        <f>"300489"</f>
        <v>300489</v>
      </c>
      <c r="C2948" t="s">
        <v>6240</v>
      </c>
      <c r="D2948" t="s">
        <v>346</v>
      </c>
      <c r="E2948">
        <v>2692398608</v>
      </c>
      <c r="F2948">
        <v>2306242927</v>
      </c>
      <c r="G2948">
        <v>499744588</v>
      </c>
      <c r="H2948">
        <v>643216848</v>
      </c>
      <c r="I2948">
        <v>666993944</v>
      </c>
      <c r="J2948">
        <v>625111824</v>
      </c>
      <c r="K2948">
        <v>574446756</v>
      </c>
      <c r="L2948">
        <v>481475975</v>
      </c>
      <c r="P2948">
        <v>71</v>
      </c>
      <c r="Q2948" t="s">
        <v>6241</v>
      </c>
    </row>
    <row r="2949" spans="1:17" x14ac:dyDescent="0.3">
      <c r="A2949" t="s">
        <v>47</v>
      </c>
      <c r="B2949" t="str">
        <f>"300801"</f>
        <v>300801</v>
      </c>
      <c r="C2949" t="s">
        <v>6242</v>
      </c>
      <c r="D2949" t="s">
        <v>710</v>
      </c>
      <c r="E2949">
        <v>2691602338</v>
      </c>
      <c r="F2949">
        <v>2148716624</v>
      </c>
      <c r="G2949">
        <v>2000436970</v>
      </c>
      <c r="P2949">
        <v>112</v>
      </c>
      <c r="Q2949" t="s">
        <v>6243</v>
      </c>
    </row>
    <row r="2950" spans="1:17" x14ac:dyDescent="0.3">
      <c r="A2950" t="s">
        <v>47</v>
      </c>
      <c r="B2950" t="str">
        <f>"300447"</f>
        <v>300447</v>
      </c>
      <c r="C2950" t="s">
        <v>6244</v>
      </c>
      <c r="D2950" t="s">
        <v>1385</v>
      </c>
      <c r="E2950">
        <v>2691327824</v>
      </c>
      <c r="F2950">
        <v>1845214960</v>
      </c>
      <c r="G2950">
        <v>1442991366</v>
      </c>
      <c r="H2950">
        <v>1590766705</v>
      </c>
      <c r="I2950">
        <v>1756417073</v>
      </c>
      <c r="J2950">
        <v>929623846</v>
      </c>
      <c r="K2950">
        <v>714612810</v>
      </c>
      <c r="P2950">
        <v>119</v>
      </c>
      <c r="Q2950" t="s">
        <v>6245</v>
      </c>
    </row>
    <row r="2951" spans="1:17" x14ac:dyDescent="0.3">
      <c r="A2951" t="s">
        <v>17</v>
      </c>
      <c r="B2951" t="str">
        <f>"600070"</f>
        <v>600070</v>
      </c>
      <c r="C2951" t="s">
        <v>6246</v>
      </c>
      <c r="D2951" t="s">
        <v>810</v>
      </c>
      <c r="E2951">
        <v>2690867538</v>
      </c>
      <c r="F2951">
        <v>3781584055</v>
      </c>
      <c r="G2951">
        <v>4821281028</v>
      </c>
      <c r="H2951">
        <v>4342742140</v>
      </c>
      <c r="I2951">
        <v>3828045006</v>
      </c>
      <c r="J2951">
        <v>3567010398</v>
      </c>
      <c r="K2951">
        <v>2019016565</v>
      </c>
      <c r="L2951">
        <v>2094008677</v>
      </c>
      <c r="M2951">
        <v>1812672229</v>
      </c>
      <c r="N2951">
        <v>1608659377</v>
      </c>
      <c r="O2951">
        <v>1492202099</v>
      </c>
      <c r="P2951">
        <v>183</v>
      </c>
      <c r="Q2951" t="s">
        <v>6247</v>
      </c>
    </row>
    <row r="2952" spans="1:17" x14ac:dyDescent="0.3">
      <c r="A2952" t="s">
        <v>47</v>
      </c>
      <c r="B2952" t="str">
        <f>"002086"</f>
        <v>002086</v>
      </c>
      <c r="C2952" t="s">
        <v>6248</v>
      </c>
      <c r="D2952" t="s">
        <v>3602</v>
      </c>
      <c r="E2952">
        <v>2681728780</v>
      </c>
      <c r="F2952">
        <v>3259001087</v>
      </c>
      <c r="G2952">
        <v>3627260975</v>
      </c>
      <c r="H2952">
        <v>4173494934</v>
      </c>
      <c r="I2952">
        <v>4075194753</v>
      </c>
      <c r="J2952">
        <v>3842887077</v>
      </c>
      <c r="K2952">
        <v>3624508586</v>
      </c>
      <c r="L2952">
        <v>2920250092</v>
      </c>
      <c r="M2952">
        <v>2607092997</v>
      </c>
      <c r="N2952">
        <v>2408244679</v>
      </c>
      <c r="O2952">
        <v>2138248474</v>
      </c>
      <c r="P2952">
        <v>70</v>
      </c>
      <c r="Q2952" t="s">
        <v>6249</v>
      </c>
    </row>
    <row r="2953" spans="1:17" x14ac:dyDescent="0.3">
      <c r="A2953" t="s">
        <v>17</v>
      </c>
      <c r="B2953" t="str">
        <f>"603319"</f>
        <v>603319</v>
      </c>
      <c r="C2953" t="s">
        <v>6250</v>
      </c>
      <c r="D2953" t="s">
        <v>274</v>
      </c>
      <c r="E2953">
        <v>2681524360</v>
      </c>
      <c r="F2953">
        <v>2531850922</v>
      </c>
      <c r="G2953">
        <v>1937631542</v>
      </c>
      <c r="H2953">
        <v>1455731069</v>
      </c>
      <c r="I2953">
        <v>1205175194</v>
      </c>
      <c r="J2953">
        <v>945404390</v>
      </c>
      <c r="P2953">
        <v>171</v>
      </c>
      <c r="Q2953" t="s">
        <v>6251</v>
      </c>
    </row>
    <row r="2954" spans="1:17" x14ac:dyDescent="0.3">
      <c r="A2954" t="s">
        <v>17</v>
      </c>
      <c r="B2954" t="str">
        <f>"605188"</f>
        <v>605188</v>
      </c>
      <c r="C2954" t="s">
        <v>6252</v>
      </c>
      <c r="D2954" t="s">
        <v>692</v>
      </c>
      <c r="E2954">
        <v>2680516626</v>
      </c>
      <c r="F2954">
        <v>2567229916</v>
      </c>
      <c r="G2954">
        <v>1955418345</v>
      </c>
      <c r="P2954">
        <v>43</v>
      </c>
      <c r="Q2954" t="s">
        <v>6253</v>
      </c>
    </row>
    <row r="2955" spans="1:17" x14ac:dyDescent="0.3">
      <c r="A2955" t="s">
        <v>47</v>
      </c>
      <c r="B2955" t="str">
        <f>"002357"</f>
        <v>002357</v>
      </c>
      <c r="C2955" t="s">
        <v>6254</v>
      </c>
      <c r="D2955" t="s">
        <v>1773</v>
      </c>
      <c r="E2955">
        <v>2672226156</v>
      </c>
      <c r="F2955">
        <v>2640697309</v>
      </c>
      <c r="G2955">
        <v>2612626193</v>
      </c>
      <c r="H2955">
        <v>2700745674</v>
      </c>
      <c r="I2955">
        <v>2733250122</v>
      </c>
      <c r="J2955">
        <v>2936345222</v>
      </c>
      <c r="K2955">
        <v>2960936876</v>
      </c>
      <c r="L2955">
        <v>1303696858</v>
      </c>
      <c r="M2955">
        <v>1114148886</v>
      </c>
      <c r="N2955">
        <v>1081405076</v>
      </c>
      <c r="O2955">
        <v>924719217</v>
      </c>
      <c r="P2955">
        <v>102</v>
      </c>
      <c r="Q2955" t="s">
        <v>6255</v>
      </c>
    </row>
    <row r="2956" spans="1:17" x14ac:dyDescent="0.3">
      <c r="A2956" t="s">
        <v>17</v>
      </c>
      <c r="B2956" t="str">
        <f>"603900"</f>
        <v>603900</v>
      </c>
      <c r="C2956" t="s">
        <v>6256</v>
      </c>
      <c r="D2956" t="s">
        <v>1508</v>
      </c>
      <c r="E2956">
        <v>2668722540</v>
      </c>
      <c r="F2956">
        <v>2783386506</v>
      </c>
      <c r="G2956">
        <v>2662219836</v>
      </c>
      <c r="H2956">
        <v>2890130344</v>
      </c>
      <c r="I2956">
        <v>2874987461</v>
      </c>
      <c r="J2956">
        <v>2520084532</v>
      </c>
      <c r="P2956">
        <v>137</v>
      </c>
      <c r="Q2956" t="s">
        <v>6257</v>
      </c>
    </row>
    <row r="2957" spans="1:17" x14ac:dyDescent="0.3">
      <c r="A2957" t="s">
        <v>47</v>
      </c>
      <c r="B2957" t="str">
        <f>"300958"</f>
        <v>300958</v>
      </c>
      <c r="C2957" t="s">
        <v>6258</v>
      </c>
      <c r="D2957" t="s">
        <v>1269</v>
      </c>
      <c r="E2957">
        <v>2668191761</v>
      </c>
      <c r="F2957">
        <v>2402230706</v>
      </c>
      <c r="P2957">
        <v>28</v>
      </c>
      <c r="Q2957" t="s">
        <v>6259</v>
      </c>
    </row>
    <row r="2958" spans="1:17" x14ac:dyDescent="0.3">
      <c r="A2958" t="s">
        <v>47</v>
      </c>
      <c r="B2958" t="str">
        <f>"002297"</f>
        <v>002297</v>
      </c>
      <c r="C2958" t="s">
        <v>6260</v>
      </c>
      <c r="D2958" t="s">
        <v>570</v>
      </c>
      <c r="E2958">
        <v>2664166230</v>
      </c>
      <c r="F2958">
        <v>2037372888</v>
      </c>
      <c r="G2958">
        <v>1852871878</v>
      </c>
      <c r="H2958">
        <v>2190655268</v>
      </c>
      <c r="I2958">
        <v>2207213986</v>
      </c>
      <c r="J2958">
        <v>2451739503</v>
      </c>
      <c r="K2958">
        <v>1718554556</v>
      </c>
      <c r="L2958">
        <v>1773793894</v>
      </c>
      <c r="M2958">
        <v>1717056445</v>
      </c>
      <c r="N2958">
        <v>1219732033</v>
      </c>
      <c r="O2958">
        <v>1003676414</v>
      </c>
      <c r="P2958">
        <v>100</v>
      </c>
      <c r="Q2958" t="s">
        <v>6261</v>
      </c>
    </row>
    <row r="2959" spans="1:17" x14ac:dyDescent="0.3">
      <c r="A2959" t="s">
        <v>47</v>
      </c>
      <c r="B2959" t="str">
        <f>"300292"</f>
        <v>300292</v>
      </c>
      <c r="C2959" t="s">
        <v>6262</v>
      </c>
      <c r="D2959" t="s">
        <v>3761</v>
      </c>
      <c r="E2959">
        <v>2661823568</v>
      </c>
      <c r="F2959">
        <v>2655204061</v>
      </c>
      <c r="G2959">
        <v>2704336407</v>
      </c>
      <c r="H2959">
        <v>2681615373</v>
      </c>
      <c r="I2959">
        <v>3540874082</v>
      </c>
      <c r="J2959">
        <v>3237631767</v>
      </c>
      <c r="K2959">
        <v>3009860137</v>
      </c>
      <c r="L2959">
        <v>1430326512</v>
      </c>
      <c r="M2959">
        <v>759252285</v>
      </c>
      <c r="N2959">
        <v>468276729</v>
      </c>
      <c r="O2959">
        <v>482640899</v>
      </c>
      <c r="P2959">
        <v>205</v>
      </c>
      <c r="Q2959" t="s">
        <v>6263</v>
      </c>
    </row>
    <row r="2960" spans="1:17" x14ac:dyDescent="0.3">
      <c r="A2960" t="s">
        <v>47</v>
      </c>
      <c r="B2960" t="str">
        <f>"300803"</f>
        <v>300803</v>
      </c>
      <c r="C2960" t="s">
        <v>6264</v>
      </c>
      <c r="D2960" t="s">
        <v>1859</v>
      </c>
      <c r="E2960">
        <v>2658195203</v>
      </c>
      <c r="F2960">
        <v>1861626465</v>
      </c>
      <c r="G2960">
        <v>1547570793</v>
      </c>
      <c r="P2960">
        <v>194</v>
      </c>
      <c r="Q2960" t="s">
        <v>6265</v>
      </c>
    </row>
    <row r="2961" spans="1:17" x14ac:dyDescent="0.3">
      <c r="A2961" t="s">
        <v>47</v>
      </c>
      <c r="B2961" t="str">
        <f>"002377"</f>
        <v>002377</v>
      </c>
      <c r="C2961" t="s">
        <v>6266</v>
      </c>
      <c r="D2961" t="s">
        <v>1202</v>
      </c>
      <c r="E2961">
        <v>2657818469</v>
      </c>
      <c r="F2961">
        <v>4339350269</v>
      </c>
      <c r="G2961">
        <v>6429623650</v>
      </c>
      <c r="H2961">
        <v>6424819855</v>
      </c>
      <c r="I2961">
        <v>6323441348</v>
      </c>
      <c r="J2961">
        <v>1482262935</v>
      </c>
      <c r="K2961">
        <v>1771377546</v>
      </c>
      <c r="L2961">
        <v>2106012931</v>
      </c>
      <c r="M2961">
        <v>1713381234</v>
      </c>
      <c r="N2961">
        <v>1897234668</v>
      </c>
      <c r="O2961">
        <v>1441297346</v>
      </c>
      <c r="P2961">
        <v>95</v>
      </c>
      <c r="Q2961" t="s">
        <v>6267</v>
      </c>
    </row>
    <row r="2962" spans="1:17" x14ac:dyDescent="0.3">
      <c r="A2962" t="s">
        <v>47</v>
      </c>
      <c r="B2962" t="str">
        <f>"301037"</f>
        <v>301037</v>
      </c>
      <c r="C2962" t="s">
        <v>6268</v>
      </c>
      <c r="D2962" t="s">
        <v>5419</v>
      </c>
      <c r="E2962">
        <v>2657272586</v>
      </c>
      <c r="F2962">
        <v>1966141796</v>
      </c>
      <c r="P2962">
        <v>13</v>
      </c>
      <c r="Q2962" t="s">
        <v>6269</v>
      </c>
    </row>
    <row r="2963" spans="1:17" x14ac:dyDescent="0.3">
      <c r="A2963" t="s">
        <v>47</v>
      </c>
      <c r="B2963" t="str">
        <f>"300873"</f>
        <v>300873</v>
      </c>
      <c r="C2963" t="s">
        <v>6270</v>
      </c>
      <c r="D2963" t="s">
        <v>939</v>
      </c>
      <c r="E2963">
        <v>2657254912</v>
      </c>
      <c r="F2963">
        <v>2289465693</v>
      </c>
      <c r="P2963">
        <v>88</v>
      </c>
      <c r="Q2963" t="s">
        <v>6271</v>
      </c>
    </row>
    <row r="2964" spans="1:17" x14ac:dyDescent="0.3">
      <c r="A2964" t="s">
        <v>47</v>
      </c>
      <c r="B2964" t="str">
        <f>"002953"</f>
        <v>002953</v>
      </c>
      <c r="C2964" t="s">
        <v>6272</v>
      </c>
      <c r="D2964" t="s">
        <v>1616</v>
      </c>
      <c r="E2964">
        <v>2653840629</v>
      </c>
      <c r="F2964">
        <v>2400429050</v>
      </c>
      <c r="G2964">
        <v>1184706268</v>
      </c>
      <c r="H2964">
        <v>862647305</v>
      </c>
      <c r="P2964">
        <v>99</v>
      </c>
      <c r="Q2964" t="s">
        <v>6273</v>
      </c>
    </row>
    <row r="2965" spans="1:17" x14ac:dyDescent="0.3">
      <c r="A2965" t="s">
        <v>47</v>
      </c>
      <c r="B2965" t="str">
        <f>"300231"</f>
        <v>300231</v>
      </c>
      <c r="C2965" t="s">
        <v>6274</v>
      </c>
      <c r="D2965" t="s">
        <v>700</v>
      </c>
      <c r="E2965">
        <v>2653270407</v>
      </c>
      <c r="F2965">
        <v>2720106515</v>
      </c>
      <c r="G2965">
        <v>2249712923</v>
      </c>
      <c r="H2965">
        <v>2469655334</v>
      </c>
      <c r="I2965">
        <v>1789932064</v>
      </c>
      <c r="J2965">
        <v>1062255965</v>
      </c>
      <c r="K2965">
        <v>844800781</v>
      </c>
      <c r="L2965">
        <v>525525198</v>
      </c>
      <c r="M2965">
        <v>449186794</v>
      </c>
      <c r="N2965">
        <v>407104984</v>
      </c>
      <c r="O2965">
        <v>337942613</v>
      </c>
      <c r="P2965">
        <v>264</v>
      </c>
      <c r="Q2965" t="s">
        <v>6275</v>
      </c>
    </row>
    <row r="2966" spans="1:17" x14ac:dyDescent="0.3">
      <c r="A2966" t="s">
        <v>47</v>
      </c>
      <c r="B2966" t="str">
        <f>"002161"</f>
        <v>002161</v>
      </c>
      <c r="C2966" t="s">
        <v>6276</v>
      </c>
      <c r="D2966" t="s">
        <v>1609</v>
      </c>
      <c r="E2966">
        <v>2649153278</v>
      </c>
      <c r="F2966">
        <v>2660176068</v>
      </c>
      <c r="G2966">
        <v>2308218497</v>
      </c>
      <c r="H2966">
        <v>2100925511</v>
      </c>
      <c r="I2966">
        <v>2340771521</v>
      </c>
      <c r="J2966">
        <v>2096951356</v>
      </c>
      <c r="K2966">
        <v>1868515707</v>
      </c>
      <c r="L2966">
        <v>1641805232</v>
      </c>
      <c r="M2966">
        <v>1563422997</v>
      </c>
      <c r="N2966">
        <v>1620199122</v>
      </c>
      <c r="O2966">
        <v>1434471125</v>
      </c>
      <c r="P2966">
        <v>211</v>
      </c>
      <c r="Q2966" t="s">
        <v>6277</v>
      </c>
    </row>
    <row r="2967" spans="1:17" x14ac:dyDescent="0.3">
      <c r="A2967" t="s">
        <v>47</v>
      </c>
      <c r="B2967" t="str">
        <f>"002295"</f>
        <v>002295</v>
      </c>
      <c r="C2967" t="s">
        <v>6278</v>
      </c>
      <c r="D2967" t="s">
        <v>301</v>
      </c>
      <c r="E2967">
        <v>2648123758</v>
      </c>
      <c r="F2967">
        <v>2486626176</v>
      </c>
      <c r="G2967">
        <v>2335060339</v>
      </c>
      <c r="H2967">
        <v>1983813517</v>
      </c>
      <c r="I2967">
        <v>1986260506</v>
      </c>
      <c r="J2967">
        <v>1703987835</v>
      </c>
      <c r="K2967">
        <v>1224002590</v>
      </c>
      <c r="L2967">
        <v>1313651631</v>
      </c>
      <c r="M2967">
        <v>1398248910</v>
      </c>
      <c r="N2967">
        <v>1375961756</v>
      </c>
      <c r="O2967">
        <v>1279784677</v>
      </c>
      <c r="P2967">
        <v>56</v>
      </c>
      <c r="Q2967" t="s">
        <v>6279</v>
      </c>
    </row>
    <row r="2968" spans="1:17" x14ac:dyDescent="0.3">
      <c r="A2968" t="s">
        <v>17</v>
      </c>
      <c r="B2968" t="str">
        <f>"603192"</f>
        <v>603192</v>
      </c>
      <c r="C2968" t="s">
        <v>6280</v>
      </c>
      <c r="D2968" t="s">
        <v>334</v>
      </c>
      <c r="E2968">
        <v>2645200070</v>
      </c>
      <c r="F2968">
        <v>2119916809</v>
      </c>
      <c r="G2968">
        <v>1565045566</v>
      </c>
      <c r="H2968">
        <v>1505672139</v>
      </c>
      <c r="I2968">
        <v>1114714500</v>
      </c>
      <c r="P2968">
        <v>82</v>
      </c>
      <c r="Q2968" t="s">
        <v>6281</v>
      </c>
    </row>
    <row r="2969" spans="1:17" x14ac:dyDescent="0.3">
      <c r="A2969" t="s">
        <v>47</v>
      </c>
      <c r="B2969" t="str">
        <f>"300434"</f>
        <v>300434</v>
      </c>
      <c r="C2969" t="s">
        <v>6282</v>
      </c>
      <c r="D2969" t="s">
        <v>550</v>
      </c>
      <c r="E2969">
        <v>2644934286</v>
      </c>
      <c r="F2969">
        <v>2602021496</v>
      </c>
      <c r="G2969">
        <v>3177982033</v>
      </c>
      <c r="H2969">
        <v>3143330205</v>
      </c>
      <c r="I2969">
        <v>3078778712</v>
      </c>
      <c r="J2969">
        <v>482119033</v>
      </c>
      <c r="K2969">
        <v>438387277</v>
      </c>
      <c r="L2969">
        <v>274860866</v>
      </c>
      <c r="P2969">
        <v>96</v>
      </c>
      <c r="Q2969" t="s">
        <v>6283</v>
      </c>
    </row>
    <row r="2970" spans="1:17" x14ac:dyDescent="0.3">
      <c r="A2970" t="s">
        <v>47</v>
      </c>
      <c r="B2970" t="str">
        <f>"301103"</f>
        <v>301103</v>
      </c>
      <c r="C2970" t="s">
        <v>6284</v>
      </c>
      <c r="E2970">
        <v>2644806041</v>
      </c>
      <c r="P2970">
        <v>5</v>
      </c>
      <c r="Q2970" t="s">
        <v>6285</v>
      </c>
    </row>
    <row r="2971" spans="1:17" x14ac:dyDescent="0.3">
      <c r="A2971" t="s">
        <v>47</v>
      </c>
      <c r="B2971" t="str">
        <f>"300394"</f>
        <v>300394</v>
      </c>
      <c r="C2971" t="s">
        <v>6286</v>
      </c>
      <c r="D2971" t="s">
        <v>367</v>
      </c>
      <c r="E2971">
        <v>2644175688</v>
      </c>
      <c r="F2971">
        <v>2433319178</v>
      </c>
      <c r="G2971">
        <v>1428073505</v>
      </c>
      <c r="H2971">
        <v>1235763372</v>
      </c>
      <c r="I2971">
        <v>932995775</v>
      </c>
      <c r="J2971">
        <v>842644953</v>
      </c>
      <c r="K2971">
        <v>739924483</v>
      </c>
      <c r="L2971">
        <v>723509427</v>
      </c>
      <c r="P2971">
        <v>802</v>
      </c>
      <c r="Q2971" t="s">
        <v>6287</v>
      </c>
    </row>
    <row r="2972" spans="1:17" x14ac:dyDescent="0.3">
      <c r="A2972" t="s">
        <v>17</v>
      </c>
      <c r="B2972" t="str">
        <f>"601069"</f>
        <v>601069</v>
      </c>
      <c r="C2972" t="s">
        <v>6288</v>
      </c>
      <c r="D2972" t="s">
        <v>600</v>
      </c>
      <c r="E2972">
        <v>2643753623</v>
      </c>
      <c r="F2972">
        <v>2754537582</v>
      </c>
      <c r="G2972">
        <v>2757293614</v>
      </c>
      <c r="H2972">
        <v>2672386202</v>
      </c>
      <c r="I2972">
        <v>2418352857</v>
      </c>
      <c r="J2972">
        <v>2539274466</v>
      </c>
      <c r="K2972">
        <v>2461840828</v>
      </c>
      <c r="L2972">
        <v>2444909272</v>
      </c>
      <c r="P2972">
        <v>142</v>
      </c>
      <c r="Q2972" t="s">
        <v>6289</v>
      </c>
    </row>
    <row r="2973" spans="1:17" x14ac:dyDescent="0.3">
      <c r="A2973" t="s">
        <v>47</v>
      </c>
      <c r="B2973" t="str">
        <f>"300879"</f>
        <v>300879</v>
      </c>
      <c r="C2973" t="s">
        <v>6290</v>
      </c>
      <c r="D2973" t="s">
        <v>1973</v>
      </c>
      <c r="E2973">
        <v>2643292602</v>
      </c>
      <c r="F2973">
        <v>2050335667</v>
      </c>
      <c r="P2973">
        <v>52</v>
      </c>
      <c r="Q2973" t="s">
        <v>6291</v>
      </c>
    </row>
    <row r="2974" spans="1:17" x14ac:dyDescent="0.3">
      <c r="A2974" t="s">
        <v>47</v>
      </c>
      <c r="B2974" t="str">
        <f>"002033"</f>
        <v>002033</v>
      </c>
      <c r="C2974" t="s">
        <v>6292</v>
      </c>
      <c r="D2974" t="s">
        <v>4410</v>
      </c>
      <c r="E2974">
        <v>2642893831</v>
      </c>
      <c r="F2974">
        <v>2931639622</v>
      </c>
      <c r="G2974">
        <v>2833393705</v>
      </c>
      <c r="H2974">
        <v>2744960051</v>
      </c>
      <c r="I2974">
        <v>2705353777</v>
      </c>
      <c r="J2974">
        <v>2850670007</v>
      </c>
      <c r="K2974">
        <v>2714876252</v>
      </c>
      <c r="L2974">
        <v>2591101021</v>
      </c>
      <c r="M2974">
        <v>2363604768</v>
      </c>
      <c r="N2974">
        <v>1528071064</v>
      </c>
      <c r="O2974">
        <v>1207850177</v>
      </c>
      <c r="P2974">
        <v>278</v>
      </c>
      <c r="Q2974" t="s">
        <v>6293</v>
      </c>
    </row>
    <row r="2975" spans="1:17" x14ac:dyDescent="0.3">
      <c r="A2975" t="s">
        <v>47</v>
      </c>
      <c r="B2975" t="str">
        <f>"002351"</f>
        <v>002351</v>
      </c>
      <c r="C2975" t="s">
        <v>6294</v>
      </c>
      <c r="D2975" t="s">
        <v>1238</v>
      </c>
      <c r="E2975">
        <v>2642140443</v>
      </c>
      <c r="F2975">
        <v>2634910684</v>
      </c>
      <c r="G2975">
        <v>2240203047</v>
      </c>
      <c r="H2975">
        <v>2003560079</v>
      </c>
      <c r="I2975">
        <v>1977873658</v>
      </c>
      <c r="J2975">
        <v>1986850825</v>
      </c>
      <c r="K2975">
        <v>1880332928</v>
      </c>
      <c r="L2975">
        <v>1799753359</v>
      </c>
      <c r="M2975">
        <v>1737044032</v>
      </c>
      <c r="N2975">
        <v>1729741772</v>
      </c>
      <c r="O2975">
        <v>1706703518</v>
      </c>
      <c r="P2975">
        <v>339</v>
      </c>
      <c r="Q2975" t="s">
        <v>6295</v>
      </c>
    </row>
    <row r="2976" spans="1:17" x14ac:dyDescent="0.3">
      <c r="A2976" t="s">
        <v>47</v>
      </c>
      <c r="B2976" t="str">
        <f>"002162"</f>
        <v>002162</v>
      </c>
      <c r="C2976" t="s">
        <v>6296</v>
      </c>
      <c r="D2976" t="s">
        <v>2406</v>
      </c>
      <c r="E2976">
        <v>2640273978</v>
      </c>
      <c r="F2976">
        <v>2472343154</v>
      </c>
      <c r="G2976">
        <v>2308120870</v>
      </c>
      <c r="H2976">
        <v>2277295490</v>
      </c>
      <c r="I2976">
        <v>2116463259</v>
      </c>
      <c r="J2976">
        <v>2071982004</v>
      </c>
      <c r="K2976">
        <v>2122300631</v>
      </c>
      <c r="L2976">
        <v>2087616094</v>
      </c>
      <c r="M2976">
        <v>2084343742</v>
      </c>
      <c r="N2976">
        <v>1791583920</v>
      </c>
      <c r="O2976">
        <v>1862849341</v>
      </c>
      <c r="P2976">
        <v>137</v>
      </c>
      <c r="Q2976" t="s">
        <v>6297</v>
      </c>
    </row>
    <row r="2977" spans="1:17" x14ac:dyDescent="0.3">
      <c r="A2977" t="s">
        <v>17</v>
      </c>
      <c r="B2977" t="str">
        <f>"600865"</f>
        <v>600865</v>
      </c>
      <c r="C2977" t="s">
        <v>6298</v>
      </c>
      <c r="D2977" t="s">
        <v>1073</v>
      </c>
      <c r="E2977">
        <v>2639581877</v>
      </c>
      <c r="F2977">
        <v>2691049378</v>
      </c>
      <c r="G2977">
        <v>2171063569</v>
      </c>
      <c r="H2977">
        <v>2106267387</v>
      </c>
      <c r="I2977">
        <v>2129872167</v>
      </c>
      <c r="J2977">
        <v>2044141996</v>
      </c>
      <c r="K2977">
        <v>1764273589</v>
      </c>
      <c r="L2977">
        <v>1833314005</v>
      </c>
      <c r="M2977">
        <v>2292857022</v>
      </c>
      <c r="N2977">
        <v>4958737352</v>
      </c>
      <c r="O2977">
        <v>4268237111</v>
      </c>
      <c r="P2977">
        <v>123</v>
      </c>
      <c r="Q2977" t="s">
        <v>6299</v>
      </c>
    </row>
    <row r="2978" spans="1:17" x14ac:dyDescent="0.3">
      <c r="A2978" t="s">
        <v>17</v>
      </c>
      <c r="B2978" t="str">
        <f>"600896"</f>
        <v>600896</v>
      </c>
      <c r="C2978" t="s">
        <v>6300</v>
      </c>
      <c r="D2978" t="s">
        <v>1585</v>
      </c>
      <c r="E2978">
        <v>2637662633</v>
      </c>
      <c r="F2978">
        <v>2836377447</v>
      </c>
      <c r="G2978">
        <v>2257219759</v>
      </c>
      <c r="H2978">
        <v>2295913293</v>
      </c>
      <c r="I2978">
        <v>3848247263</v>
      </c>
      <c r="J2978">
        <v>4332111809</v>
      </c>
      <c r="K2978">
        <v>5558482603</v>
      </c>
      <c r="L2978">
        <v>6398267631</v>
      </c>
      <c r="M2978">
        <v>5414675509</v>
      </c>
      <c r="N2978">
        <v>5888606989</v>
      </c>
      <c r="O2978">
        <v>5072231630</v>
      </c>
      <c r="P2978">
        <v>93</v>
      </c>
      <c r="Q2978" t="s">
        <v>6301</v>
      </c>
    </row>
    <row r="2979" spans="1:17" x14ac:dyDescent="0.3">
      <c r="A2979" t="s">
        <v>47</v>
      </c>
      <c r="B2979" t="str">
        <f>"002869"</f>
        <v>002869</v>
      </c>
      <c r="C2979" t="s">
        <v>6302</v>
      </c>
      <c r="D2979" t="s">
        <v>1609</v>
      </c>
      <c r="E2979">
        <v>2637597898</v>
      </c>
      <c r="F2979">
        <v>2835390831</v>
      </c>
      <c r="G2979">
        <v>3688287737</v>
      </c>
      <c r="H2979">
        <v>1373691294</v>
      </c>
      <c r="I2979">
        <v>1309302748</v>
      </c>
      <c r="J2979">
        <v>738321260</v>
      </c>
      <c r="P2979">
        <v>600</v>
      </c>
      <c r="Q2979" t="s">
        <v>6303</v>
      </c>
    </row>
    <row r="2980" spans="1:17" x14ac:dyDescent="0.3">
      <c r="A2980" t="s">
        <v>47</v>
      </c>
      <c r="B2980" t="str">
        <f>"301093"</f>
        <v>301093</v>
      </c>
      <c r="C2980" t="s">
        <v>6304</v>
      </c>
      <c r="D2980" t="s">
        <v>1650</v>
      </c>
      <c r="E2980">
        <v>2633035782</v>
      </c>
      <c r="P2980">
        <v>30</v>
      </c>
      <c r="Q2980" t="s">
        <v>6305</v>
      </c>
    </row>
    <row r="2981" spans="1:17" x14ac:dyDescent="0.3">
      <c r="A2981" t="s">
        <v>47</v>
      </c>
      <c r="B2981" t="str">
        <f>"300632"</f>
        <v>300632</v>
      </c>
      <c r="C2981" t="s">
        <v>6306</v>
      </c>
      <c r="D2981" t="s">
        <v>862</v>
      </c>
      <c r="E2981">
        <v>2632502923</v>
      </c>
      <c r="F2981">
        <v>2378006830</v>
      </c>
      <c r="G2981">
        <v>1226473811</v>
      </c>
      <c r="H2981">
        <v>1177672541</v>
      </c>
      <c r="I2981">
        <v>700026099</v>
      </c>
      <c r="J2981">
        <v>657409284</v>
      </c>
      <c r="P2981">
        <v>201</v>
      </c>
      <c r="Q2981" t="s">
        <v>6307</v>
      </c>
    </row>
    <row r="2982" spans="1:17" x14ac:dyDescent="0.3">
      <c r="A2982" t="s">
        <v>47</v>
      </c>
      <c r="B2982" t="str">
        <f>"002699"</f>
        <v>002699</v>
      </c>
      <c r="C2982" t="s">
        <v>6308</v>
      </c>
      <c r="D2982" t="s">
        <v>1673</v>
      </c>
      <c r="E2982">
        <v>2630638725</v>
      </c>
      <c r="F2982">
        <v>2682598926</v>
      </c>
      <c r="G2982">
        <v>3671230031</v>
      </c>
      <c r="H2982">
        <v>4099385233</v>
      </c>
      <c r="I2982">
        <v>4502474230</v>
      </c>
      <c r="J2982">
        <v>3707146946</v>
      </c>
      <c r="K2982">
        <v>1436047661</v>
      </c>
      <c r="L2982">
        <v>918266911</v>
      </c>
      <c r="M2982">
        <v>809173434</v>
      </c>
      <c r="N2982">
        <v>681165889</v>
      </c>
      <c r="P2982">
        <v>157</v>
      </c>
      <c r="Q2982" t="s">
        <v>6309</v>
      </c>
    </row>
    <row r="2983" spans="1:17" x14ac:dyDescent="0.3">
      <c r="A2983" t="s">
        <v>47</v>
      </c>
      <c r="B2983" t="str">
        <f>"300910"</f>
        <v>300910</v>
      </c>
      <c r="C2983" t="s">
        <v>6310</v>
      </c>
      <c r="D2983" t="s">
        <v>710</v>
      </c>
      <c r="E2983">
        <v>2629880465</v>
      </c>
      <c r="F2983">
        <v>2342532693</v>
      </c>
      <c r="P2983">
        <v>116</v>
      </c>
      <c r="Q2983" t="s">
        <v>6311</v>
      </c>
    </row>
    <row r="2984" spans="1:17" x14ac:dyDescent="0.3">
      <c r="A2984" t="s">
        <v>47</v>
      </c>
      <c r="B2984" t="str">
        <f>"300379"</f>
        <v>300379</v>
      </c>
      <c r="C2984" t="s">
        <v>6312</v>
      </c>
      <c r="D2984" t="s">
        <v>1859</v>
      </c>
      <c r="E2984">
        <v>2628660597</v>
      </c>
      <c r="F2984">
        <v>2445255186</v>
      </c>
      <c r="G2984">
        <v>2071894982</v>
      </c>
      <c r="H2984">
        <v>2014926608</v>
      </c>
      <c r="I2984">
        <v>1543707976</v>
      </c>
      <c r="J2984">
        <v>1882392758</v>
      </c>
      <c r="K2984">
        <v>912526771</v>
      </c>
      <c r="L2984">
        <v>808914310</v>
      </c>
      <c r="M2984">
        <v>392842444</v>
      </c>
      <c r="P2984">
        <v>395</v>
      </c>
      <c r="Q2984" t="s">
        <v>6313</v>
      </c>
    </row>
    <row r="2985" spans="1:17" x14ac:dyDescent="0.3">
      <c r="A2985" t="s">
        <v>17</v>
      </c>
      <c r="B2985" t="str">
        <f>"603007"</f>
        <v>603007</v>
      </c>
      <c r="C2985" t="s">
        <v>6314</v>
      </c>
      <c r="D2985" t="s">
        <v>952</v>
      </c>
      <c r="E2985">
        <v>2627852118</v>
      </c>
      <c r="F2985">
        <v>3483670594</v>
      </c>
      <c r="G2985">
        <v>3539409527</v>
      </c>
      <c r="H2985">
        <v>3628246936</v>
      </c>
      <c r="I2985">
        <v>2899022278</v>
      </c>
      <c r="J2985">
        <v>1514675770</v>
      </c>
      <c r="K2985">
        <v>974747000</v>
      </c>
      <c r="P2985">
        <v>81</v>
      </c>
      <c r="Q2985" t="s">
        <v>6315</v>
      </c>
    </row>
    <row r="2986" spans="1:17" x14ac:dyDescent="0.3">
      <c r="A2986" t="s">
        <v>17</v>
      </c>
      <c r="B2986" t="str">
        <f>"600405"</f>
        <v>600405</v>
      </c>
      <c r="C2986" t="s">
        <v>6316</v>
      </c>
      <c r="D2986" t="s">
        <v>2256</v>
      </c>
      <c r="E2986">
        <v>2625311399</v>
      </c>
      <c r="F2986">
        <v>2510872425</v>
      </c>
      <c r="G2986">
        <v>2525884941</v>
      </c>
      <c r="H2986">
        <v>2526440068</v>
      </c>
      <c r="I2986">
        <v>2682223958</v>
      </c>
      <c r="J2986">
        <v>2709503542</v>
      </c>
      <c r="K2986">
        <v>2306926380</v>
      </c>
      <c r="L2986">
        <v>1784953792</v>
      </c>
      <c r="M2986">
        <v>1668172771</v>
      </c>
      <c r="N2986">
        <v>1313224451</v>
      </c>
      <c r="O2986">
        <v>1211684733</v>
      </c>
      <c r="P2986">
        <v>255</v>
      </c>
      <c r="Q2986" t="s">
        <v>6317</v>
      </c>
    </row>
    <row r="2987" spans="1:17" x14ac:dyDescent="0.3">
      <c r="A2987" t="s">
        <v>17</v>
      </c>
      <c r="B2987" t="str">
        <f>"605178"</f>
        <v>605178</v>
      </c>
      <c r="C2987" t="s">
        <v>6318</v>
      </c>
      <c r="D2987" t="s">
        <v>1163</v>
      </c>
      <c r="E2987">
        <v>2623644942</v>
      </c>
      <c r="F2987">
        <v>2624055024</v>
      </c>
      <c r="H2987">
        <v>1367673407</v>
      </c>
      <c r="P2987">
        <v>49</v>
      </c>
      <c r="Q2987" t="s">
        <v>6319</v>
      </c>
    </row>
    <row r="2988" spans="1:17" x14ac:dyDescent="0.3">
      <c r="A2988" t="s">
        <v>17</v>
      </c>
      <c r="B2988" t="str">
        <f>"605088"</f>
        <v>605088</v>
      </c>
      <c r="C2988" t="s">
        <v>6320</v>
      </c>
      <c r="D2988" t="s">
        <v>274</v>
      </c>
      <c r="E2988">
        <v>2623096945</v>
      </c>
      <c r="F2988">
        <v>2246918763</v>
      </c>
      <c r="G2988">
        <v>1376928570</v>
      </c>
      <c r="P2988">
        <v>47</v>
      </c>
      <c r="Q2988" t="s">
        <v>6321</v>
      </c>
    </row>
    <row r="2989" spans="1:17" x14ac:dyDescent="0.3">
      <c r="A2989" t="s">
        <v>47</v>
      </c>
      <c r="B2989" t="str">
        <f>"002347"</f>
        <v>002347</v>
      </c>
      <c r="C2989" t="s">
        <v>6322</v>
      </c>
      <c r="D2989" t="s">
        <v>401</v>
      </c>
      <c r="E2989">
        <v>2622341625</v>
      </c>
      <c r="F2989">
        <v>2066606334</v>
      </c>
      <c r="G2989">
        <v>2076747913</v>
      </c>
      <c r="H2989">
        <v>2172912707</v>
      </c>
      <c r="I2989">
        <v>1961328857</v>
      </c>
      <c r="J2989">
        <v>1765644305</v>
      </c>
      <c r="K2989">
        <v>1769208835</v>
      </c>
      <c r="L2989">
        <v>1740269619</v>
      </c>
      <c r="M2989">
        <v>1695104270</v>
      </c>
      <c r="N2989">
        <v>1565849408</v>
      </c>
      <c r="O2989">
        <v>1207582275</v>
      </c>
      <c r="P2989">
        <v>75</v>
      </c>
      <c r="Q2989" t="s">
        <v>6323</v>
      </c>
    </row>
    <row r="2990" spans="1:17" x14ac:dyDescent="0.3">
      <c r="A2990" t="s">
        <v>47</v>
      </c>
      <c r="B2990" t="str">
        <f>"300721"</f>
        <v>300721</v>
      </c>
      <c r="C2990" t="s">
        <v>6324</v>
      </c>
      <c r="D2990" t="s">
        <v>710</v>
      </c>
      <c r="E2990">
        <v>2619778127</v>
      </c>
      <c r="F2990">
        <v>2386092163</v>
      </c>
      <c r="G2990">
        <v>1856731820</v>
      </c>
      <c r="H2990">
        <v>1459466705</v>
      </c>
      <c r="I2990">
        <v>1273347345</v>
      </c>
      <c r="P2990">
        <v>73</v>
      </c>
      <c r="Q2990" t="s">
        <v>6325</v>
      </c>
    </row>
    <row r="2991" spans="1:17" x14ac:dyDescent="0.3">
      <c r="A2991" t="s">
        <v>47</v>
      </c>
      <c r="B2991" t="str">
        <f>"301189"</f>
        <v>301189</v>
      </c>
      <c r="C2991" t="s">
        <v>6326</v>
      </c>
      <c r="D2991" t="s">
        <v>1238</v>
      </c>
      <c r="E2991">
        <v>2618812404</v>
      </c>
      <c r="P2991">
        <v>10</v>
      </c>
      <c r="Q2991" t="s">
        <v>6327</v>
      </c>
    </row>
    <row r="2992" spans="1:17" x14ac:dyDescent="0.3">
      <c r="A2992" t="s">
        <v>47</v>
      </c>
      <c r="B2992" t="str">
        <f>"301096"</f>
        <v>301096</v>
      </c>
      <c r="C2992" t="s">
        <v>6328</v>
      </c>
      <c r="D2992" t="s">
        <v>777</v>
      </c>
      <c r="E2992">
        <v>2616781426</v>
      </c>
      <c r="P2992">
        <v>26</v>
      </c>
      <c r="Q2992" t="s">
        <v>6329</v>
      </c>
    </row>
    <row r="2993" spans="1:17" x14ac:dyDescent="0.3">
      <c r="A2993" t="s">
        <v>17</v>
      </c>
      <c r="B2993" t="str">
        <f>"688003"</f>
        <v>688003</v>
      </c>
      <c r="C2993" t="s">
        <v>6330</v>
      </c>
      <c r="D2993" t="s">
        <v>4037</v>
      </c>
      <c r="E2993">
        <v>2611524114</v>
      </c>
      <c r="F2993">
        <v>2064529862</v>
      </c>
      <c r="G2993">
        <v>1941624302</v>
      </c>
      <c r="H2993">
        <v>556155600</v>
      </c>
      <c r="P2993">
        <v>141</v>
      </c>
      <c r="Q2993" t="s">
        <v>6331</v>
      </c>
    </row>
    <row r="2994" spans="1:17" x14ac:dyDescent="0.3">
      <c r="A2994" t="s">
        <v>47</v>
      </c>
      <c r="B2994" t="str">
        <f>"301032"</f>
        <v>301032</v>
      </c>
      <c r="C2994" t="s">
        <v>6332</v>
      </c>
      <c r="D2994" t="s">
        <v>1433</v>
      </c>
      <c r="E2994">
        <v>2608311048</v>
      </c>
      <c r="F2994">
        <v>2693578034</v>
      </c>
      <c r="P2994">
        <v>19</v>
      </c>
      <c r="Q2994" t="s">
        <v>6333</v>
      </c>
    </row>
    <row r="2995" spans="1:17" x14ac:dyDescent="0.3">
      <c r="A2995" t="s">
        <v>47</v>
      </c>
      <c r="B2995" t="str">
        <f>"300048"</f>
        <v>300048</v>
      </c>
      <c r="C2995" t="s">
        <v>6334</v>
      </c>
      <c r="D2995" t="s">
        <v>1360</v>
      </c>
      <c r="E2995">
        <v>2608238906</v>
      </c>
      <c r="F2995">
        <v>2542766286</v>
      </c>
      <c r="G2995">
        <v>3625662396</v>
      </c>
      <c r="H2995">
        <v>4143918431</v>
      </c>
      <c r="I2995">
        <v>4595418358</v>
      </c>
      <c r="J2995">
        <v>4779307090</v>
      </c>
      <c r="K2995">
        <v>3301847482</v>
      </c>
      <c r="L2995">
        <v>2038952715</v>
      </c>
      <c r="M2995">
        <v>1915670046</v>
      </c>
      <c r="N2995">
        <v>1797053572</v>
      </c>
      <c r="O2995">
        <v>1732903362</v>
      </c>
      <c r="P2995">
        <v>119</v>
      </c>
      <c r="Q2995" t="s">
        <v>6335</v>
      </c>
    </row>
    <row r="2996" spans="1:17" x14ac:dyDescent="0.3">
      <c r="A2996" t="s">
        <v>47</v>
      </c>
      <c r="B2996" t="str">
        <f>"002331"</f>
        <v>002331</v>
      </c>
      <c r="C2996" t="s">
        <v>6336</v>
      </c>
      <c r="D2996" t="s">
        <v>700</v>
      </c>
      <c r="E2996">
        <v>2607016481</v>
      </c>
      <c r="F2996">
        <v>2666978629</v>
      </c>
      <c r="G2996">
        <v>3032565898</v>
      </c>
      <c r="H2996">
        <v>2761419139</v>
      </c>
      <c r="I2996">
        <v>2281802834</v>
      </c>
      <c r="J2996">
        <v>1827461261</v>
      </c>
      <c r="K2996">
        <v>1833422883</v>
      </c>
      <c r="L2996">
        <v>1557395804</v>
      </c>
      <c r="M2996">
        <v>1193909414</v>
      </c>
      <c r="N2996">
        <v>1115026182</v>
      </c>
      <c r="O2996">
        <v>939583830</v>
      </c>
      <c r="P2996">
        <v>121</v>
      </c>
      <c r="Q2996" t="s">
        <v>6337</v>
      </c>
    </row>
    <row r="2997" spans="1:17" x14ac:dyDescent="0.3">
      <c r="A2997" t="s">
        <v>47</v>
      </c>
      <c r="B2997" t="str">
        <f>"000523"</f>
        <v>000523</v>
      </c>
      <c r="C2997" t="s">
        <v>6338</v>
      </c>
      <c r="D2997" t="s">
        <v>6339</v>
      </c>
      <c r="E2997">
        <v>2603419152</v>
      </c>
      <c r="F2997">
        <v>3293345828</v>
      </c>
      <c r="G2997">
        <v>8889428677</v>
      </c>
      <c r="H2997">
        <v>7137798689</v>
      </c>
      <c r="I2997">
        <v>5584680107</v>
      </c>
      <c r="J2997">
        <v>4377660448</v>
      </c>
      <c r="K2997">
        <v>3514056315</v>
      </c>
      <c r="L2997">
        <v>2981610694</v>
      </c>
      <c r="M2997">
        <v>2350165273</v>
      </c>
      <c r="N2997">
        <v>1786082861</v>
      </c>
      <c r="O2997">
        <v>1512447773</v>
      </c>
      <c r="P2997">
        <v>97</v>
      </c>
      <c r="Q2997" t="s">
        <v>6340</v>
      </c>
    </row>
    <row r="2998" spans="1:17" x14ac:dyDescent="0.3">
      <c r="A2998" t="s">
        <v>17</v>
      </c>
      <c r="B2998" t="str">
        <f>"600666"</f>
        <v>600666</v>
      </c>
      <c r="C2998" t="s">
        <v>6341</v>
      </c>
      <c r="D2998" t="s">
        <v>181</v>
      </c>
      <c r="E2998">
        <v>2600783853</v>
      </c>
      <c r="F2998">
        <v>2895061853</v>
      </c>
      <c r="G2998">
        <v>3603586385</v>
      </c>
      <c r="H2998">
        <v>4341530958</v>
      </c>
      <c r="I2998">
        <v>6596940381</v>
      </c>
      <c r="J2998">
        <v>6783974872</v>
      </c>
      <c r="K2998">
        <v>5748266512</v>
      </c>
      <c r="L2998">
        <v>2063030195</v>
      </c>
      <c r="M2998">
        <v>2133352297</v>
      </c>
      <c r="N2998">
        <v>1591226870</v>
      </c>
      <c r="O2998">
        <v>1611587601</v>
      </c>
      <c r="P2998">
        <v>75</v>
      </c>
      <c r="Q2998" t="s">
        <v>6342</v>
      </c>
    </row>
    <row r="2999" spans="1:17" x14ac:dyDescent="0.3">
      <c r="A2999" t="s">
        <v>47</v>
      </c>
      <c r="B2999" t="str">
        <f>"300857"</f>
        <v>300857</v>
      </c>
      <c r="C2999" t="s">
        <v>6343</v>
      </c>
      <c r="D2999" t="s">
        <v>283</v>
      </c>
      <c r="E2999">
        <v>2599538955</v>
      </c>
      <c r="F2999">
        <v>2154908021</v>
      </c>
      <c r="G2999">
        <v>1236109991</v>
      </c>
      <c r="P2999">
        <v>59</v>
      </c>
      <c r="Q2999" t="s">
        <v>6344</v>
      </c>
    </row>
    <row r="3000" spans="1:17" x14ac:dyDescent="0.3">
      <c r="A3000" t="s">
        <v>47</v>
      </c>
      <c r="B3000" t="str">
        <f>"301030"</f>
        <v>301030</v>
      </c>
      <c r="C3000" t="s">
        <v>6345</v>
      </c>
      <c r="D3000" t="s">
        <v>1347</v>
      </c>
      <c r="E3000">
        <v>2597778067</v>
      </c>
      <c r="F3000">
        <v>2106400169</v>
      </c>
      <c r="P3000">
        <v>19</v>
      </c>
      <c r="Q3000" t="s">
        <v>6346</v>
      </c>
    </row>
    <row r="3001" spans="1:17" x14ac:dyDescent="0.3">
      <c r="A3001" t="s">
        <v>17</v>
      </c>
      <c r="B3001" t="str">
        <f>"688299"</f>
        <v>688299</v>
      </c>
      <c r="C3001" t="s">
        <v>6347</v>
      </c>
      <c r="D3001" t="s">
        <v>181</v>
      </c>
      <c r="E3001">
        <v>2596130398</v>
      </c>
      <c r="F3001">
        <v>2229588243</v>
      </c>
      <c r="G3001">
        <v>2051515728</v>
      </c>
      <c r="P3001">
        <v>239</v>
      </c>
      <c r="Q3001" t="s">
        <v>6348</v>
      </c>
    </row>
    <row r="3002" spans="1:17" x14ac:dyDescent="0.3">
      <c r="A3002" t="s">
        <v>17</v>
      </c>
      <c r="B3002" t="str">
        <f>"688086"</f>
        <v>688086</v>
      </c>
      <c r="C3002" t="s">
        <v>6349</v>
      </c>
      <c r="D3002" t="s">
        <v>765</v>
      </c>
      <c r="E3002">
        <v>2595462511</v>
      </c>
      <c r="F3002">
        <v>2810372553</v>
      </c>
      <c r="G3002">
        <v>2433929063</v>
      </c>
      <c r="I3002">
        <v>579341547</v>
      </c>
      <c r="P3002">
        <v>84</v>
      </c>
      <c r="Q3002" t="s">
        <v>6350</v>
      </c>
    </row>
    <row r="3003" spans="1:17" x14ac:dyDescent="0.3">
      <c r="A3003" t="s">
        <v>17</v>
      </c>
      <c r="B3003" t="str">
        <f>"603256"</f>
        <v>603256</v>
      </c>
      <c r="C3003" t="s">
        <v>6351</v>
      </c>
      <c r="D3003" t="s">
        <v>923</v>
      </c>
      <c r="E3003">
        <v>2595126501</v>
      </c>
      <c r="F3003">
        <v>2209165104</v>
      </c>
      <c r="G3003">
        <v>1784193071</v>
      </c>
      <c r="H3003">
        <v>1396793185</v>
      </c>
      <c r="P3003">
        <v>340</v>
      </c>
      <c r="Q3003" t="s">
        <v>6352</v>
      </c>
    </row>
    <row r="3004" spans="1:17" x14ac:dyDescent="0.3">
      <c r="A3004" t="s">
        <v>47</v>
      </c>
      <c r="B3004" t="str">
        <f>"300325"</f>
        <v>300325</v>
      </c>
      <c r="C3004" t="s">
        <v>6353</v>
      </c>
      <c r="D3004" t="s">
        <v>3077</v>
      </c>
      <c r="E3004">
        <v>2593594921</v>
      </c>
      <c r="F3004">
        <v>2611800516</v>
      </c>
      <c r="G3004">
        <v>3259946627</v>
      </c>
      <c r="H3004">
        <v>4116572527</v>
      </c>
      <c r="I3004">
        <v>4518573659</v>
      </c>
      <c r="J3004">
        <v>3406579171</v>
      </c>
      <c r="K3004">
        <v>2911464597</v>
      </c>
      <c r="L3004">
        <v>1857988786</v>
      </c>
      <c r="M3004">
        <v>1463610819</v>
      </c>
      <c r="N3004">
        <v>1192265745</v>
      </c>
      <c r="O3004">
        <v>734060251</v>
      </c>
      <c r="P3004">
        <v>81</v>
      </c>
      <c r="Q3004" t="s">
        <v>6354</v>
      </c>
    </row>
    <row r="3005" spans="1:17" x14ac:dyDescent="0.3">
      <c r="A3005" t="s">
        <v>47</v>
      </c>
      <c r="B3005" t="str">
        <f>"300389"</f>
        <v>300389</v>
      </c>
      <c r="C3005" t="s">
        <v>6355</v>
      </c>
      <c r="D3005" t="s">
        <v>862</v>
      </c>
      <c r="E3005">
        <v>2591106707</v>
      </c>
      <c r="F3005">
        <v>2087732517</v>
      </c>
      <c r="G3005">
        <v>2294207592</v>
      </c>
      <c r="H3005">
        <v>2083558504</v>
      </c>
      <c r="I3005">
        <v>1757386576</v>
      </c>
      <c r="J3005">
        <v>1717837204</v>
      </c>
      <c r="K3005">
        <v>1403627830</v>
      </c>
      <c r="L3005">
        <v>1190384287</v>
      </c>
      <c r="M3005">
        <v>678461183</v>
      </c>
      <c r="P3005">
        <v>198</v>
      </c>
      <c r="Q3005" t="s">
        <v>6356</v>
      </c>
    </row>
    <row r="3006" spans="1:17" x14ac:dyDescent="0.3">
      <c r="A3006" t="s">
        <v>47</v>
      </c>
      <c r="B3006" t="str">
        <f>"301080"</f>
        <v>301080</v>
      </c>
      <c r="C3006" t="s">
        <v>6357</v>
      </c>
      <c r="D3006" t="s">
        <v>777</v>
      </c>
      <c r="E3006">
        <v>2591024719</v>
      </c>
      <c r="P3006">
        <v>52</v>
      </c>
      <c r="Q3006" t="s">
        <v>6358</v>
      </c>
    </row>
    <row r="3007" spans="1:17" x14ac:dyDescent="0.3">
      <c r="A3007" t="s">
        <v>47</v>
      </c>
      <c r="B3007" t="str">
        <f>"002184"</f>
        <v>002184</v>
      </c>
      <c r="C3007" t="s">
        <v>6359</v>
      </c>
      <c r="D3007" t="s">
        <v>1360</v>
      </c>
      <c r="E3007">
        <v>2586184017</v>
      </c>
      <c r="F3007">
        <v>2278574514</v>
      </c>
      <c r="G3007">
        <v>2098382116</v>
      </c>
      <c r="H3007">
        <v>1996319822</v>
      </c>
      <c r="I3007">
        <v>2197912823</v>
      </c>
      <c r="J3007">
        <v>2121675627</v>
      </c>
      <c r="K3007">
        <v>1852540286</v>
      </c>
      <c r="L3007">
        <v>1541124580</v>
      </c>
      <c r="M3007">
        <v>1335294724</v>
      </c>
      <c r="N3007">
        <v>1210614468</v>
      </c>
      <c r="O3007">
        <v>1106563293</v>
      </c>
      <c r="P3007">
        <v>186</v>
      </c>
      <c r="Q3007" t="s">
        <v>6360</v>
      </c>
    </row>
    <row r="3008" spans="1:17" x14ac:dyDescent="0.3">
      <c r="A3008" t="s">
        <v>47</v>
      </c>
      <c r="B3008" t="str">
        <f>"300265"</f>
        <v>300265</v>
      </c>
      <c r="C3008" t="s">
        <v>6361</v>
      </c>
      <c r="D3008" t="s">
        <v>1616</v>
      </c>
      <c r="E3008">
        <v>2585520373</v>
      </c>
      <c r="F3008">
        <v>2419175009</v>
      </c>
      <c r="G3008">
        <v>2244143375</v>
      </c>
      <c r="H3008">
        <v>2211024599</v>
      </c>
      <c r="I3008">
        <v>2094862113</v>
      </c>
      <c r="J3008">
        <v>2097958192</v>
      </c>
      <c r="K3008">
        <v>1336781939</v>
      </c>
      <c r="L3008">
        <v>1222694816</v>
      </c>
      <c r="M3008">
        <v>1157292508</v>
      </c>
      <c r="N3008">
        <v>1186094438</v>
      </c>
      <c r="O3008">
        <v>1068806346</v>
      </c>
      <c r="P3008">
        <v>162</v>
      </c>
      <c r="Q3008" t="s">
        <v>6362</v>
      </c>
    </row>
    <row r="3009" spans="1:17" x14ac:dyDescent="0.3">
      <c r="A3009" t="s">
        <v>17</v>
      </c>
      <c r="B3009" t="str">
        <f>"688010"</f>
        <v>688010</v>
      </c>
      <c r="C3009" t="s">
        <v>6363</v>
      </c>
      <c r="D3009" t="s">
        <v>1487</v>
      </c>
      <c r="E3009">
        <v>2583820415</v>
      </c>
      <c r="F3009">
        <v>2353458622</v>
      </c>
      <c r="G3009">
        <v>2159487258</v>
      </c>
      <c r="H3009">
        <v>949655168</v>
      </c>
      <c r="P3009">
        <v>125</v>
      </c>
      <c r="Q3009" t="s">
        <v>6364</v>
      </c>
    </row>
    <row r="3010" spans="1:17" x14ac:dyDescent="0.3">
      <c r="A3010" t="s">
        <v>17</v>
      </c>
      <c r="B3010" t="str">
        <f>"603938"</f>
        <v>603938</v>
      </c>
      <c r="C3010" t="s">
        <v>6365</v>
      </c>
      <c r="D3010" t="s">
        <v>1274</v>
      </c>
      <c r="E3010">
        <v>2581215071</v>
      </c>
      <c r="F3010">
        <v>1675645352</v>
      </c>
      <c r="G3010">
        <v>1324528880</v>
      </c>
      <c r="H3010">
        <v>1181433313</v>
      </c>
      <c r="I3010">
        <v>1106029165</v>
      </c>
      <c r="J3010">
        <v>634219201</v>
      </c>
      <c r="P3010">
        <v>102</v>
      </c>
      <c r="Q3010" t="s">
        <v>6366</v>
      </c>
    </row>
    <row r="3011" spans="1:17" x14ac:dyDescent="0.3">
      <c r="A3011" t="s">
        <v>17</v>
      </c>
      <c r="B3011" t="str">
        <f>"605068"</f>
        <v>605068</v>
      </c>
      <c r="C3011" t="s">
        <v>6367</v>
      </c>
      <c r="D3011" t="s">
        <v>416</v>
      </c>
      <c r="E3011">
        <v>2580990275</v>
      </c>
      <c r="F3011">
        <v>2243102253</v>
      </c>
      <c r="P3011">
        <v>89</v>
      </c>
      <c r="Q3011" t="s">
        <v>6368</v>
      </c>
    </row>
    <row r="3012" spans="1:17" x14ac:dyDescent="0.3">
      <c r="A3012" t="s">
        <v>47</v>
      </c>
      <c r="B3012" t="str">
        <f>"300005"</f>
        <v>300005</v>
      </c>
      <c r="C3012" t="s">
        <v>6369</v>
      </c>
      <c r="D3012" t="s">
        <v>6137</v>
      </c>
      <c r="E3012">
        <v>2580895073</v>
      </c>
      <c r="F3012">
        <v>2442356528</v>
      </c>
      <c r="G3012">
        <v>2751514230</v>
      </c>
      <c r="H3012">
        <v>2824247129</v>
      </c>
      <c r="I3012">
        <v>3261550525</v>
      </c>
      <c r="J3012">
        <v>3466665677</v>
      </c>
      <c r="K3012">
        <v>2654284965</v>
      </c>
      <c r="L3012">
        <v>1786065516</v>
      </c>
      <c r="M3012">
        <v>1470781172</v>
      </c>
      <c r="N3012">
        <v>1166941685</v>
      </c>
      <c r="O3012">
        <v>785485710</v>
      </c>
      <c r="P3012">
        <v>181</v>
      </c>
      <c r="Q3012" t="s">
        <v>6370</v>
      </c>
    </row>
    <row r="3013" spans="1:17" x14ac:dyDescent="0.3">
      <c r="A3013" t="s">
        <v>47</v>
      </c>
      <c r="B3013" t="str">
        <f>"000611"</f>
        <v>000611</v>
      </c>
      <c r="C3013" t="s">
        <v>6371</v>
      </c>
      <c r="D3013" t="s">
        <v>141</v>
      </c>
      <c r="E3013">
        <v>2580808939</v>
      </c>
      <c r="F3013">
        <v>2371273656</v>
      </c>
      <c r="G3013">
        <v>1699044329</v>
      </c>
      <c r="H3013">
        <v>1685206322</v>
      </c>
      <c r="I3013">
        <v>1908399756</v>
      </c>
      <c r="J3013">
        <v>379117265</v>
      </c>
      <c r="K3013">
        <v>396284711</v>
      </c>
      <c r="L3013">
        <v>704129367</v>
      </c>
      <c r="M3013">
        <v>731686728</v>
      </c>
      <c r="N3013">
        <v>751881964</v>
      </c>
      <c r="O3013">
        <v>758325970</v>
      </c>
      <c r="P3013">
        <v>68</v>
      </c>
      <c r="Q3013" t="s">
        <v>6372</v>
      </c>
    </row>
    <row r="3014" spans="1:17" x14ac:dyDescent="0.3">
      <c r="A3014" t="s">
        <v>47</v>
      </c>
      <c r="B3014" t="str">
        <f>"300560"</f>
        <v>300560</v>
      </c>
      <c r="C3014" t="s">
        <v>6373</v>
      </c>
      <c r="D3014" t="s">
        <v>2804</v>
      </c>
      <c r="E3014">
        <v>2579896372</v>
      </c>
      <c r="F3014">
        <v>1983750987</v>
      </c>
      <c r="G3014">
        <v>1217933792</v>
      </c>
      <c r="H3014">
        <v>990242047</v>
      </c>
      <c r="I3014">
        <v>582607684</v>
      </c>
      <c r="J3014">
        <v>520554666</v>
      </c>
      <c r="P3014">
        <v>192</v>
      </c>
      <c r="Q3014" t="s">
        <v>6374</v>
      </c>
    </row>
    <row r="3015" spans="1:17" x14ac:dyDescent="0.3">
      <c r="A3015" t="s">
        <v>47</v>
      </c>
      <c r="B3015" t="str">
        <f>"300310"</f>
        <v>300310</v>
      </c>
      <c r="C3015" t="s">
        <v>6375</v>
      </c>
      <c r="D3015" t="s">
        <v>2804</v>
      </c>
      <c r="E3015">
        <v>2579538351</v>
      </c>
      <c r="F3015">
        <v>2390978272</v>
      </c>
      <c r="G3015">
        <v>2380686831</v>
      </c>
      <c r="H3015">
        <v>2497569528</v>
      </c>
      <c r="I3015">
        <v>4433353659</v>
      </c>
      <c r="J3015">
        <v>3022244758</v>
      </c>
      <c r="K3015">
        <v>3265099957</v>
      </c>
      <c r="L3015">
        <v>879509458</v>
      </c>
      <c r="M3015">
        <v>789946345</v>
      </c>
      <c r="N3015">
        <v>685477373</v>
      </c>
      <c r="O3015">
        <v>313500575</v>
      </c>
      <c r="P3015">
        <v>257</v>
      </c>
      <c r="Q3015" t="s">
        <v>6376</v>
      </c>
    </row>
    <row r="3016" spans="1:17" x14ac:dyDescent="0.3">
      <c r="A3016" t="s">
        <v>17</v>
      </c>
      <c r="B3016" t="str">
        <f>"600506"</f>
        <v>600506</v>
      </c>
      <c r="C3016" t="s">
        <v>6377</v>
      </c>
      <c r="D3016" t="s">
        <v>1780</v>
      </c>
      <c r="E3016">
        <v>2578140651</v>
      </c>
      <c r="F3016">
        <v>298579298</v>
      </c>
      <c r="G3016">
        <v>294683432</v>
      </c>
      <c r="H3016">
        <v>296762566</v>
      </c>
      <c r="I3016">
        <v>291490112</v>
      </c>
      <c r="J3016">
        <v>281062662</v>
      </c>
      <c r="K3016">
        <v>288867367</v>
      </c>
      <c r="L3016">
        <v>285690509</v>
      </c>
      <c r="M3016">
        <v>304957007</v>
      </c>
      <c r="N3016">
        <v>306793226</v>
      </c>
      <c r="O3016">
        <v>314804096</v>
      </c>
      <c r="P3016">
        <v>67</v>
      </c>
      <c r="Q3016" t="s">
        <v>6378</v>
      </c>
    </row>
    <row r="3017" spans="1:17" x14ac:dyDescent="0.3">
      <c r="A3017" t="s">
        <v>47</v>
      </c>
      <c r="B3017" t="str">
        <f>"000978"</f>
        <v>000978</v>
      </c>
      <c r="C3017" t="s">
        <v>6379</v>
      </c>
      <c r="D3017" t="s">
        <v>4410</v>
      </c>
      <c r="E3017">
        <v>2576270046</v>
      </c>
      <c r="F3017">
        <v>2647266389</v>
      </c>
      <c r="G3017">
        <v>2810216244</v>
      </c>
      <c r="H3017">
        <v>2990526323</v>
      </c>
      <c r="I3017">
        <v>2647418598</v>
      </c>
      <c r="J3017">
        <v>2633506968</v>
      </c>
      <c r="K3017">
        <v>2728996462</v>
      </c>
      <c r="L3017">
        <v>2904635470</v>
      </c>
      <c r="M3017">
        <v>2785829111</v>
      </c>
      <c r="N3017">
        <v>2389513970</v>
      </c>
      <c r="O3017">
        <v>2176380560</v>
      </c>
      <c r="P3017">
        <v>140</v>
      </c>
      <c r="Q3017" t="s">
        <v>6380</v>
      </c>
    </row>
    <row r="3018" spans="1:17" x14ac:dyDescent="0.3">
      <c r="A3018" t="s">
        <v>47</v>
      </c>
      <c r="B3018" t="str">
        <f>"002828"</f>
        <v>002828</v>
      </c>
      <c r="C3018" t="s">
        <v>6381</v>
      </c>
      <c r="D3018" t="s">
        <v>655</v>
      </c>
      <c r="E3018">
        <v>2574315699</v>
      </c>
      <c r="F3018">
        <v>2652671102</v>
      </c>
      <c r="G3018">
        <v>2467855444</v>
      </c>
      <c r="H3018">
        <v>1842439143</v>
      </c>
      <c r="I3018">
        <v>1413580972</v>
      </c>
      <c r="J3018">
        <v>968569309</v>
      </c>
      <c r="P3018">
        <v>73</v>
      </c>
      <c r="Q3018" t="s">
        <v>6382</v>
      </c>
    </row>
    <row r="3019" spans="1:17" x14ac:dyDescent="0.3">
      <c r="A3019" t="s">
        <v>17</v>
      </c>
      <c r="B3019" t="str">
        <f>"601086"</f>
        <v>601086</v>
      </c>
      <c r="C3019" t="s">
        <v>6383</v>
      </c>
      <c r="D3019" t="s">
        <v>1073</v>
      </c>
      <c r="E3019">
        <v>2571481838</v>
      </c>
      <c r="F3019">
        <v>2989691299</v>
      </c>
      <c r="G3019">
        <v>2617016538</v>
      </c>
      <c r="H3019">
        <v>2756747554</v>
      </c>
      <c r="I3019">
        <v>2712894884</v>
      </c>
      <c r="P3019">
        <v>79</v>
      </c>
      <c r="Q3019" t="s">
        <v>6384</v>
      </c>
    </row>
    <row r="3020" spans="1:17" x14ac:dyDescent="0.3">
      <c r="A3020" t="s">
        <v>47</v>
      </c>
      <c r="B3020" t="str">
        <f>"300375"</f>
        <v>300375</v>
      </c>
      <c r="C3020" t="s">
        <v>6385</v>
      </c>
      <c r="D3020" t="s">
        <v>274</v>
      </c>
      <c r="E3020">
        <v>2571203617</v>
      </c>
      <c r="F3020">
        <v>2425796646</v>
      </c>
      <c r="G3020">
        <v>2922725425</v>
      </c>
      <c r="H3020">
        <v>2655013586</v>
      </c>
      <c r="I3020">
        <v>1903347559</v>
      </c>
      <c r="J3020">
        <v>1593801070</v>
      </c>
      <c r="K3020">
        <v>1431364703</v>
      </c>
      <c r="L3020">
        <v>1232209570</v>
      </c>
      <c r="M3020">
        <v>1056065995</v>
      </c>
      <c r="P3020">
        <v>99</v>
      </c>
      <c r="Q3020" t="s">
        <v>6386</v>
      </c>
    </row>
    <row r="3021" spans="1:17" x14ac:dyDescent="0.3">
      <c r="A3021" t="s">
        <v>17</v>
      </c>
      <c r="B3021" t="str">
        <f>"603822"</f>
        <v>603822</v>
      </c>
      <c r="C3021" t="s">
        <v>6387</v>
      </c>
      <c r="D3021" t="s">
        <v>710</v>
      </c>
      <c r="E3021">
        <v>2569447969</v>
      </c>
      <c r="F3021">
        <v>2050027765</v>
      </c>
      <c r="G3021">
        <v>1719093596</v>
      </c>
      <c r="H3021">
        <v>1442915970</v>
      </c>
      <c r="I3021">
        <v>1328026330</v>
      </c>
      <c r="J3021">
        <v>1122241905</v>
      </c>
      <c r="K3021">
        <v>778028095</v>
      </c>
      <c r="P3021">
        <v>124</v>
      </c>
      <c r="Q3021" t="s">
        <v>6388</v>
      </c>
    </row>
    <row r="3022" spans="1:17" x14ac:dyDescent="0.3">
      <c r="A3022" t="s">
        <v>47</v>
      </c>
      <c r="B3022" t="str">
        <f>"002502"</f>
        <v>002502</v>
      </c>
      <c r="C3022" t="s">
        <v>6389</v>
      </c>
      <c r="D3022" t="s">
        <v>1673</v>
      </c>
      <c r="E3022">
        <v>2569184105</v>
      </c>
      <c r="F3022">
        <v>2341800025</v>
      </c>
      <c r="G3022">
        <v>2278688940</v>
      </c>
      <c r="H3022">
        <v>2391472461</v>
      </c>
      <c r="I3022">
        <v>3831845476</v>
      </c>
      <c r="J3022">
        <v>3508853433</v>
      </c>
      <c r="K3022">
        <v>3324102171</v>
      </c>
      <c r="L3022">
        <v>1921639947</v>
      </c>
      <c r="M3022">
        <v>936726561</v>
      </c>
      <c r="N3022">
        <v>900176198</v>
      </c>
      <c r="O3022">
        <v>865956943</v>
      </c>
      <c r="P3022">
        <v>117</v>
      </c>
      <c r="Q3022" t="s">
        <v>6390</v>
      </c>
    </row>
    <row r="3023" spans="1:17" x14ac:dyDescent="0.3">
      <c r="A3023" t="s">
        <v>47</v>
      </c>
      <c r="B3023" t="str">
        <f>"002599"</f>
        <v>002599</v>
      </c>
      <c r="C3023" t="s">
        <v>6391</v>
      </c>
      <c r="D3023" t="s">
        <v>6392</v>
      </c>
      <c r="E3023">
        <v>2568893906</v>
      </c>
      <c r="F3023">
        <v>2613598671</v>
      </c>
      <c r="G3023">
        <v>2652509211</v>
      </c>
      <c r="H3023">
        <v>2420470590</v>
      </c>
      <c r="I3023">
        <v>2390624097</v>
      </c>
      <c r="J3023">
        <v>2102214263</v>
      </c>
      <c r="K3023">
        <v>1257274674</v>
      </c>
      <c r="L3023">
        <v>1109021256</v>
      </c>
      <c r="M3023">
        <v>990263955</v>
      </c>
      <c r="N3023">
        <v>906138164</v>
      </c>
      <c r="O3023">
        <v>868042310</v>
      </c>
      <c r="P3023">
        <v>87</v>
      </c>
      <c r="Q3023" t="s">
        <v>6393</v>
      </c>
    </row>
    <row r="3024" spans="1:17" x14ac:dyDescent="0.3">
      <c r="A3024" t="s">
        <v>17</v>
      </c>
      <c r="B3024" t="str">
        <f>"688192"</f>
        <v>688192</v>
      </c>
      <c r="C3024" t="s">
        <v>6394</v>
      </c>
      <c r="D3024" t="s">
        <v>550</v>
      </c>
      <c r="E3024">
        <v>2564066699</v>
      </c>
      <c r="P3024">
        <v>11</v>
      </c>
      <c r="Q3024" t="s">
        <v>6395</v>
      </c>
    </row>
    <row r="3025" spans="1:17" x14ac:dyDescent="0.3">
      <c r="A3025" t="s">
        <v>17</v>
      </c>
      <c r="B3025" t="str">
        <f>"600834"</f>
        <v>600834</v>
      </c>
      <c r="C3025" t="s">
        <v>6396</v>
      </c>
      <c r="D3025" t="s">
        <v>1773</v>
      </c>
      <c r="E3025">
        <v>2561644551</v>
      </c>
      <c r="F3025">
        <v>2876213202</v>
      </c>
      <c r="G3025">
        <v>2810782896</v>
      </c>
      <c r="H3025">
        <v>2995601947</v>
      </c>
      <c r="I3025">
        <v>2639076515</v>
      </c>
      <c r="J3025">
        <v>2411061998</v>
      </c>
      <c r="K3025">
        <v>2590597002</v>
      </c>
      <c r="L3025">
        <v>2375492558</v>
      </c>
      <c r="M3025">
        <v>1895510377</v>
      </c>
      <c r="N3025">
        <v>1823468566</v>
      </c>
      <c r="O3025">
        <v>1749373558</v>
      </c>
      <c r="P3025">
        <v>120</v>
      </c>
      <c r="Q3025" t="s">
        <v>6397</v>
      </c>
    </row>
    <row r="3026" spans="1:17" x14ac:dyDescent="0.3">
      <c r="A3026" t="s">
        <v>47</v>
      </c>
      <c r="B3026" t="str">
        <f>"300634"</f>
        <v>300634</v>
      </c>
      <c r="C3026" t="s">
        <v>6398</v>
      </c>
      <c r="D3026" t="s">
        <v>700</v>
      </c>
      <c r="E3026">
        <v>2560726991</v>
      </c>
      <c r="F3026">
        <v>1796981750</v>
      </c>
      <c r="G3026">
        <v>1776986294</v>
      </c>
      <c r="H3026">
        <v>1639055022</v>
      </c>
      <c r="I3026">
        <v>1310638669</v>
      </c>
      <c r="P3026">
        <v>159</v>
      </c>
      <c r="Q3026" t="s">
        <v>6399</v>
      </c>
    </row>
    <row r="3027" spans="1:17" x14ac:dyDescent="0.3">
      <c r="A3027" t="s">
        <v>17</v>
      </c>
      <c r="B3027" t="str">
        <f>"603688"</f>
        <v>603688</v>
      </c>
      <c r="C3027" t="s">
        <v>6400</v>
      </c>
      <c r="D3027" t="s">
        <v>1197</v>
      </c>
      <c r="E3027">
        <v>2559324118</v>
      </c>
      <c r="F3027">
        <v>2214013413</v>
      </c>
      <c r="G3027">
        <v>1972868078</v>
      </c>
      <c r="H3027">
        <v>1520568069</v>
      </c>
      <c r="I3027">
        <v>1401822686</v>
      </c>
      <c r="J3027">
        <v>1286279294</v>
      </c>
      <c r="K3027">
        <v>1215016641</v>
      </c>
      <c r="L3027">
        <v>1253959285</v>
      </c>
      <c r="P3027">
        <v>219</v>
      </c>
      <c r="Q3027" t="s">
        <v>6401</v>
      </c>
    </row>
    <row r="3028" spans="1:17" x14ac:dyDescent="0.3">
      <c r="A3028" t="s">
        <v>47</v>
      </c>
      <c r="B3028" t="str">
        <f>"002824"</f>
        <v>002824</v>
      </c>
      <c r="C3028" t="s">
        <v>6402</v>
      </c>
      <c r="D3028" t="s">
        <v>346</v>
      </c>
      <c r="E3028">
        <v>2557936357</v>
      </c>
      <c r="F3028">
        <v>1628405323</v>
      </c>
      <c r="G3028">
        <v>1385623595</v>
      </c>
      <c r="H3028">
        <v>1152825308</v>
      </c>
      <c r="I3028">
        <v>868585866</v>
      </c>
      <c r="J3028">
        <v>823035616</v>
      </c>
      <c r="P3028">
        <v>167</v>
      </c>
      <c r="Q3028" t="s">
        <v>6403</v>
      </c>
    </row>
    <row r="3029" spans="1:17" x14ac:dyDescent="0.3">
      <c r="A3029" t="s">
        <v>47</v>
      </c>
      <c r="B3029" t="str">
        <f>"300503"</f>
        <v>300503</v>
      </c>
      <c r="C3029" t="s">
        <v>6404</v>
      </c>
      <c r="D3029" t="s">
        <v>1433</v>
      </c>
      <c r="E3029">
        <v>2556040706</v>
      </c>
      <c r="F3029">
        <v>2132817831</v>
      </c>
      <c r="G3029">
        <v>1945353673</v>
      </c>
      <c r="H3029">
        <v>1741118585</v>
      </c>
      <c r="I3029">
        <v>1193361010</v>
      </c>
      <c r="J3029">
        <v>871326111</v>
      </c>
      <c r="K3029">
        <v>719138005</v>
      </c>
      <c r="P3029">
        <v>136</v>
      </c>
      <c r="Q3029" t="s">
        <v>6405</v>
      </c>
    </row>
    <row r="3030" spans="1:17" x14ac:dyDescent="0.3">
      <c r="A3030" t="s">
        <v>17</v>
      </c>
      <c r="B3030" t="str">
        <f>"603706"</f>
        <v>603706</v>
      </c>
      <c r="C3030" t="s">
        <v>6406</v>
      </c>
      <c r="D3030" t="s">
        <v>476</v>
      </c>
      <c r="E3030">
        <v>2553634137</v>
      </c>
      <c r="F3030">
        <v>2632442369</v>
      </c>
      <c r="G3030">
        <v>2194838719</v>
      </c>
      <c r="H3030">
        <v>1343333956</v>
      </c>
      <c r="I3030">
        <v>766235400</v>
      </c>
      <c r="P3030">
        <v>91</v>
      </c>
      <c r="Q3030" t="s">
        <v>6407</v>
      </c>
    </row>
    <row r="3031" spans="1:17" x14ac:dyDescent="0.3">
      <c r="A3031" t="s">
        <v>17</v>
      </c>
      <c r="B3031" t="str">
        <f>"605566"</f>
        <v>605566</v>
      </c>
      <c r="C3031" t="s">
        <v>6408</v>
      </c>
      <c r="D3031" t="s">
        <v>703</v>
      </c>
      <c r="E3031">
        <v>2552802893</v>
      </c>
      <c r="P3031">
        <v>22</v>
      </c>
      <c r="Q3031" t="s">
        <v>6409</v>
      </c>
    </row>
    <row r="3032" spans="1:17" x14ac:dyDescent="0.3">
      <c r="A3032" t="s">
        <v>47</v>
      </c>
      <c r="B3032" t="str">
        <f>"300181"</f>
        <v>300181</v>
      </c>
      <c r="C3032" t="s">
        <v>6410</v>
      </c>
      <c r="D3032" t="s">
        <v>695</v>
      </c>
      <c r="E3032">
        <v>2546426648</v>
      </c>
      <c r="F3032">
        <v>2654065875</v>
      </c>
      <c r="G3032">
        <v>2082435441</v>
      </c>
      <c r="H3032">
        <v>2181112935</v>
      </c>
      <c r="I3032">
        <v>2130748263</v>
      </c>
      <c r="J3032">
        <v>2001940551</v>
      </c>
      <c r="K3032">
        <v>1905816989</v>
      </c>
      <c r="L3032">
        <v>1174081229</v>
      </c>
      <c r="M3032">
        <v>929883887</v>
      </c>
      <c r="N3032">
        <v>860762361</v>
      </c>
      <c r="O3032">
        <v>842381529</v>
      </c>
      <c r="P3032">
        <v>174</v>
      </c>
      <c r="Q3032" t="s">
        <v>6411</v>
      </c>
    </row>
    <row r="3033" spans="1:17" x14ac:dyDescent="0.3">
      <c r="A3033" t="s">
        <v>17</v>
      </c>
      <c r="B3033" t="str">
        <f>"600527"</f>
        <v>600527</v>
      </c>
      <c r="C3033" t="s">
        <v>6412</v>
      </c>
      <c r="D3033" t="s">
        <v>3463</v>
      </c>
      <c r="E3033">
        <v>2544475983</v>
      </c>
      <c r="F3033">
        <v>2645431381</v>
      </c>
      <c r="G3033">
        <v>2520616236</v>
      </c>
      <c r="H3033">
        <v>2513214108</v>
      </c>
      <c r="I3033">
        <v>2583399509</v>
      </c>
      <c r="J3033">
        <v>1720781806</v>
      </c>
      <c r="K3033">
        <v>1763885196</v>
      </c>
      <c r="L3033">
        <v>1862203115</v>
      </c>
      <c r="M3033">
        <v>1946896433</v>
      </c>
      <c r="N3033">
        <v>1775351065</v>
      </c>
      <c r="O3033">
        <v>1578034218</v>
      </c>
      <c r="P3033">
        <v>112</v>
      </c>
      <c r="Q3033" t="s">
        <v>6413</v>
      </c>
    </row>
    <row r="3034" spans="1:17" x14ac:dyDescent="0.3">
      <c r="A3034" t="s">
        <v>47</v>
      </c>
      <c r="B3034" t="str">
        <f>"301088"</f>
        <v>301088</v>
      </c>
      <c r="C3034" t="s">
        <v>6414</v>
      </c>
      <c r="D3034" t="s">
        <v>628</v>
      </c>
      <c r="E3034">
        <v>2542056489</v>
      </c>
      <c r="P3034">
        <v>28</v>
      </c>
      <c r="Q3034" t="s">
        <v>6415</v>
      </c>
    </row>
    <row r="3035" spans="1:17" x14ac:dyDescent="0.3">
      <c r="A3035" t="s">
        <v>17</v>
      </c>
      <c r="B3035" t="str">
        <f>"688167"</f>
        <v>688167</v>
      </c>
      <c r="C3035" t="s">
        <v>6416</v>
      </c>
      <c r="D3035" t="s">
        <v>1296</v>
      </c>
      <c r="E3035">
        <v>2539175008</v>
      </c>
      <c r="P3035">
        <v>32</v>
      </c>
      <c r="Q3035" t="s">
        <v>6417</v>
      </c>
    </row>
    <row r="3036" spans="1:17" x14ac:dyDescent="0.3">
      <c r="A3036" t="s">
        <v>47</v>
      </c>
      <c r="B3036" t="str">
        <f>"300968"</f>
        <v>300968</v>
      </c>
      <c r="C3036" t="s">
        <v>6418</v>
      </c>
      <c r="D3036" t="s">
        <v>283</v>
      </c>
      <c r="E3036">
        <v>2536770755</v>
      </c>
      <c r="F3036">
        <v>1694141032</v>
      </c>
      <c r="P3036">
        <v>31</v>
      </c>
      <c r="Q3036" t="s">
        <v>6419</v>
      </c>
    </row>
    <row r="3037" spans="1:17" x14ac:dyDescent="0.3">
      <c r="A3037" t="s">
        <v>47</v>
      </c>
      <c r="B3037" t="str">
        <f>"002987"</f>
        <v>002987</v>
      </c>
      <c r="C3037" t="s">
        <v>6420</v>
      </c>
      <c r="D3037" t="s">
        <v>1859</v>
      </c>
      <c r="E3037">
        <v>2533795581</v>
      </c>
      <c r="F3037">
        <v>2153664821</v>
      </c>
      <c r="G3037">
        <v>915164282</v>
      </c>
      <c r="P3037">
        <v>127</v>
      </c>
      <c r="Q3037" t="s">
        <v>6421</v>
      </c>
    </row>
    <row r="3038" spans="1:17" x14ac:dyDescent="0.3">
      <c r="A3038" t="s">
        <v>47</v>
      </c>
      <c r="B3038" t="str">
        <f>"300397"</f>
        <v>300397</v>
      </c>
      <c r="C3038" t="s">
        <v>6422</v>
      </c>
      <c r="D3038" t="s">
        <v>570</v>
      </c>
      <c r="E3038">
        <v>2533661503</v>
      </c>
      <c r="F3038">
        <v>1918513447</v>
      </c>
      <c r="G3038">
        <v>1920181557</v>
      </c>
      <c r="H3038">
        <v>1457159769</v>
      </c>
      <c r="I3038">
        <v>1568122616</v>
      </c>
      <c r="J3038">
        <v>1651101464</v>
      </c>
      <c r="K3038">
        <v>1700991472</v>
      </c>
      <c r="L3038">
        <v>1473887921</v>
      </c>
      <c r="P3038">
        <v>232</v>
      </c>
      <c r="Q3038" t="s">
        <v>6423</v>
      </c>
    </row>
    <row r="3039" spans="1:17" x14ac:dyDescent="0.3">
      <c r="A3039" t="s">
        <v>17</v>
      </c>
      <c r="B3039" t="str">
        <f>"600630"</f>
        <v>600630</v>
      </c>
      <c r="C3039" t="s">
        <v>6424</v>
      </c>
      <c r="D3039" t="s">
        <v>628</v>
      </c>
      <c r="E3039">
        <v>2532529764</v>
      </c>
      <c r="F3039">
        <v>2705923279</v>
      </c>
      <c r="G3039">
        <v>3158452171</v>
      </c>
      <c r="H3039">
        <v>3097005560</v>
      </c>
      <c r="I3039">
        <v>2585561730</v>
      </c>
      <c r="J3039">
        <v>2563905220</v>
      </c>
      <c r="K3039">
        <v>2297537417</v>
      </c>
      <c r="L3039">
        <v>2292042733</v>
      </c>
      <c r="M3039">
        <v>2518683913</v>
      </c>
      <c r="N3039">
        <v>2530650412</v>
      </c>
      <c r="O3039">
        <v>2587852747</v>
      </c>
      <c r="P3039">
        <v>110</v>
      </c>
      <c r="Q3039" t="s">
        <v>6425</v>
      </c>
    </row>
    <row r="3040" spans="1:17" x14ac:dyDescent="0.3">
      <c r="A3040" t="s">
        <v>17</v>
      </c>
      <c r="B3040" t="str">
        <f>"605366"</f>
        <v>605366</v>
      </c>
      <c r="C3040" t="s">
        <v>6426</v>
      </c>
      <c r="D3040" t="s">
        <v>710</v>
      </c>
      <c r="E3040">
        <v>2530083626</v>
      </c>
      <c r="F3040">
        <v>1948343826</v>
      </c>
      <c r="G3040">
        <v>1159761946</v>
      </c>
      <c r="P3040">
        <v>59</v>
      </c>
      <c r="Q3040" t="s">
        <v>6427</v>
      </c>
    </row>
    <row r="3041" spans="1:17" x14ac:dyDescent="0.3">
      <c r="A3041" t="s">
        <v>47</v>
      </c>
      <c r="B3041" t="str">
        <f>"000788"</f>
        <v>000788</v>
      </c>
      <c r="C3041" t="s">
        <v>6428</v>
      </c>
      <c r="D3041" t="s">
        <v>550</v>
      </c>
      <c r="E3041">
        <v>2521615557</v>
      </c>
      <c r="F3041">
        <v>2319603896</v>
      </c>
      <c r="G3041">
        <v>2350760045</v>
      </c>
      <c r="H3041">
        <v>2166028050</v>
      </c>
      <c r="I3041">
        <v>2136181493</v>
      </c>
      <c r="J3041">
        <v>1970821375</v>
      </c>
      <c r="K3041">
        <v>2921842540</v>
      </c>
      <c r="L3041">
        <v>4560801414</v>
      </c>
      <c r="M3041">
        <v>4219384257</v>
      </c>
      <c r="N3041">
        <v>3946500797</v>
      </c>
      <c r="O3041">
        <v>3017013937</v>
      </c>
      <c r="P3041">
        <v>137</v>
      </c>
      <c r="Q3041" t="s">
        <v>6429</v>
      </c>
    </row>
    <row r="3042" spans="1:17" x14ac:dyDescent="0.3">
      <c r="A3042" t="s">
        <v>47</v>
      </c>
      <c r="B3042" t="str">
        <f>"300143"</f>
        <v>300143</v>
      </c>
      <c r="C3042" t="s">
        <v>6430</v>
      </c>
      <c r="D3042" t="s">
        <v>1585</v>
      </c>
      <c r="E3042">
        <v>2520945935</v>
      </c>
      <c r="F3042">
        <v>2794285489</v>
      </c>
      <c r="G3042">
        <v>1971923456</v>
      </c>
      <c r="H3042">
        <v>2611059120</v>
      </c>
      <c r="I3042">
        <v>2681674094</v>
      </c>
      <c r="J3042">
        <v>2450249099</v>
      </c>
      <c r="K3042">
        <v>1826548480</v>
      </c>
      <c r="L3042">
        <v>765037292</v>
      </c>
      <c r="M3042">
        <v>1036061647</v>
      </c>
      <c r="N3042">
        <v>1034228952</v>
      </c>
      <c r="O3042">
        <v>872564715</v>
      </c>
      <c r="P3042">
        <v>150</v>
      </c>
      <c r="Q3042" t="s">
        <v>6431</v>
      </c>
    </row>
    <row r="3043" spans="1:17" x14ac:dyDescent="0.3">
      <c r="A3043" t="s">
        <v>47</v>
      </c>
      <c r="B3043" t="str">
        <f>"002971"</f>
        <v>002971</v>
      </c>
      <c r="C3043" t="s">
        <v>6432</v>
      </c>
      <c r="D3043" t="s">
        <v>710</v>
      </c>
      <c r="E3043">
        <v>2519867278</v>
      </c>
      <c r="F3043">
        <v>1936867588</v>
      </c>
      <c r="G3043">
        <v>1807527049</v>
      </c>
      <c r="P3043">
        <v>70</v>
      </c>
      <c r="Q3043" t="s">
        <v>6433</v>
      </c>
    </row>
    <row r="3044" spans="1:17" x14ac:dyDescent="0.3">
      <c r="A3044" t="s">
        <v>17</v>
      </c>
      <c r="B3044" t="str">
        <f>"688238"</f>
        <v>688238</v>
      </c>
      <c r="C3044" t="s">
        <v>6434</v>
      </c>
      <c r="E3044">
        <v>2518637086</v>
      </c>
      <c r="P3044">
        <v>7</v>
      </c>
      <c r="Q3044" t="s">
        <v>6435</v>
      </c>
    </row>
    <row r="3045" spans="1:17" x14ac:dyDescent="0.3">
      <c r="A3045" t="s">
        <v>47</v>
      </c>
      <c r="B3045" t="str">
        <f>"300464"</f>
        <v>300464</v>
      </c>
      <c r="C3045" t="s">
        <v>6436</v>
      </c>
      <c r="D3045" t="s">
        <v>2707</v>
      </c>
      <c r="E3045">
        <v>2515611540</v>
      </c>
      <c r="F3045">
        <v>4073417540</v>
      </c>
      <c r="G3045">
        <v>3246257027</v>
      </c>
      <c r="H3045">
        <v>2870274698</v>
      </c>
      <c r="I3045">
        <v>1026021192</v>
      </c>
      <c r="J3045">
        <v>887298490</v>
      </c>
      <c r="K3045">
        <v>679752780</v>
      </c>
      <c r="L3045">
        <v>513904417</v>
      </c>
      <c r="P3045">
        <v>121</v>
      </c>
      <c r="Q3045" t="s">
        <v>6437</v>
      </c>
    </row>
    <row r="3046" spans="1:17" x14ac:dyDescent="0.3">
      <c r="A3046" t="s">
        <v>47</v>
      </c>
      <c r="B3046" t="str">
        <f>"300733"</f>
        <v>300733</v>
      </c>
      <c r="C3046" t="s">
        <v>6438</v>
      </c>
      <c r="D3046" t="s">
        <v>274</v>
      </c>
      <c r="E3046">
        <v>2513760242</v>
      </c>
      <c r="F3046">
        <v>1896210947</v>
      </c>
      <c r="G3046">
        <v>1498624340</v>
      </c>
      <c r="H3046">
        <v>1499028475</v>
      </c>
      <c r="I3046">
        <v>1562598168</v>
      </c>
      <c r="P3046">
        <v>60</v>
      </c>
      <c r="Q3046" t="s">
        <v>6439</v>
      </c>
    </row>
    <row r="3047" spans="1:17" x14ac:dyDescent="0.3">
      <c r="A3047" t="s">
        <v>47</v>
      </c>
      <c r="B3047" t="str">
        <f>"300499"</f>
        <v>300499</v>
      </c>
      <c r="C3047" t="s">
        <v>6440</v>
      </c>
      <c r="D3047" t="s">
        <v>1973</v>
      </c>
      <c r="E3047">
        <v>2513753426</v>
      </c>
      <c r="F3047">
        <v>2194477154</v>
      </c>
      <c r="G3047">
        <v>1740770962</v>
      </c>
      <c r="H3047">
        <v>1183622955</v>
      </c>
      <c r="I3047">
        <v>1004513668</v>
      </c>
      <c r="J3047">
        <v>1110024059</v>
      </c>
      <c r="K3047">
        <v>915460567</v>
      </c>
      <c r="P3047">
        <v>135</v>
      </c>
      <c r="Q3047" t="s">
        <v>6441</v>
      </c>
    </row>
    <row r="3048" spans="1:17" x14ac:dyDescent="0.3">
      <c r="A3048" t="s">
        <v>47</v>
      </c>
      <c r="B3048" t="str">
        <f>"300049"</f>
        <v>300049</v>
      </c>
      <c r="C3048" t="s">
        <v>6442</v>
      </c>
      <c r="D3048" t="s">
        <v>1083</v>
      </c>
      <c r="E3048">
        <v>2513210030</v>
      </c>
      <c r="F3048">
        <v>2264869967</v>
      </c>
      <c r="G3048">
        <v>2278311681</v>
      </c>
      <c r="H3048">
        <v>2091250957</v>
      </c>
      <c r="I3048">
        <v>2336268047</v>
      </c>
      <c r="J3048">
        <v>2419571709</v>
      </c>
      <c r="K3048">
        <v>2062075579</v>
      </c>
      <c r="L3048">
        <v>1331052093</v>
      </c>
      <c r="M3048">
        <v>1136347748</v>
      </c>
      <c r="N3048">
        <v>946597026</v>
      </c>
      <c r="O3048">
        <v>860814552</v>
      </c>
      <c r="P3048">
        <v>144</v>
      </c>
      <c r="Q3048" t="s">
        <v>6443</v>
      </c>
    </row>
    <row r="3049" spans="1:17" x14ac:dyDescent="0.3">
      <c r="A3049" t="s">
        <v>47</v>
      </c>
      <c r="B3049" t="str">
        <f>"000678"</f>
        <v>000678</v>
      </c>
      <c r="C3049" t="s">
        <v>6444</v>
      </c>
      <c r="D3049" t="s">
        <v>274</v>
      </c>
      <c r="E3049">
        <v>2511312459</v>
      </c>
      <c r="F3049">
        <v>2488812735</v>
      </c>
      <c r="G3049">
        <v>2661234047</v>
      </c>
      <c r="H3049">
        <v>2705636052</v>
      </c>
      <c r="I3049">
        <v>2935624202</v>
      </c>
      <c r="J3049">
        <v>2707106918</v>
      </c>
      <c r="K3049">
        <v>2413390555</v>
      </c>
      <c r="L3049">
        <v>2331439228</v>
      </c>
      <c r="M3049">
        <v>2232314905</v>
      </c>
      <c r="N3049">
        <v>1592567911</v>
      </c>
      <c r="O3049">
        <v>1045169205</v>
      </c>
      <c r="P3049">
        <v>71</v>
      </c>
      <c r="Q3049" t="s">
        <v>6445</v>
      </c>
    </row>
    <row r="3050" spans="1:17" x14ac:dyDescent="0.3">
      <c r="A3050" t="s">
        <v>47</v>
      </c>
      <c r="B3050" t="str">
        <f>"002580"</f>
        <v>002580</v>
      </c>
      <c r="C3050" t="s">
        <v>6446</v>
      </c>
      <c r="D3050" t="s">
        <v>1357</v>
      </c>
      <c r="E3050">
        <v>2511078119</v>
      </c>
      <c r="F3050">
        <v>2323256631</v>
      </c>
      <c r="G3050">
        <v>1857943104</v>
      </c>
      <c r="H3050">
        <v>1963920844</v>
      </c>
      <c r="I3050">
        <v>1999274984</v>
      </c>
      <c r="J3050">
        <v>1935445946</v>
      </c>
      <c r="K3050">
        <v>1870174921</v>
      </c>
      <c r="L3050">
        <v>1840502514</v>
      </c>
      <c r="M3050">
        <v>1474904122</v>
      </c>
      <c r="N3050">
        <v>1380428172</v>
      </c>
      <c r="O3050">
        <v>1090054972</v>
      </c>
      <c r="P3050">
        <v>114</v>
      </c>
      <c r="Q3050" t="s">
        <v>6447</v>
      </c>
    </row>
    <row r="3051" spans="1:17" x14ac:dyDescent="0.3">
      <c r="A3051" t="s">
        <v>47</v>
      </c>
      <c r="B3051" t="str">
        <f>"300081"</f>
        <v>300081</v>
      </c>
      <c r="C3051" t="s">
        <v>6448</v>
      </c>
      <c r="D3051" t="s">
        <v>3761</v>
      </c>
      <c r="E3051">
        <v>2509448768</v>
      </c>
      <c r="F3051">
        <v>2435398616</v>
      </c>
      <c r="G3051">
        <v>3213502658</v>
      </c>
      <c r="H3051">
        <v>3156523254</v>
      </c>
      <c r="I3051">
        <v>2624308799</v>
      </c>
      <c r="J3051">
        <v>2230395940</v>
      </c>
      <c r="K3051">
        <v>970145454</v>
      </c>
      <c r="L3051">
        <v>865560851</v>
      </c>
      <c r="M3051">
        <v>930866528</v>
      </c>
      <c r="N3051">
        <v>1226273518</v>
      </c>
      <c r="O3051">
        <v>1319901582</v>
      </c>
      <c r="P3051">
        <v>160</v>
      </c>
      <c r="Q3051" t="s">
        <v>6449</v>
      </c>
    </row>
    <row r="3052" spans="1:17" x14ac:dyDescent="0.3">
      <c r="A3052" t="s">
        <v>17</v>
      </c>
      <c r="B3052" t="str">
        <f>"603315"</f>
        <v>603315</v>
      </c>
      <c r="C3052" t="s">
        <v>6450</v>
      </c>
      <c r="D3052" t="s">
        <v>401</v>
      </c>
      <c r="E3052">
        <v>2509400058</v>
      </c>
      <c r="F3052">
        <v>2099435724</v>
      </c>
      <c r="G3052">
        <v>1925050334</v>
      </c>
      <c r="H3052">
        <v>1433110758</v>
      </c>
      <c r="I3052">
        <v>1384492565</v>
      </c>
      <c r="J3052">
        <v>1088425503</v>
      </c>
      <c r="K3052">
        <v>1019782974</v>
      </c>
      <c r="L3052">
        <v>995053220</v>
      </c>
      <c r="P3052">
        <v>57</v>
      </c>
      <c r="Q3052" t="s">
        <v>6451</v>
      </c>
    </row>
    <row r="3053" spans="1:17" x14ac:dyDescent="0.3">
      <c r="A3053" t="s">
        <v>47</v>
      </c>
      <c r="B3053" t="str">
        <f>"300827"</f>
        <v>300827</v>
      </c>
      <c r="C3053" t="s">
        <v>6452</v>
      </c>
      <c r="D3053" t="s">
        <v>959</v>
      </c>
      <c r="E3053">
        <v>2506836797</v>
      </c>
      <c r="F3053">
        <v>2101702394</v>
      </c>
      <c r="G3053">
        <v>1241637217</v>
      </c>
      <c r="P3053">
        <v>233</v>
      </c>
      <c r="Q3053" t="s">
        <v>6453</v>
      </c>
    </row>
    <row r="3054" spans="1:17" x14ac:dyDescent="0.3">
      <c r="A3054" t="s">
        <v>47</v>
      </c>
      <c r="B3054" t="str">
        <f>"300137"</f>
        <v>300137</v>
      </c>
      <c r="C3054" t="s">
        <v>6454</v>
      </c>
      <c r="D3054" t="s">
        <v>1347</v>
      </c>
      <c r="E3054">
        <v>2506670201</v>
      </c>
      <c r="F3054">
        <v>2444135054</v>
      </c>
      <c r="G3054">
        <v>2514784451</v>
      </c>
      <c r="H3054">
        <v>2476463474</v>
      </c>
      <c r="I3054">
        <v>2120191687</v>
      </c>
      <c r="J3054">
        <v>1777843155</v>
      </c>
      <c r="K3054">
        <v>1605522481</v>
      </c>
      <c r="L3054">
        <v>1593522423</v>
      </c>
      <c r="M3054">
        <v>1102386240</v>
      </c>
      <c r="N3054">
        <v>1023718540</v>
      </c>
      <c r="O3054">
        <v>963310482</v>
      </c>
      <c r="P3054">
        <v>253</v>
      </c>
      <c r="Q3054" t="s">
        <v>6455</v>
      </c>
    </row>
    <row r="3055" spans="1:17" x14ac:dyDescent="0.3">
      <c r="A3055" t="s">
        <v>47</v>
      </c>
      <c r="B3055" t="str">
        <f>"300545"</f>
        <v>300545</v>
      </c>
      <c r="C3055" t="s">
        <v>6456</v>
      </c>
      <c r="D3055" t="s">
        <v>181</v>
      </c>
      <c r="E3055">
        <v>2502523472</v>
      </c>
      <c r="F3055">
        <v>1900611984</v>
      </c>
      <c r="G3055">
        <v>1613489638</v>
      </c>
      <c r="H3055">
        <v>1126333890</v>
      </c>
      <c r="I3055">
        <v>1040166460</v>
      </c>
      <c r="J3055">
        <v>707277145</v>
      </c>
      <c r="P3055">
        <v>182</v>
      </c>
      <c r="Q3055" t="s">
        <v>6457</v>
      </c>
    </row>
    <row r="3056" spans="1:17" x14ac:dyDescent="0.3">
      <c r="A3056" t="s">
        <v>47</v>
      </c>
      <c r="B3056" t="str">
        <f>"300900"</f>
        <v>300900</v>
      </c>
      <c r="C3056" t="s">
        <v>6458</v>
      </c>
      <c r="D3056" t="s">
        <v>570</v>
      </c>
      <c r="E3056">
        <v>2501468507</v>
      </c>
      <c r="F3056">
        <v>1689121283</v>
      </c>
      <c r="P3056">
        <v>76</v>
      </c>
      <c r="Q3056" t="s">
        <v>6459</v>
      </c>
    </row>
    <row r="3057" spans="1:17" x14ac:dyDescent="0.3">
      <c r="A3057" t="s">
        <v>17</v>
      </c>
      <c r="B3057" t="str">
        <f>"688131"</f>
        <v>688131</v>
      </c>
      <c r="C3057" t="s">
        <v>6460</v>
      </c>
      <c r="D3057" t="s">
        <v>1112</v>
      </c>
      <c r="E3057">
        <v>2500557700</v>
      </c>
      <c r="F3057">
        <v>963970788</v>
      </c>
      <c r="P3057">
        <v>88</v>
      </c>
      <c r="Q3057" t="s">
        <v>6461</v>
      </c>
    </row>
    <row r="3058" spans="1:17" x14ac:dyDescent="0.3">
      <c r="A3058" t="s">
        <v>47</v>
      </c>
      <c r="B3058" t="str">
        <f>"300894"</f>
        <v>300894</v>
      </c>
      <c r="C3058" t="s">
        <v>6462</v>
      </c>
      <c r="D3058" t="s">
        <v>2261</v>
      </c>
      <c r="E3058">
        <v>2499578230</v>
      </c>
      <c r="F3058">
        <v>1975521719</v>
      </c>
      <c r="P3058">
        <v>230</v>
      </c>
      <c r="Q3058" t="s">
        <v>6463</v>
      </c>
    </row>
    <row r="3059" spans="1:17" x14ac:dyDescent="0.3">
      <c r="A3059" t="s">
        <v>47</v>
      </c>
      <c r="B3059" t="str">
        <f>"300890"</f>
        <v>300890</v>
      </c>
      <c r="C3059" t="s">
        <v>6464</v>
      </c>
      <c r="D3059" t="s">
        <v>1017</v>
      </c>
      <c r="E3059">
        <v>2497760289</v>
      </c>
      <c r="F3059">
        <v>1610877365</v>
      </c>
      <c r="J3059">
        <v>650158277</v>
      </c>
      <c r="P3059">
        <v>62</v>
      </c>
      <c r="Q3059" t="s">
        <v>6465</v>
      </c>
    </row>
    <row r="3060" spans="1:17" x14ac:dyDescent="0.3">
      <c r="A3060" t="s">
        <v>17</v>
      </c>
      <c r="B3060" t="str">
        <f>"603948"</f>
        <v>603948</v>
      </c>
      <c r="C3060" t="s">
        <v>6466</v>
      </c>
      <c r="D3060" t="s">
        <v>710</v>
      </c>
      <c r="E3060">
        <v>2495452967</v>
      </c>
      <c r="F3060">
        <v>2085182812</v>
      </c>
      <c r="G3060">
        <v>1581160615</v>
      </c>
      <c r="P3060">
        <v>60</v>
      </c>
      <c r="Q3060" t="s">
        <v>6467</v>
      </c>
    </row>
    <row r="3061" spans="1:17" x14ac:dyDescent="0.3">
      <c r="A3061" t="s">
        <v>47</v>
      </c>
      <c r="B3061" t="str">
        <f>"300248"</f>
        <v>300248</v>
      </c>
      <c r="C3061" t="s">
        <v>6468</v>
      </c>
      <c r="D3061" t="s">
        <v>765</v>
      </c>
      <c r="E3061">
        <v>2493011709</v>
      </c>
      <c r="F3061">
        <v>2190191239</v>
      </c>
      <c r="G3061">
        <v>2165655145</v>
      </c>
      <c r="H3061">
        <v>1901743281</v>
      </c>
      <c r="I3061">
        <v>1934105508</v>
      </c>
      <c r="J3061">
        <v>1727086525</v>
      </c>
      <c r="K3061">
        <v>1223492034</v>
      </c>
      <c r="L3061">
        <v>620212839</v>
      </c>
      <c r="M3061">
        <v>593050653</v>
      </c>
      <c r="N3061">
        <v>536419869</v>
      </c>
      <c r="O3061">
        <v>499069770</v>
      </c>
      <c r="P3061">
        <v>209</v>
      </c>
      <c r="Q3061" t="s">
        <v>6469</v>
      </c>
    </row>
    <row r="3062" spans="1:17" x14ac:dyDescent="0.3">
      <c r="A3062" t="s">
        <v>47</v>
      </c>
      <c r="B3062" t="str">
        <f>"300889"</f>
        <v>300889</v>
      </c>
      <c r="C3062" t="s">
        <v>6470</v>
      </c>
      <c r="D3062" t="s">
        <v>862</v>
      </c>
      <c r="E3062">
        <v>2491455470</v>
      </c>
      <c r="F3062">
        <v>2199737033</v>
      </c>
      <c r="G3062">
        <v>875173050</v>
      </c>
      <c r="P3062">
        <v>37</v>
      </c>
      <c r="Q3062" t="s">
        <v>6471</v>
      </c>
    </row>
    <row r="3063" spans="1:17" x14ac:dyDescent="0.3">
      <c r="A3063" t="s">
        <v>47</v>
      </c>
      <c r="B3063" t="str">
        <f>"300787"</f>
        <v>300787</v>
      </c>
      <c r="C3063" t="s">
        <v>6472</v>
      </c>
      <c r="D3063" t="s">
        <v>283</v>
      </c>
      <c r="E3063">
        <v>2490677884</v>
      </c>
      <c r="F3063">
        <v>1991671653</v>
      </c>
      <c r="G3063">
        <v>1442773041</v>
      </c>
      <c r="H3063">
        <v>812397099</v>
      </c>
      <c r="P3063">
        <v>87</v>
      </c>
      <c r="Q3063" t="s">
        <v>6473</v>
      </c>
    </row>
    <row r="3064" spans="1:17" x14ac:dyDescent="0.3">
      <c r="A3064" t="s">
        <v>17</v>
      </c>
      <c r="B3064" t="str">
        <f>"603222"</f>
        <v>603222</v>
      </c>
      <c r="C3064" t="s">
        <v>6474</v>
      </c>
      <c r="D3064" t="s">
        <v>1650</v>
      </c>
      <c r="E3064">
        <v>2489353795</v>
      </c>
      <c r="F3064">
        <v>2525177321</v>
      </c>
      <c r="G3064">
        <v>2071718178</v>
      </c>
      <c r="H3064">
        <v>2152547904</v>
      </c>
      <c r="I3064">
        <v>1580268062</v>
      </c>
      <c r="J3064">
        <v>1218404595</v>
      </c>
      <c r="K3064">
        <v>858690269</v>
      </c>
      <c r="L3064">
        <v>784451353</v>
      </c>
      <c r="P3064">
        <v>171</v>
      </c>
      <c r="Q3064" t="s">
        <v>6475</v>
      </c>
    </row>
    <row r="3065" spans="1:17" x14ac:dyDescent="0.3">
      <c r="A3065" t="s">
        <v>47</v>
      </c>
      <c r="B3065" t="str">
        <f>"000892"</f>
        <v>000892</v>
      </c>
      <c r="C3065" t="s">
        <v>6476</v>
      </c>
      <c r="D3065" t="s">
        <v>1673</v>
      </c>
      <c r="E3065">
        <v>2487736073</v>
      </c>
      <c r="F3065">
        <v>2555103361</v>
      </c>
      <c r="G3065">
        <v>3555508221</v>
      </c>
      <c r="H3065">
        <v>4772929496</v>
      </c>
      <c r="I3065">
        <v>4062455254</v>
      </c>
      <c r="J3065">
        <v>3202840809</v>
      </c>
      <c r="K3065">
        <v>7263572</v>
      </c>
      <c r="L3065">
        <v>2661313</v>
      </c>
      <c r="M3065">
        <v>5317340</v>
      </c>
      <c r="N3065">
        <v>5839995</v>
      </c>
      <c r="O3065">
        <v>5282698</v>
      </c>
      <c r="P3065">
        <v>109</v>
      </c>
      <c r="Q3065" t="s">
        <v>6477</v>
      </c>
    </row>
    <row r="3066" spans="1:17" x14ac:dyDescent="0.3">
      <c r="A3066" t="s">
        <v>47</v>
      </c>
      <c r="B3066" t="str">
        <f>"300862"</f>
        <v>300862</v>
      </c>
      <c r="C3066" t="s">
        <v>6478</v>
      </c>
      <c r="D3066" t="s">
        <v>3722</v>
      </c>
      <c r="E3066">
        <v>2485149734</v>
      </c>
      <c r="F3066">
        <v>2249763851</v>
      </c>
      <c r="P3066">
        <v>68</v>
      </c>
      <c r="Q3066" t="s">
        <v>6479</v>
      </c>
    </row>
    <row r="3067" spans="1:17" x14ac:dyDescent="0.3">
      <c r="A3067" t="s">
        <v>47</v>
      </c>
      <c r="B3067" t="str">
        <f>"300135"</f>
        <v>300135</v>
      </c>
      <c r="C3067" t="s">
        <v>6480</v>
      </c>
      <c r="D3067" t="s">
        <v>615</v>
      </c>
      <c r="E3067">
        <v>2484187517</v>
      </c>
      <c r="F3067">
        <v>2506038135</v>
      </c>
      <c r="G3067">
        <v>3040731635</v>
      </c>
      <c r="H3067">
        <v>3011199188</v>
      </c>
      <c r="I3067">
        <v>3083873346</v>
      </c>
      <c r="J3067">
        <v>2786336238</v>
      </c>
      <c r="K3067">
        <v>2737169621</v>
      </c>
      <c r="L3067">
        <v>2554064116</v>
      </c>
      <c r="M3067">
        <v>2444697074</v>
      </c>
      <c r="N3067">
        <v>2176272292</v>
      </c>
      <c r="O3067">
        <v>1887719649</v>
      </c>
      <c r="P3067">
        <v>49</v>
      </c>
      <c r="Q3067" t="s">
        <v>6481</v>
      </c>
    </row>
    <row r="3068" spans="1:17" x14ac:dyDescent="0.3">
      <c r="A3068" t="s">
        <v>47</v>
      </c>
      <c r="B3068" t="str">
        <f>"002229"</f>
        <v>002229</v>
      </c>
      <c r="C3068" t="s">
        <v>6482</v>
      </c>
      <c r="D3068" t="s">
        <v>6392</v>
      </c>
      <c r="E3068">
        <v>2482085744</v>
      </c>
      <c r="F3068">
        <v>2252813510</v>
      </c>
      <c r="G3068">
        <v>2112719955</v>
      </c>
      <c r="H3068">
        <v>1985435466</v>
      </c>
      <c r="I3068">
        <v>2078761862</v>
      </c>
      <c r="J3068">
        <v>2318666779</v>
      </c>
      <c r="K3068">
        <v>1854125942</v>
      </c>
      <c r="L3068">
        <v>1369536095</v>
      </c>
      <c r="M3068">
        <v>1219960171</v>
      </c>
      <c r="N3068">
        <v>1261228238</v>
      </c>
      <c r="O3068">
        <v>1097091193</v>
      </c>
      <c r="P3068">
        <v>118</v>
      </c>
      <c r="Q3068" t="s">
        <v>6483</v>
      </c>
    </row>
    <row r="3069" spans="1:17" x14ac:dyDescent="0.3">
      <c r="A3069" t="s">
        <v>17</v>
      </c>
      <c r="B3069" t="str">
        <f>"688177"</f>
        <v>688177</v>
      </c>
      <c r="C3069" t="s">
        <v>6484</v>
      </c>
      <c r="D3069" t="s">
        <v>1480</v>
      </c>
      <c r="E3069">
        <v>2480168295</v>
      </c>
      <c r="F3069">
        <v>2267499814</v>
      </c>
      <c r="G3069">
        <v>2752817472</v>
      </c>
      <c r="H3069">
        <v>1352257993</v>
      </c>
      <c r="P3069">
        <v>98</v>
      </c>
      <c r="Q3069" t="s">
        <v>6485</v>
      </c>
    </row>
    <row r="3070" spans="1:17" x14ac:dyDescent="0.3">
      <c r="A3070" t="s">
        <v>17</v>
      </c>
      <c r="B3070" t="str">
        <f>"600513"</f>
        <v>600513</v>
      </c>
      <c r="C3070" t="s">
        <v>6486</v>
      </c>
      <c r="D3070" t="s">
        <v>550</v>
      </c>
      <c r="E3070">
        <v>2479026957</v>
      </c>
      <c r="F3070">
        <v>2084802511</v>
      </c>
      <c r="G3070">
        <v>1907947099</v>
      </c>
      <c r="H3070">
        <v>1430709669</v>
      </c>
      <c r="I3070">
        <v>1180209158</v>
      </c>
      <c r="J3070">
        <v>1034169149</v>
      </c>
      <c r="K3070">
        <v>992502203</v>
      </c>
      <c r="L3070">
        <v>662816714</v>
      </c>
      <c r="M3070">
        <v>649774225</v>
      </c>
      <c r="N3070">
        <v>448575430</v>
      </c>
      <c r="O3070">
        <v>420293431</v>
      </c>
      <c r="P3070">
        <v>144</v>
      </c>
      <c r="Q3070" t="s">
        <v>6487</v>
      </c>
    </row>
    <row r="3071" spans="1:17" x14ac:dyDescent="0.3">
      <c r="A3071" t="s">
        <v>47</v>
      </c>
      <c r="B3071" t="str">
        <f>"301168"</f>
        <v>301168</v>
      </c>
      <c r="C3071" t="s">
        <v>6488</v>
      </c>
      <c r="D3071" t="s">
        <v>1555</v>
      </c>
      <c r="E3071">
        <v>2477647541</v>
      </c>
      <c r="P3071">
        <v>14</v>
      </c>
      <c r="Q3071" t="s">
        <v>6489</v>
      </c>
    </row>
    <row r="3072" spans="1:17" x14ac:dyDescent="0.3">
      <c r="A3072" t="s">
        <v>17</v>
      </c>
      <c r="B3072" t="str">
        <f>"605338"</f>
        <v>605338</v>
      </c>
      <c r="C3072" t="s">
        <v>6490</v>
      </c>
      <c r="D3072" t="s">
        <v>2224</v>
      </c>
      <c r="E3072">
        <v>2476667321</v>
      </c>
      <c r="F3072">
        <v>1994640023</v>
      </c>
      <c r="P3072">
        <v>198</v>
      </c>
      <c r="Q3072" t="s">
        <v>6491</v>
      </c>
    </row>
    <row r="3073" spans="1:17" x14ac:dyDescent="0.3">
      <c r="A3073" t="s">
        <v>17</v>
      </c>
      <c r="B3073" t="str">
        <f>"600249"</f>
        <v>600249</v>
      </c>
      <c r="C3073" t="s">
        <v>6492</v>
      </c>
      <c r="D3073" t="s">
        <v>6339</v>
      </c>
      <c r="E3073">
        <v>2476324787</v>
      </c>
      <c r="F3073">
        <v>2475287116</v>
      </c>
      <c r="G3073">
        <v>2456761931</v>
      </c>
      <c r="H3073">
        <v>2539973735</v>
      </c>
      <c r="I3073">
        <v>2651814794</v>
      </c>
      <c r="J3073">
        <v>3257205102</v>
      </c>
      <c r="K3073">
        <v>3842967992</v>
      </c>
      <c r="L3073">
        <v>4474795593</v>
      </c>
      <c r="M3073">
        <v>3076871239</v>
      </c>
      <c r="N3073">
        <v>3172534054</v>
      </c>
      <c r="O3073">
        <v>3218939313</v>
      </c>
      <c r="P3073">
        <v>90</v>
      </c>
      <c r="Q3073" t="s">
        <v>6493</v>
      </c>
    </row>
    <row r="3074" spans="1:17" x14ac:dyDescent="0.3">
      <c r="A3074" t="s">
        <v>47</v>
      </c>
      <c r="B3074" t="str">
        <f>"002613"</f>
        <v>002613</v>
      </c>
      <c r="C3074" t="s">
        <v>6494</v>
      </c>
      <c r="D3074" t="s">
        <v>1635</v>
      </c>
      <c r="E3074">
        <v>2476081327</v>
      </c>
      <c r="F3074">
        <v>2179132940</v>
      </c>
      <c r="G3074">
        <v>2003206990</v>
      </c>
      <c r="H3074">
        <v>1962622545</v>
      </c>
      <c r="I3074">
        <v>2231970778</v>
      </c>
      <c r="J3074">
        <v>1955182030</v>
      </c>
      <c r="K3074">
        <v>1928390070</v>
      </c>
      <c r="L3074">
        <v>1959041044</v>
      </c>
      <c r="M3074">
        <v>1970951976</v>
      </c>
      <c r="N3074">
        <v>1825752929</v>
      </c>
      <c r="O3074">
        <v>1765571908</v>
      </c>
      <c r="P3074">
        <v>90</v>
      </c>
      <c r="Q3074" t="s">
        <v>6495</v>
      </c>
    </row>
    <row r="3075" spans="1:17" x14ac:dyDescent="0.3">
      <c r="A3075" t="s">
        <v>47</v>
      </c>
      <c r="B3075" t="str">
        <f>"300505"</f>
        <v>300505</v>
      </c>
      <c r="C3075" t="s">
        <v>6496</v>
      </c>
      <c r="D3075" t="s">
        <v>760</v>
      </c>
      <c r="E3075">
        <v>2474994309</v>
      </c>
      <c r="F3075">
        <v>1861503065</v>
      </c>
      <c r="G3075">
        <v>1451182475</v>
      </c>
      <c r="H3075">
        <v>1260528996</v>
      </c>
      <c r="I3075">
        <v>972695079</v>
      </c>
      <c r="J3075">
        <v>793381885</v>
      </c>
      <c r="K3075">
        <v>749188126</v>
      </c>
      <c r="P3075">
        <v>97</v>
      </c>
      <c r="Q3075" t="s">
        <v>6497</v>
      </c>
    </row>
    <row r="3076" spans="1:17" x14ac:dyDescent="0.3">
      <c r="A3076" t="s">
        <v>47</v>
      </c>
      <c r="B3076" t="str">
        <f>"301060"</f>
        <v>301060</v>
      </c>
      <c r="C3076" t="s">
        <v>6498</v>
      </c>
      <c r="D3076" t="s">
        <v>1933</v>
      </c>
      <c r="E3076">
        <v>2472703335</v>
      </c>
      <c r="P3076">
        <v>41</v>
      </c>
      <c r="Q3076" t="s">
        <v>6499</v>
      </c>
    </row>
    <row r="3077" spans="1:17" x14ac:dyDescent="0.3">
      <c r="A3077" t="s">
        <v>47</v>
      </c>
      <c r="B3077" t="str">
        <f>"001218"</f>
        <v>001218</v>
      </c>
      <c r="C3077" t="s">
        <v>6500</v>
      </c>
      <c r="D3077" t="s">
        <v>710</v>
      </c>
      <c r="E3077">
        <v>2471702524</v>
      </c>
      <c r="P3077">
        <v>15</v>
      </c>
      <c r="Q3077" t="s">
        <v>6501</v>
      </c>
    </row>
    <row r="3078" spans="1:17" x14ac:dyDescent="0.3">
      <c r="A3078" t="s">
        <v>17</v>
      </c>
      <c r="B3078" t="str">
        <f>"605099"</f>
        <v>605099</v>
      </c>
      <c r="C3078" t="s">
        <v>6502</v>
      </c>
      <c r="D3078" t="s">
        <v>2016</v>
      </c>
      <c r="E3078">
        <v>2470285783</v>
      </c>
      <c r="F3078">
        <v>2245764794</v>
      </c>
      <c r="P3078">
        <v>166</v>
      </c>
      <c r="Q3078" t="s">
        <v>6503</v>
      </c>
    </row>
    <row r="3079" spans="1:17" x14ac:dyDescent="0.3">
      <c r="A3079" t="s">
        <v>17</v>
      </c>
      <c r="B3079" t="str">
        <f>"688221"</f>
        <v>688221</v>
      </c>
      <c r="C3079" t="s">
        <v>6504</v>
      </c>
      <c r="D3079" t="s">
        <v>550</v>
      </c>
      <c r="E3079">
        <v>2469395642</v>
      </c>
      <c r="F3079">
        <v>2487108776</v>
      </c>
      <c r="G3079">
        <v>871223300</v>
      </c>
      <c r="H3079">
        <v>860564385</v>
      </c>
      <c r="P3079">
        <v>51</v>
      </c>
      <c r="Q3079" t="s">
        <v>6505</v>
      </c>
    </row>
    <row r="3080" spans="1:17" x14ac:dyDescent="0.3">
      <c r="A3080" t="s">
        <v>47</v>
      </c>
      <c r="B3080" t="str">
        <f>"002842"</f>
        <v>002842</v>
      </c>
      <c r="C3080" t="s">
        <v>6506</v>
      </c>
      <c r="D3080" t="s">
        <v>1097</v>
      </c>
      <c r="E3080">
        <v>2464432156</v>
      </c>
      <c r="F3080">
        <v>2387098835</v>
      </c>
      <c r="G3080">
        <v>2326817979</v>
      </c>
      <c r="H3080">
        <v>1970720848</v>
      </c>
      <c r="I3080">
        <v>1689663998</v>
      </c>
      <c r="J3080">
        <v>988793472</v>
      </c>
      <c r="P3080">
        <v>99</v>
      </c>
      <c r="Q3080" t="s">
        <v>6507</v>
      </c>
    </row>
    <row r="3081" spans="1:17" x14ac:dyDescent="0.3">
      <c r="A3081" t="s">
        <v>17</v>
      </c>
      <c r="B3081" t="str">
        <f>"603669"</f>
        <v>603669</v>
      </c>
      <c r="C3081" t="s">
        <v>6508</v>
      </c>
      <c r="D3081" t="s">
        <v>550</v>
      </c>
      <c r="E3081">
        <v>2464016641</v>
      </c>
      <c r="F3081">
        <v>2750705858</v>
      </c>
      <c r="G3081">
        <v>2021857803</v>
      </c>
      <c r="H3081">
        <v>2011348352</v>
      </c>
      <c r="I3081">
        <v>1665108015</v>
      </c>
      <c r="J3081">
        <v>1342481727</v>
      </c>
      <c r="K3081">
        <v>1311653314</v>
      </c>
      <c r="L3081">
        <v>653085900</v>
      </c>
      <c r="P3081">
        <v>194</v>
      </c>
      <c r="Q3081" t="s">
        <v>6509</v>
      </c>
    </row>
    <row r="3082" spans="1:17" x14ac:dyDescent="0.3">
      <c r="A3082" t="s">
        <v>47</v>
      </c>
      <c r="B3082" t="str">
        <f>"002388"</f>
        <v>002388</v>
      </c>
      <c r="C3082" t="s">
        <v>6510</v>
      </c>
      <c r="D3082" t="s">
        <v>1609</v>
      </c>
      <c r="E3082">
        <v>2461270670</v>
      </c>
      <c r="F3082">
        <v>2690852116</v>
      </c>
      <c r="G3082">
        <v>2513995803</v>
      </c>
      <c r="H3082">
        <v>2105213425</v>
      </c>
      <c r="I3082">
        <v>1815679991</v>
      </c>
      <c r="J3082">
        <v>1423269997</v>
      </c>
      <c r="K3082">
        <v>843746843</v>
      </c>
      <c r="L3082">
        <v>789806805</v>
      </c>
      <c r="M3082">
        <v>601896775</v>
      </c>
      <c r="N3082">
        <v>616129574</v>
      </c>
      <c r="O3082">
        <v>623710089</v>
      </c>
      <c r="P3082">
        <v>148</v>
      </c>
      <c r="Q3082" t="s">
        <v>6511</v>
      </c>
    </row>
    <row r="3083" spans="1:17" x14ac:dyDescent="0.3">
      <c r="A3083" t="s">
        <v>17</v>
      </c>
      <c r="B3083" t="str">
        <f>"600692"</f>
        <v>600692</v>
      </c>
      <c r="C3083" t="s">
        <v>6512</v>
      </c>
      <c r="D3083" t="s">
        <v>76</v>
      </c>
      <c r="E3083">
        <v>2460671402</v>
      </c>
      <c r="F3083">
        <v>2756058435</v>
      </c>
      <c r="G3083">
        <v>2646806379</v>
      </c>
      <c r="H3083">
        <v>2145681000</v>
      </c>
      <c r="I3083">
        <v>2115662741</v>
      </c>
      <c r="J3083">
        <v>2566988737</v>
      </c>
      <c r="K3083">
        <v>2632574824</v>
      </c>
      <c r="L3083">
        <v>2187251317</v>
      </c>
      <c r="M3083">
        <v>1152988414</v>
      </c>
      <c r="N3083">
        <v>1230768840</v>
      </c>
      <c r="O3083">
        <v>1247486952</v>
      </c>
      <c r="P3083">
        <v>76</v>
      </c>
      <c r="Q3083" t="s">
        <v>6513</v>
      </c>
    </row>
    <row r="3084" spans="1:17" x14ac:dyDescent="0.3">
      <c r="A3084" t="s">
        <v>17</v>
      </c>
      <c r="B3084" t="str">
        <f>"603416"</f>
        <v>603416</v>
      </c>
      <c r="C3084" t="s">
        <v>6514</v>
      </c>
      <c r="D3084" t="s">
        <v>2592</v>
      </c>
      <c r="E3084">
        <v>2460506809</v>
      </c>
      <c r="F3084">
        <v>2193265777</v>
      </c>
      <c r="G3084">
        <v>1543343913</v>
      </c>
      <c r="H3084">
        <v>1251686972</v>
      </c>
      <c r="I3084">
        <v>1201687691</v>
      </c>
      <c r="J3084">
        <v>969143524</v>
      </c>
      <c r="P3084">
        <v>325</v>
      </c>
      <c r="Q3084" t="s">
        <v>6515</v>
      </c>
    </row>
    <row r="3085" spans="1:17" x14ac:dyDescent="0.3">
      <c r="A3085" t="s">
        <v>17</v>
      </c>
      <c r="B3085" t="str">
        <f>"603027"</f>
        <v>603027</v>
      </c>
      <c r="C3085" t="s">
        <v>6516</v>
      </c>
      <c r="D3085" t="s">
        <v>1241</v>
      </c>
      <c r="E3085">
        <v>2459738646</v>
      </c>
      <c r="F3085">
        <v>2228202095</v>
      </c>
      <c r="G3085">
        <v>2105246560</v>
      </c>
      <c r="H3085">
        <v>1875176670</v>
      </c>
      <c r="I3085">
        <v>1423181051</v>
      </c>
      <c r="J3085">
        <v>1074407035</v>
      </c>
      <c r="K3085">
        <v>954184076</v>
      </c>
      <c r="P3085">
        <v>1883</v>
      </c>
      <c r="Q3085" t="s">
        <v>6517</v>
      </c>
    </row>
    <row r="3086" spans="1:17" x14ac:dyDescent="0.3">
      <c r="A3086" t="s">
        <v>47</v>
      </c>
      <c r="B3086" t="str">
        <f>"300973"</f>
        <v>300973</v>
      </c>
      <c r="C3086" t="s">
        <v>6518</v>
      </c>
      <c r="D3086" t="s">
        <v>3790</v>
      </c>
      <c r="E3086">
        <v>2459177749</v>
      </c>
      <c r="F3086">
        <v>1154144749</v>
      </c>
      <c r="P3086">
        <v>140</v>
      </c>
      <c r="Q3086" t="s">
        <v>6519</v>
      </c>
    </row>
    <row r="3087" spans="1:17" x14ac:dyDescent="0.3">
      <c r="A3087" t="s">
        <v>47</v>
      </c>
      <c r="B3087" t="str">
        <f>"000573"</f>
        <v>000573</v>
      </c>
      <c r="C3087" t="s">
        <v>6520</v>
      </c>
      <c r="D3087" t="s">
        <v>76</v>
      </c>
      <c r="E3087">
        <v>2456395833</v>
      </c>
      <c r="F3087">
        <v>3090919388</v>
      </c>
      <c r="G3087">
        <v>2948740810</v>
      </c>
      <c r="H3087">
        <v>3455193032</v>
      </c>
      <c r="I3087">
        <v>3272217858</v>
      </c>
      <c r="J3087">
        <v>3261374720</v>
      </c>
      <c r="K3087">
        <v>2948439463</v>
      </c>
      <c r="L3087">
        <v>3205824552</v>
      </c>
      <c r="M3087">
        <v>2936763344</v>
      </c>
      <c r="N3087">
        <v>2669024421</v>
      </c>
      <c r="O3087">
        <v>2474769917</v>
      </c>
      <c r="P3087">
        <v>130</v>
      </c>
      <c r="Q3087" t="s">
        <v>6521</v>
      </c>
    </row>
    <row r="3088" spans="1:17" x14ac:dyDescent="0.3">
      <c r="A3088" t="s">
        <v>47</v>
      </c>
      <c r="B3088" t="str">
        <f>"300805"</f>
        <v>300805</v>
      </c>
      <c r="C3088" t="s">
        <v>6522</v>
      </c>
      <c r="D3088" t="s">
        <v>1824</v>
      </c>
      <c r="E3088">
        <v>2456132852</v>
      </c>
      <c r="F3088">
        <v>2423135759</v>
      </c>
      <c r="G3088">
        <v>2204472622</v>
      </c>
      <c r="P3088">
        <v>71</v>
      </c>
      <c r="Q3088" t="s">
        <v>6523</v>
      </c>
    </row>
    <row r="3089" spans="1:17" x14ac:dyDescent="0.3">
      <c r="A3089" t="s">
        <v>47</v>
      </c>
      <c r="B3089" t="str">
        <f>"002644"</f>
        <v>002644</v>
      </c>
      <c r="C3089" t="s">
        <v>6524</v>
      </c>
      <c r="D3089" t="s">
        <v>695</v>
      </c>
      <c r="E3089">
        <v>2455175764</v>
      </c>
      <c r="F3089">
        <v>2301218964</v>
      </c>
      <c r="G3089">
        <v>2357476496</v>
      </c>
      <c r="H3089">
        <v>2459925873</v>
      </c>
      <c r="I3089">
        <v>2319392529</v>
      </c>
      <c r="J3089">
        <v>2071810631</v>
      </c>
      <c r="K3089">
        <v>1638125750</v>
      </c>
      <c r="L3089">
        <v>1491928748</v>
      </c>
      <c r="M3089">
        <v>1056484794</v>
      </c>
      <c r="N3089">
        <v>807387324</v>
      </c>
      <c r="O3089">
        <v>782998693</v>
      </c>
      <c r="P3089">
        <v>163</v>
      </c>
      <c r="Q3089" t="s">
        <v>6525</v>
      </c>
    </row>
    <row r="3090" spans="1:17" x14ac:dyDescent="0.3">
      <c r="A3090" t="s">
        <v>17</v>
      </c>
      <c r="B3090" t="str">
        <f>"688190"</f>
        <v>688190</v>
      </c>
      <c r="C3090" t="s">
        <v>6526</v>
      </c>
      <c r="D3090" t="s">
        <v>2432</v>
      </c>
      <c r="E3090">
        <v>2452772158</v>
      </c>
      <c r="P3090">
        <v>15</v>
      </c>
      <c r="Q3090" t="s">
        <v>6527</v>
      </c>
    </row>
    <row r="3091" spans="1:17" x14ac:dyDescent="0.3">
      <c r="A3091" t="s">
        <v>17</v>
      </c>
      <c r="B3091" t="str">
        <f>"605058"</f>
        <v>605058</v>
      </c>
      <c r="C3091" t="s">
        <v>6528</v>
      </c>
      <c r="D3091" t="s">
        <v>1115</v>
      </c>
      <c r="E3091">
        <v>2452427063</v>
      </c>
      <c r="F3091">
        <v>2012022214</v>
      </c>
      <c r="P3091">
        <v>48</v>
      </c>
      <c r="Q3091" t="s">
        <v>6529</v>
      </c>
    </row>
    <row r="3092" spans="1:17" x14ac:dyDescent="0.3">
      <c r="A3092" t="s">
        <v>47</v>
      </c>
      <c r="B3092" t="str">
        <f>"300066"</f>
        <v>300066</v>
      </c>
      <c r="C3092" t="s">
        <v>6530</v>
      </c>
      <c r="D3092" t="s">
        <v>3722</v>
      </c>
      <c r="E3092">
        <v>2451466826</v>
      </c>
      <c r="F3092">
        <v>2350256827</v>
      </c>
      <c r="G3092">
        <v>2161063627</v>
      </c>
      <c r="H3092">
        <v>1916858699</v>
      </c>
      <c r="I3092">
        <v>1795761178</v>
      </c>
      <c r="J3092">
        <v>1747114364</v>
      </c>
      <c r="K3092">
        <v>1645440210</v>
      </c>
      <c r="L3092">
        <v>1413799712</v>
      </c>
      <c r="M3092">
        <v>1261646315</v>
      </c>
      <c r="N3092">
        <v>1116704342</v>
      </c>
      <c r="O3092">
        <v>1046532498</v>
      </c>
      <c r="P3092">
        <v>190</v>
      </c>
      <c r="Q3092" t="s">
        <v>6531</v>
      </c>
    </row>
    <row r="3093" spans="1:17" x14ac:dyDescent="0.3">
      <c r="A3093" t="s">
        <v>47</v>
      </c>
      <c r="B3093" t="str">
        <f>"001217"</f>
        <v>001217</v>
      </c>
      <c r="C3093" t="s">
        <v>6532</v>
      </c>
      <c r="D3093" t="s">
        <v>2874</v>
      </c>
      <c r="E3093">
        <v>2450815746</v>
      </c>
      <c r="P3093">
        <v>27</v>
      </c>
      <c r="Q3093" t="s">
        <v>6533</v>
      </c>
    </row>
    <row r="3094" spans="1:17" x14ac:dyDescent="0.3">
      <c r="A3094" t="s">
        <v>47</v>
      </c>
      <c r="B3094" t="str">
        <f>"002173"</f>
        <v>002173</v>
      </c>
      <c r="C3094" t="s">
        <v>6534</v>
      </c>
      <c r="D3094" t="s">
        <v>1585</v>
      </c>
      <c r="E3094">
        <v>2445530026</v>
      </c>
      <c r="F3094">
        <v>2679506201</v>
      </c>
      <c r="G3094">
        <v>2895550858</v>
      </c>
      <c r="H3094">
        <v>4277191944</v>
      </c>
      <c r="I3094">
        <v>4709375404</v>
      </c>
      <c r="J3094">
        <v>4546052252</v>
      </c>
      <c r="K3094">
        <v>4793168370</v>
      </c>
      <c r="L3094">
        <v>1042117598</v>
      </c>
      <c r="M3094">
        <v>1079338932</v>
      </c>
      <c r="N3094">
        <v>1029861957</v>
      </c>
      <c r="O3094">
        <v>926805013</v>
      </c>
      <c r="P3094">
        <v>125</v>
      </c>
      <c r="Q3094" t="s">
        <v>6535</v>
      </c>
    </row>
    <row r="3095" spans="1:17" x14ac:dyDescent="0.3">
      <c r="A3095" t="s">
        <v>17</v>
      </c>
      <c r="B3095" t="str">
        <f>"688383"</f>
        <v>688383</v>
      </c>
      <c r="C3095" t="s">
        <v>6536</v>
      </c>
      <c r="D3095" t="s">
        <v>1973</v>
      </c>
      <c r="E3095">
        <v>2445209645</v>
      </c>
      <c r="F3095">
        <v>1389982318</v>
      </c>
      <c r="P3095">
        <v>49</v>
      </c>
      <c r="Q3095" t="s">
        <v>6537</v>
      </c>
    </row>
    <row r="3096" spans="1:17" x14ac:dyDescent="0.3">
      <c r="A3096" t="s">
        <v>47</v>
      </c>
      <c r="B3096" t="str">
        <f>"000014"</f>
        <v>000014</v>
      </c>
      <c r="C3096" t="s">
        <v>6538</v>
      </c>
      <c r="D3096" t="s">
        <v>76</v>
      </c>
      <c r="E3096">
        <v>2444831194</v>
      </c>
      <c r="F3096">
        <v>2375980622</v>
      </c>
      <c r="G3096">
        <v>2029518530</v>
      </c>
      <c r="H3096">
        <v>2004034914</v>
      </c>
      <c r="I3096">
        <v>1584860510</v>
      </c>
      <c r="J3096">
        <v>1724316159</v>
      </c>
      <c r="K3096">
        <v>2188491309</v>
      </c>
      <c r="L3096">
        <v>2159279136</v>
      </c>
      <c r="M3096">
        <v>1922628069</v>
      </c>
      <c r="N3096">
        <v>2107054165</v>
      </c>
      <c r="O3096">
        <v>1780466500</v>
      </c>
      <c r="P3096">
        <v>96</v>
      </c>
      <c r="Q3096" t="s">
        <v>6539</v>
      </c>
    </row>
    <row r="3097" spans="1:17" x14ac:dyDescent="0.3">
      <c r="A3097" t="s">
        <v>47</v>
      </c>
      <c r="B3097" t="str">
        <f>"002884"</f>
        <v>002884</v>
      </c>
      <c r="C3097" t="s">
        <v>6540</v>
      </c>
      <c r="D3097" t="s">
        <v>1433</v>
      </c>
      <c r="E3097">
        <v>2442401364</v>
      </c>
      <c r="F3097">
        <v>2244479530</v>
      </c>
      <c r="G3097">
        <v>2047913229</v>
      </c>
      <c r="H3097">
        <v>1462595753</v>
      </c>
      <c r="I3097">
        <v>1340492075</v>
      </c>
      <c r="J3097">
        <v>646410700</v>
      </c>
      <c r="P3097">
        <v>995</v>
      </c>
      <c r="Q3097" t="s">
        <v>6541</v>
      </c>
    </row>
    <row r="3098" spans="1:17" x14ac:dyDescent="0.3">
      <c r="A3098" t="s">
        <v>47</v>
      </c>
      <c r="B3098" t="str">
        <f>"002846"</f>
        <v>002846</v>
      </c>
      <c r="C3098" t="s">
        <v>6542</v>
      </c>
      <c r="D3098" t="s">
        <v>1913</v>
      </c>
      <c r="E3098">
        <v>2442303136</v>
      </c>
      <c r="F3098">
        <v>1990313118</v>
      </c>
      <c r="G3098">
        <v>1497044808</v>
      </c>
      <c r="H3098">
        <v>1199694555</v>
      </c>
      <c r="I3098">
        <v>753280028</v>
      </c>
      <c r="J3098">
        <v>607838131</v>
      </c>
      <c r="P3098">
        <v>109</v>
      </c>
      <c r="Q3098" t="s">
        <v>6543</v>
      </c>
    </row>
    <row r="3099" spans="1:17" x14ac:dyDescent="0.3">
      <c r="A3099" t="s">
        <v>17</v>
      </c>
      <c r="B3099" t="str">
        <f>"600854"</f>
        <v>600854</v>
      </c>
      <c r="C3099" t="s">
        <v>6544</v>
      </c>
      <c r="D3099" t="s">
        <v>203</v>
      </c>
      <c r="E3099">
        <v>2440832575</v>
      </c>
      <c r="F3099">
        <v>2309860368</v>
      </c>
      <c r="G3099">
        <v>2110902005</v>
      </c>
      <c r="H3099">
        <v>2263072938</v>
      </c>
      <c r="I3099">
        <v>2436554744</v>
      </c>
      <c r="J3099">
        <v>2460533526</v>
      </c>
      <c r="K3099">
        <v>2482139207</v>
      </c>
      <c r="L3099">
        <v>2597711267</v>
      </c>
      <c r="M3099">
        <v>2662147507</v>
      </c>
      <c r="N3099">
        <v>2784834301</v>
      </c>
      <c r="O3099">
        <v>2727324396</v>
      </c>
      <c r="P3099">
        <v>146</v>
      </c>
      <c r="Q3099" t="s">
        <v>6545</v>
      </c>
    </row>
    <row r="3100" spans="1:17" x14ac:dyDescent="0.3">
      <c r="A3100" t="s">
        <v>47</v>
      </c>
      <c r="B3100" t="str">
        <f>"000707"</f>
        <v>000707</v>
      </c>
      <c r="C3100" t="s">
        <v>6546</v>
      </c>
      <c r="D3100" t="s">
        <v>1441</v>
      </c>
      <c r="E3100">
        <v>2438117367</v>
      </c>
      <c r="F3100">
        <v>2981538022</v>
      </c>
      <c r="G3100">
        <v>3529788147</v>
      </c>
      <c r="H3100">
        <v>4073592053</v>
      </c>
      <c r="I3100">
        <v>9260498756</v>
      </c>
      <c r="J3100">
        <v>10899326015</v>
      </c>
      <c r="K3100">
        <v>11296518138</v>
      </c>
      <c r="L3100">
        <v>9865648886</v>
      </c>
      <c r="M3100">
        <v>9116505123</v>
      </c>
      <c r="N3100">
        <v>8890594895</v>
      </c>
      <c r="O3100">
        <v>8131893535</v>
      </c>
      <c r="P3100">
        <v>83</v>
      </c>
      <c r="Q3100" t="s">
        <v>6547</v>
      </c>
    </row>
    <row r="3101" spans="1:17" x14ac:dyDescent="0.3">
      <c r="A3101" t="s">
        <v>47</v>
      </c>
      <c r="B3101" t="str">
        <f>"002677"</f>
        <v>002677</v>
      </c>
      <c r="C3101" t="s">
        <v>6548</v>
      </c>
      <c r="D3101" t="s">
        <v>2261</v>
      </c>
      <c r="E3101">
        <v>2435767014</v>
      </c>
      <c r="F3101">
        <v>2143929761</v>
      </c>
      <c r="G3101">
        <v>1866523610</v>
      </c>
      <c r="H3101">
        <v>1811468715</v>
      </c>
      <c r="I3101">
        <v>1706605877</v>
      </c>
      <c r="J3101">
        <v>1485537839</v>
      </c>
      <c r="K3101">
        <v>1190368021</v>
      </c>
      <c r="L3101">
        <v>1119587068</v>
      </c>
      <c r="M3101">
        <v>1055017984</v>
      </c>
      <c r="N3101">
        <v>964772304</v>
      </c>
      <c r="O3101">
        <v>424072057</v>
      </c>
      <c r="P3101">
        <v>4536</v>
      </c>
      <c r="Q3101" t="s">
        <v>6549</v>
      </c>
    </row>
    <row r="3102" spans="1:17" x14ac:dyDescent="0.3">
      <c r="A3102" t="s">
        <v>17</v>
      </c>
      <c r="B3102" t="str">
        <f>"603068"</f>
        <v>603068</v>
      </c>
      <c r="C3102" t="s">
        <v>6550</v>
      </c>
      <c r="D3102" t="s">
        <v>2795</v>
      </c>
      <c r="E3102">
        <v>2424295498</v>
      </c>
      <c r="F3102">
        <v>2178913023</v>
      </c>
      <c r="G3102">
        <v>1452318938</v>
      </c>
      <c r="H3102">
        <v>549802537</v>
      </c>
      <c r="P3102">
        <v>345</v>
      </c>
      <c r="Q3102" t="s">
        <v>6551</v>
      </c>
    </row>
    <row r="3103" spans="1:17" x14ac:dyDescent="0.3">
      <c r="A3103" t="s">
        <v>47</v>
      </c>
      <c r="B3103" t="str">
        <f>"001288"</f>
        <v>001288</v>
      </c>
      <c r="C3103" t="s">
        <v>6552</v>
      </c>
      <c r="D3103" t="s">
        <v>607</v>
      </c>
      <c r="E3103">
        <v>2423938490</v>
      </c>
      <c r="P3103">
        <v>14</v>
      </c>
      <c r="Q3103" t="s">
        <v>6553</v>
      </c>
    </row>
    <row r="3104" spans="1:17" x14ac:dyDescent="0.3">
      <c r="A3104" t="s">
        <v>17</v>
      </c>
      <c r="B3104" t="str">
        <f>"688025"</f>
        <v>688025</v>
      </c>
      <c r="C3104" t="s">
        <v>6554</v>
      </c>
      <c r="D3104" t="s">
        <v>1296</v>
      </c>
      <c r="E3104">
        <v>2423645596</v>
      </c>
      <c r="F3104">
        <v>2289011860</v>
      </c>
      <c r="G3104">
        <v>1985160264</v>
      </c>
      <c r="P3104">
        <v>158</v>
      </c>
      <c r="Q3104" t="s">
        <v>6555</v>
      </c>
    </row>
    <row r="3105" spans="1:17" x14ac:dyDescent="0.3">
      <c r="A3105" t="s">
        <v>47</v>
      </c>
      <c r="B3105" t="str">
        <f>"000533"</f>
        <v>000533</v>
      </c>
      <c r="C3105" t="s">
        <v>6556</v>
      </c>
      <c r="D3105" t="s">
        <v>459</v>
      </c>
      <c r="E3105">
        <v>2422342212</v>
      </c>
      <c r="F3105">
        <v>2354232988</v>
      </c>
      <c r="G3105">
        <v>2292633757</v>
      </c>
      <c r="H3105">
        <v>2469700959</v>
      </c>
      <c r="I3105">
        <v>5514299310</v>
      </c>
      <c r="J3105">
        <v>3718131939</v>
      </c>
      <c r="K3105">
        <v>4067501240</v>
      </c>
      <c r="L3105">
        <v>3797401601</v>
      </c>
      <c r="M3105">
        <v>3868762973</v>
      </c>
      <c r="N3105">
        <v>2368187827</v>
      </c>
      <c r="O3105">
        <v>2009297143</v>
      </c>
      <c r="P3105">
        <v>101</v>
      </c>
      <c r="Q3105" t="s">
        <v>6557</v>
      </c>
    </row>
    <row r="3106" spans="1:17" x14ac:dyDescent="0.3">
      <c r="A3106" t="s">
        <v>17</v>
      </c>
      <c r="B3106" t="str">
        <f>"603025"</f>
        <v>603025</v>
      </c>
      <c r="C3106" t="s">
        <v>6558</v>
      </c>
      <c r="D3106" t="s">
        <v>1360</v>
      </c>
      <c r="E3106">
        <v>2421324107</v>
      </c>
      <c r="F3106">
        <v>2205404544</v>
      </c>
      <c r="G3106">
        <v>2073530321</v>
      </c>
      <c r="H3106">
        <v>2083840957</v>
      </c>
      <c r="I3106">
        <v>2227142348</v>
      </c>
      <c r="J3106">
        <v>1543396311</v>
      </c>
      <c r="K3106">
        <v>1661222285</v>
      </c>
      <c r="L3106">
        <v>1075405788</v>
      </c>
      <c r="P3106">
        <v>434</v>
      </c>
      <c r="Q3106" t="s">
        <v>6559</v>
      </c>
    </row>
    <row r="3107" spans="1:17" x14ac:dyDescent="0.3">
      <c r="A3107" t="s">
        <v>17</v>
      </c>
      <c r="B3107" t="str">
        <f>"603665"</f>
        <v>603665</v>
      </c>
      <c r="C3107" t="s">
        <v>6560</v>
      </c>
      <c r="D3107" t="s">
        <v>4276</v>
      </c>
      <c r="E3107">
        <v>2421033169</v>
      </c>
      <c r="F3107">
        <v>2284346625</v>
      </c>
      <c r="G3107">
        <v>1546353515</v>
      </c>
      <c r="H3107">
        <v>1304470555</v>
      </c>
      <c r="I3107">
        <v>1152367057</v>
      </c>
      <c r="J3107">
        <v>1118244239</v>
      </c>
      <c r="P3107">
        <v>89</v>
      </c>
      <c r="Q3107" t="s">
        <v>6561</v>
      </c>
    </row>
    <row r="3108" spans="1:17" x14ac:dyDescent="0.3">
      <c r="A3108" t="s">
        <v>47</v>
      </c>
      <c r="B3108" t="str">
        <f>"000715"</f>
        <v>000715</v>
      </c>
      <c r="C3108" t="s">
        <v>6562</v>
      </c>
      <c r="D3108" t="s">
        <v>1073</v>
      </c>
      <c r="E3108">
        <v>2418757210</v>
      </c>
      <c r="F3108">
        <v>2398127463</v>
      </c>
      <c r="G3108">
        <v>2227855139</v>
      </c>
      <c r="H3108">
        <v>2238020076</v>
      </c>
      <c r="I3108">
        <v>2192565313</v>
      </c>
      <c r="J3108">
        <v>2144634006</v>
      </c>
      <c r="K3108">
        <v>2147258415</v>
      </c>
      <c r="L3108">
        <v>2221222144</v>
      </c>
      <c r="M3108">
        <v>2216395907</v>
      </c>
      <c r="N3108">
        <v>2202337000</v>
      </c>
      <c r="O3108">
        <v>2047902132</v>
      </c>
      <c r="P3108">
        <v>103</v>
      </c>
      <c r="Q3108" t="s">
        <v>6563</v>
      </c>
    </row>
    <row r="3109" spans="1:17" x14ac:dyDescent="0.3">
      <c r="A3109" t="s">
        <v>47</v>
      </c>
      <c r="B3109" t="str">
        <f>"000920"</f>
        <v>000920</v>
      </c>
      <c r="C3109" t="s">
        <v>6564</v>
      </c>
      <c r="D3109" t="s">
        <v>520</v>
      </c>
      <c r="E3109">
        <v>2418214711</v>
      </c>
      <c r="F3109">
        <v>2460741267</v>
      </c>
      <c r="G3109">
        <v>2155016462</v>
      </c>
      <c r="H3109">
        <v>2221552539</v>
      </c>
      <c r="I3109">
        <v>1750302436</v>
      </c>
      <c r="J3109">
        <v>1761837938</v>
      </c>
      <c r="K3109">
        <v>1684277189</v>
      </c>
      <c r="L3109">
        <v>1545499522</v>
      </c>
      <c r="M3109">
        <v>2317998318</v>
      </c>
      <c r="N3109">
        <v>1855974901</v>
      </c>
      <c r="O3109">
        <v>1790558822</v>
      </c>
      <c r="P3109">
        <v>122</v>
      </c>
      <c r="Q3109" t="s">
        <v>6565</v>
      </c>
    </row>
    <row r="3110" spans="1:17" x14ac:dyDescent="0.3">
      <c r="A3110" t="s">
        <v>17</v>
      </c>
      <c r="B3110" t="str">
        <f>"688022"</f>
        <v>688022</v>
      </c>
      <c r="C3110" t="s">
        <v>6566</v>
      </c>
      <c r="D3110" t="s">
        <v>1973</v>
      </c>
      <c r="E3110">
        <v>2416678134</v>
      </c>
      <c r="F3110">
        <v>1794921591</v>
      </c>
      <c r="G3110">
        <v>1248120810</v>
      </c>
      <c r="H3110">
        <v>530482541</v>
      </c>
      <c r="P3110">
        <v>164</v>
      </c>
      <c r="Q3110" t="s">
        <v>6567</v>
      </c>
    </row>
    <row r="3111" spans="1:17" x14ac:dyDescent="0.3">
      <c r="A3111" t="s">
        <v>47</v>
      </c>
      <c r="B3111" t="str">
        <f>"002159"</f>
        <v>002159</v>
      </c>
      <c r="C3111" t="s">
        <v>6568</v>
      </c>
      <c r="D3111" t="s">
        <v>4410</v>
      </c>
      <c r="E3111">
        <v>2416291444</v>
      </c>
      <c r="F3111">
        <v>2698187698</v>
      </c>
      <c r="G3111">
        <v>2837677071</v>
      </c>
      <c r="H3111">
        <v>3000708790</v>
      </c>
      <c r="I3111">
        <v>2660045526</v>
      </c>
      <c r="J3111">
        <v>2587337828</v>
      </c>
      <c r="K3111">
        <v>2214024294</v>
      </c>
      <c r="L3111">
        <v>2093493317</v>
      </c>
      <c r="M3111">
        <v>1681593364</v>
      </c>
      <c r="N3111">
        <v>1437759886</v>
      </c>
      <c r="O3111">
        <v>1358238445</v>
      </c>
      <c r="P3111">
        <v>119</v>
      </c>
      <c r="Q3111" t="s">
        <v>6569</v>
      </c>
    </row>
    <row r="3112" spans="1:17" x14ac:dyDescent="0.3">
      <c r="A3112" t="s">
        <v>47</v>
      </c>
      <c r="B3112" t="str">
        <f>"300691"</f>
        <v>300691</v>
      </c>
      <c r="C3112" t="s">
        <v>6570</v>
      </c>
      <c r="D3112" t="s">
        <v>523</v>
      </c>
      <c r="E3112">
        <v>2415222866</v>
      </c>
      <c r="F3112">
        <v>1739918817</v>
      </c>
      <c r="G3112">
        <v>1665826690</v>
      </c>
      <c r="H3112">
        <v>1323597619</v>
      </c>
      <c r="I3112">
        <v>1196530183</v>
      </c>
      <c r="J3112">
        <v>667519676</v>
      </c>
      <c r="P3112">
        <v>186</v>
      </c>
      <c r="Q3112" t="s">
        <v>6571</v>
      </c>
    </row>
    <row r="3113" spans="1:17" x14ac:dyDescent="0.3">
      <c r="A3113" t="s">
        <v>17</v>
      </c>
      <c r="B3113" t="str">
        <f>"600367"</f>
        <v>600367</v>
      </c>
      <c r="C3113" t="s">
        <v>6572</v>
      </c>
      <c r="D3113" t="s">
        <v>1930</v>
      </c>
      <c r="E3113">
        <v>2414766472</v>
      </c>
      <c r="F3113">
        <v>2061562503</v>
      </c>
      <c r="G3113">
        <v>2006215730</v>
      </c>
      <c r="H3113">
        <v>1907816877</v>
      </c>
      <c r="I3113">
        <v>1699521214</v>
      </c>
      <c r="J3113">
        <v>1621303509</v>
      </c>
      <c r="K3113">
        <v>1619843565</v>
      </c>
      <c r="L3113">
        <v>1807207222</v>
      </c>
      <c r="M3113">
        <v>1753726382</v>
      </c>
      <c r="N3113">
        <v>1667350411</v>
      </c>
      <c r="O3113">
        <v>1642411869</v>
      </c>
      <c r="P3113">
        <v>115</v>
      </c>
      <c r="Q3113" t="s">
        <v>6573</v>
      </c>
    </row>
    <row r="3114" spans="1:17" x14ac:dyDescent="0.3">
      <c r="A3114" t="s">
        <v>17</v>
      </c>
      <c r="B3114" t="str">
        <f>"603115"</f>
        <v>603115</v>
      </c>
      <c r="C3114" t="s">
        <v>6574</v>
      </c>
      <c r="D3114" t="s">
        <v>346</v>
      </c>
      <c r="E3114">
        <v>2413906973</v>
      </c>
      <c r="F3114">
        <v>1629746362</v>
      </c>
      <c r="G3114">
        <v>1623169946</v>
      </c>
      <c r="H3114">
        <v>1001655200</v>
      </c>
      <c r="P3114">
        <v>88</v>
      </c>
      <c r="Q3114" t="s">
        <v>6575</v>
      </c>
    </row>
    <row r="3115" spans="1:17" x14ac:dyDescent="0.3">
      <c r="A3115" t="s">
        <v>17</v>
      </c>
      <c r="B3115" t="str">
        <f>"603131"</f>
        <v>603131</v>
      </c>
      <c r="C3115" t="s">
        <v>6576</v>
      </c>
      <c r="D3115" t="s">
        <v>1433</v>
      </c>
      <c r="E3115">
        <v>2413241739</v>
      </c>
      <c r="F3115">
        <v>2356100936</v>
      </c>
      <c r="G3115">
        <v>1647173509</v>
      </c>
      <c r="H3115">
        <v>1309831626</v>
      </c>
      <c r="I3115">
        <v>874576569</v>
      </c>
      <c r="J3115">
        <v>787171257</v>
      </c>
      <c r="K3115">
        <v>455642700</v>
      </c>
      <c r="P3115">
        <v>143</v>
      </c>
      <c r="Q3115" t="s">
        <v>6577</v>
      </c>
    </row>
    <row r="3116" spans="1:17" x14ac:dyDescent="0.3">
      <c r="A3116" t="s">
        <v>17</v>
      </c>
      <c r="B3116" t="str">
        <f>"605198"</f>
        <v>605198</v>
      </c>
      <c r="C3116" t="s">
        <v>6578</v>
      </c>
      <c r="D3116" t="s">
        <v>3368</v>
      </c>
      <c r="E3116">
        <v>2411546865</v>
      </c>
      <c r="F3116">
        <v>2225542786</v>
      </c>
      <c r="P3116">
        <v>47</v>
      </c>
      <c r="Q3116" t="s">
        <v>6579</v>
      </c>
    </row>
    <row r="3117" spans="1:17" x14ac:dyDescent="0.3">
      <c r="A3117" t="s">
        <v>47</v>
      </c>
      <c r="B3117" t="str">
        <f>"002279"</f>
        <v>002279</v>
      </c>
      <c r="C3117" t="s">
        <v>6580</v>
      </c>
      <c r="D3117" t="s">
        <v>1010</v>
      </c>
      <c r="E3117">
        <v>2410861978</v>
      </c>
      <c r="F3117">
        <v>2486073619</v>
      </c>
      <c r="G3117">
        <v>2833424313</v>
      </c>
      <c r="H3117">
        <v>2936502784</v>
      </c>
      <c r="I3117">
        <v>4630531903</v>
      </c>
      <c r="J3117">
        <v>2600786978</v>
      </c>
      <c r="K3117">
        <v>2346231146</v>
      </c>
      <c r="L3117">
        <v>1306401966</v>
      </c>
      <c r="M3117">
        <v>713051107</v>
      </c>
      <c r="N3117">
        <v>665098071</v>
      </c>
      <c r="O3117">
        <v>637478592</v>
      </c>
      <c r="P3117">
        <v>323</v>
      </c>
      <c r="Q3117" t="s">
        <v>6581</v>
      </c>
    </row>
    <row r="3118" spans="1:17" x14ac:dyDescent="0.3">
      <c r="A3118" t="s">
        <v>47</v>
      </c>
      <c r="B3118" t="str">
        <f>"002692"</f>
        <v>002692</v>
      </c>
      <c r="C3118" t="s">
        <v>6582</v>
      </c>
      <c r="D3118" t="s">
        <v>1616</v>
      </c>
      <c r="E3118">
        <v>2410360666</v>
      </c>
      <c r="F3118">
        <v>2592378989</v>
      </c>
      <c r="G3118">
        <v>2654919834</v>
      </c>
      <c r="H3118">
        <v>2905754454</v>
      </c>
      <c r="I3118">
        <v>3179558766</v>
      </c>
      <c r="J3118">
        <v>2870973469</v>
      </c>
      <c r="K3118">
        <v>3441709344</v>
      </c>
      <c r="L3118">
        <v>2804494877</v>
      </c>
      <c r="M3118">
        <v>2582663437</v>
      </c>
      <c r="N3118">
        <v>1966356784</v>
      </c>
      <c r="P3118">
        <v>53</v>
      </c>
      <c r="Q3118" t="s">
        <v>6583</v>
      </c>
    </row>
    <row r="3119" spans="1:17" x14ac:dyDescent="0.3">
      <c r="A3119" t="s">
        <v>17</v>
      </c>
      <c r="B3119" t="str">
        <f>"688207"</f>
        <v>688207</v>
      </c>
      <c r="C3119" t="s">
        <v>6584</v>
      </c>
      <c r="E3119">
        <v>2408476381</v>
      </c>
      <c r="P3119">
        <v>7</v>
      </c>
      <c r="Q3119" t="s">
        <v>6585</v>
      </c>
    </row>
    <row r="3120" spans="1:17" x14ac:dyDescent="0.3">
      <c r="A3120" t="s">
        <v>47</v>
      </c>
      <c r="B3120" t="str">
        <f>"301098"</f>
        <v>301098</v>
      </c>
      <c r="C3120" t="s">
        <v>6586</v>
      </c>
      <c r="D3120" t="s">
        <v>952</v>
      </c>
      <c r="E3120">
        <v>2405373395</v>
      </c>
      <c r="P3120">
        <v>13</v>
      </c>
      <c r="Q3120" t="s">
        <v>6587</v>
      </c>
    </row>
    <row r="3121" spans="1:17" x14ac:dyDescent="0.3">
      <c r="A3121" t="s">
        <v>47</v>
      </c>
      <c r="B3121" t="str">
        <f>"002201"</f>
        <v>002201</v>
      </c>
      <c r="C3121" t="s">
        <v>6588</v>
      </c>
      <c r="D3121" t="s">
        <v>923</v>
      </c>
      <c r="E3121">
        <v>2404668810</v>
      </c>
      <c r="F3121">
        <v>2404329536</v>
      </c>
      <c r="G3121">
        <v>2305241536</v>
      </c>
      <c r="H3121">
        <v>2385296288</v>
      </c>
      <c r="I3121">
        <v>2545647686</v>
      </c>
      <c r="J3121">
        <v>2579898315</v>
      </c>
      <c r="K3121">
        <v>2338523903</v>
      </c>
      <c r="L3121">
        <v>1671652501</v>
      </c>
      <c r="M3121">
        <v>1306662886</v>
      </c>
      <c r="N3121">
        <v>1213397522</v>
      </c>
      <c r="O3121">
        <v>1086593108</v>
      </c>
      <c r="P3121">
        <v>132</v>
      </c>
      <c r="Q3121" t="s">
        <v>6589</v>
      </c>
    </row>
    <row r="3122" spans="1:17" x14ac:dyDescent="0.3">
      <c r="A3122" t="s">
        <v>47</v>
      </c>
      <c r="B3122" t="str">
        <f>"002975"</f>
        <v>002975</v>
      </c>
      <c r="C3122" t="s">
        <v>6590</v>
      </c>
      <c r="D3122" t="s">
        <v>1360</v>
      </c>
      <c r="E3122">
        <v>2404330311</v>
      </c>
      <c r="F3122">
        <v>1749653637</v>
      </c>
      <c r="G3122">
        <v>1263680995</v>
      </c>
      <c r="P3122">
        <v>293</v>
      </c>
      <c r="Q3122" t="s">
        <v>6591</v>
      </c>
    </row>
    <row r="3123" spans="1:17" x14ac:dyDescent="0.3">
      <c r="A3123" t="s">
        <v>17</v>
      </c>
      <c r="B3123" t="str">
        <f>"603551"</f>
        <v>603551</v>
      </c>
      <c r="C3123" t="s">
        <v>6592</v>
      </c>
      <c r="D3123" t="s">
        <v>3262</v>
      </c>
      <c r="E3123">
        <v>2402706574</v>
      </c>
      <c r="F3123">
        <v>2598906485</v>
      </c>
      <c r="G3123">
        <v>2245745221</v>
      </c>
      <c r="P3123">
        <v>116</v>
      </c>
      <c r="Q3123" t="s">
        <v>6593</v>
      </c>
    </row>
    <row r="3124" spans="1:17" x14ac:dyDescent="0.3">
      <c r="A3124" t="s">
        <v>17</v>
      </c>
      <c r="B3124" t="str">
        <f>"600866"</f>
        <v>600866</v>
      </c>
      <c r="C3124" t="s">
        <v>6594</v>
      </c>
      <c r="D3124" t="s">
        <v>1699</v>
      </c>
      <c r="E3124">
        <v>2401337577</v>
      </c>
      <c r="F3124">
        <v>2464072661</v>
      </c>
      <c r="G3124">
        <v>2171898280</v>
      </c>
      <c r="H3124">
        <v>1874240668</v>
      </c>
      <c r="I3124">
        <v>1421735228</v>
      </c>
      <c r="J3124">
        <v>1678890004</v>
      </c>
      <c r="K3124">
        <v>1810324528</v>
      </c>
      <c r="L3124">
        <v>2192177031</v>
      </c>
      <c r="M3124">
        <v>2555158323</v>
      </c>
      <c r="N3124">
        <v>3369464299</v>
      </c>
      <c r="O3124">
        <v>3319723583</v>
      </c>
      <c r="P3124">
        <v>143</v>
      </c>
      <c r="Q3124" t="s">
        <v>6595</v>
      </c>
    </row>
    <row r="3125" spans="1:17" x14ac:dyDescent="0.3">
      <c r="A3125" t="s">
        <v>47</v>
      </c>
      <c r="B3125" t="str">
        <f>"002090"</f>
        <v>002090</v>
      </c>
      <c r="C3125" t="s">
        <v>6596</v>
      </c>
      <c r="D3125" t="s">
        <v>679</v>
      </c>
      <c r="E3125">
        <v>2400898210</v>
      </c>
      <c r="F3125">
        <v>2909612099</v>
      </c>
      <c r="G3125">
        <v>3521100188</v>
      </c>
      <c r="H3125">
        <v>3839195655</v>
      </c>
      <c r="I3125">
        <v>3840566599</v>
      </c>
      <c r="J3125">
        <v>3746829252</v>
      </c>
      <c r="K3125">
        <v>2757848877</v>
      </c>
      <c r="L3125">
        <v>1726469493</v>
      </c>
      <c r="M3125">
        <v>1456468184</v>
      </c>
      <c r="N3125">
        <v>1185418199</v>
      </c>
      <c r="O3125">
        <v>1036285411</v>
      </c>
      <c r="P3125">
        <v>229</v>
      </c>
      <c r="Q3125" t="s">
        <v>6597</v>
      </c>
    </row>
    <row r="3126" spans="1:17" x14ac:dyDescent="0.3">
      <c r="A3126" t="s">
        <v>47</v>
      </c>
      <c r="B3126" t="str">
        <f>"300961"</f>
        <v>300961</v>
      </c>
      <c r="C3126" t="s">
        <v>6598</v>
      </c>
      <c r="D3126" t="s">
        <v>520</v>
      </c>
      <c r="E3126">
        <v>2399316176</v>
      </c>
      <c r="F3126">
        <v>2106219554</v>
      </c>
      <c r="P3126">
        <v>27</v>
      </c>
      <c r="Q3126" t="s">
        <v>6599</v>
      </c>
    </row>
    <row r="3127" spans="1:17" x14ac:dyDescent="0.3">
      <c r="A3127" t="s">
        <v>17</v>
      </c>
      <c r="B3127" t="str">
        <f>"603269"</f>
        <v>603269</v>
      </c>
      <c r="C3127" t="s">
        <v>6600</v>
      </c>
      <c r="D3127" t="s">
        <v>1433</v>
      </c>
      <c r="E3127">
        <v>2398392041</v>
      </c>
      <c r="F3127">
        <v>2214727392</v>
      </c>
      <c r="G3127">
        <v>1605970854</v>
      </c>
      <c r="H3127">
        <v>1401702411</v>
      </c>
      <c r="I3127">
        <v>1217288764</v>
      </c>
      <c r="J3127">
        <v>989312461</v>
      </c>
      <c r="P3127">
        <v>63</v>
      </c>
      <c r="Q3127" t="s">
        <v>6601</v>
      </c>
    </row>
    <row r="3128" spans="1:17" x14ac:dyDescent="0.3">
      <c r="A3128" t="s">
        <v>17</v>
      </c>
      <c r="B3128" t="str">
        <f>"688239"</f>
        <v>688239</v>
      </c>
      <c r="C3128" t="s">
        <v>6602</v>
      </c>
      <c r="D3128" t="s">
        <v>570</v>
      </c>
      <c r="E3128">
        <v>2396839778</v>
      </c>
      <c r="F3128">
        <v>1619529972</v>
      </c>
      <c r="P3128">
        <v>57</v>
      </c>
      <c r="Q3128" t="s">
        <v>6603</v>
      </c>
    </row>
    <row r="3129" spans="1:17" x14ac:dyDescent="0.3">
      <c r="A3129" t="s">
        <v>47</v>
      </c>
      <c r="B3129" t="str">
        <f>"002069"</f>
        <v>002069</v>
      </c>
      <c r="C3129" t="s">
        <v>6604</v>
      </c>
      <c r="D3129" t="s">
        <v>3602</v>
      </c>
      <c r="E3129">
        <v>2395559598</v>
      </c>
      <c r="F3129">
        <v>2471579277</v>
      </c>
      <c r="G3129">
        <v>2847463383</v>
      </c>
      <c r="H3129">
        <v>3537850822</v>
      </c>
      <c r="I3129">
        <v>3686892961</v>
      </c>
      <c r="J3129">
        <v>4558722826</v>
      </c>
      <c r="K3129">
        <v>4450954846</v>
      </c>
      <c r="L3129">
        <v>4812472791</v>
      </c>
      <c r="M3129">
        <v>5494297423</v>
      </c>
      <c r="N3129">
        <v>4795680153</v>
      </c>
      <c r="O3129">
        <v>4794395979</v>
      </c>
      <c r="P3129">
        <v>406</v>
      </c>
      <c r="Q3129" t="s">
        <v>6605</v>
      </c>
    </row>
    <row r="3130" spans="1:17" x14ac:dyDescent="0.3">
      <c r="A3130" t="s">
        <v>47</v>
      </c>
      <c r="B3130" t="str">
        <f>"300512"</f>
        <v>300512</v>
      </c>
      <c r="C3130" t="s">
        <v>6606</v>
      </c>
      <c r="D3130" t="s">
        <v>3237</v>
      </c>
      <c r="E3130">
        <v>2392117713</v>
      </c>
      <c r="F3130">
        <v>2099784754</v>
      </c>
      <c r="G3130">
        <v>1876366158</v>
      </c>
      <c r="H3130">
        <v>1982771809</v>
      </c>
      <c r="I3130">
        <v>2158621955</v>
      </c>
      <c r="J3130">
        <v>2063431775</v>
      </c>
      <c r="K3130">
        <v>1061081198</v>
      </c>
      <c r="P3130">
        <v>161</v>
      </c>
      <c r="Q3130" t="s">
        <v>6607</v>
      </c>
    </row>
    <row r="3131" spans="1:17" x14ac:dyDescent="0.3">
      <c r="A3131" t="s">
        <v>47</v>
      </c>
      <c r="B3131" t="str">
        <f>"002428"</f>
        <v>002428</v>
      </c>
      <c r="C3131" t="s">
        <v>6608</v>
      </c>
      <c r="D3131" t="s">
        <v>1002</v>
      </c>
      <c r="E3131">
        <v>2391712880</v>
      </c>
      <c r="F3131">
        <v>2403622370</v>
      </c>
      <c r="G3131">
        <v>2232535273</v>
      </c>
      <c r="H3131">
        <v>2062233857</v>
      </c>
      <c r="I3131">
        <v>1896641040</v>
      </c>
      <c r="J3131">
        <v>2043274216</v>
      </c>
      <c r="K3131">
        <v>2064984530</v>
      </c>
      <c r="L3131">
        <v>2140441829</v>
      </c>
      <c r="M3131">
        <v>2016031049</v>
      </c>
      <c r="N3131">
        <v>1873474941</v>
      </c>
      <c r="O3131">
        <v>1390417639</v>
      </c>
      <c r="P3131">
        <v>186</v>
      </c>
      <c r="Q3131" t="s">
        <v>6609</v>
      </c>
    </row>
    <row r="3132" spans="1:17" x14ac:dyDescent="0.3">
      <c r="A3132" t="s">
        <v>47</v>
      </c>
      <c r="B3132" t="str">
        <f>"002707"</f>
        <v>002707</v>
      </c>
      <c r="C3132" t="s">
        <v>6610</v>
      </c>
      <c r="D3132" t="s">
        <v>4931</v>
      </c>
      <c r="E3132">
        <v>2390433233</v>
      </c>
      <c r="F3132">
        <v>2916480872</v>
      </c>
      <c r="G3132">
        <v>5467540676</v>
      </c>
      <c r="H3132">
        <v>5816572100</v>
      </c>
      <c r="I3132">
        <v>5298165151</v>
      </c>
      <c r="J3132">
        <v>4122487076</v>
      </c>
      <c r="K3132">
        <v>3327351682</v>
      </c>
      <c r="L3132">
        <v>2384020308</v>
      </c>
      <c r="M3132">
        <v>779926534</v>
      </c>
      <c r="P3132">
        <v>295</v>
      </c>
      <c r="Q3132" t="s">
        <v>6611</v>
      </c>
    </row>
    <row r="3133" spans="1:17" x14ac:dyDescent="0.3">
      <c r="A3133" t="s">
        <v>17</v>
      </c>
      <c r="B3133" t="str">
        <f>"603685"</f>
        <v>603685</v>
      </c>
      <c r="C3133" t="s">
        <v>6612</v>
      </c>
      <c r="D3133" t="s">
        <v>862</v>
      </c>
      <c r="E3133">
        <v>2389816103</v>
      </c>
      <c r="F3133">
        <v>1948111222</v>
      </c>
      <c r="G3133">
        <v>1670401305</v>
      </c>
      <c r="H3133">
        <v>1411324115</v>
      </c>
      <c r="I3133">
        <v>995535495</v>
      </c>
      <c r="P3133">
        <v>102</v>
      </c>
      <c r="Q3133" t="s">
        <v>6613</v>
      </c>
    </row>
    <row r="3134" spans="1:17" x14ac:dyDescent="0.3">
      <c r="A3134" t="s">
        <v>47</v>
      </c>
      <c r="B3134" t="str">
        <f>"002114"</f>
        <v>002114</v>
      </c>
      <c r="C3134" t="s">
        <v>6614</v>
      </c>
      <c r="D3134" t="s">
        <v>1299</v>
      </c>
      <c r="E3134">
        <v>2384773758</v>
      </c>
      <c r="F3134">
        <v>2305878679</v>
      </c>
      <c r="G3134">
        <v>2192936966</v>
      </c>
      <c r="H3134">
        <v>2139009040</v>
      </c>
      <c r="I3134">
        <v>2335666034</v>
      </c>
      <c r="J3134">
        <v>2333270382</v>
      </c>
      <c r="K3134">
        <v>1820972676</v>
      </c>
      <c r="L3134">
        <v>1747319576</v>
      </c>
      <c r="M3134">
        <v>1517145835</v>
      </c>
      <c r="N3134">
        <v>762054252</v>
      </c>
      <c r="O3134">
        <v>1116583637</v>
      </c>
      <c r="P3134">
        <v>73</v>
      </c>
      <c r="Q3134" t="s">
        <v>6615</v>
      </c>
    </row>
    <row r="3135" spans="1:17" x14ac:dyDescent="0.3">
      <c r="A3135" t="s">
        <v>17</v>
      </c>
      <c r="B3135" t="str">
        <f>"603608"</f>
        <v>603608</v>
      </c>
      <c r="C3135" t="s">
        <v>6616</v>
      </c>
      <c r="D3135" t="s">
        <v>4276</v>
      </c>
      <c r="E3135">
        <v>2384264130</v>
      </c>
      <c r="F3135">
        <v>2647884354</v>
      </c>
      <c r="G3135">
        <v>2612472999</v>
      </c>
      <c r="H3135">
        <v>2595115655</v>
      </c>
      <c r="I3135">
        <v>2704093748</v>
      </c>
      <c r="J3135">
        <v>1806882115</v>
      </c>
      <c r="K3135">
        <v>1917461030</v>
      </c>
      <c r="P3135">
        <v>138</v>
      </c>
      <c r="Q3135" t="s">
        <v>6617</v>
      </c>
    </row>
    <row r="3136" spans="1:17" x14ac:dyDescent="0.3">
      <c r="A3136" t="s">
        <v>47</v>
      </c>
      <c r="B3136" t="str">
        <f>"300062"</f>
        <v>300062</v>
      </c>
      <c r="C3136" t="s">
        <v>6618</v>
      </c>
      <c r="D3136" t="s">
        <v>459</v>
      </c>
      <c r="E3136">
        <v>2382218730</v>
      </c>
      <c r="F3136">
        <v>1915148326</v>
      </c>
      <c r="G3136">
        <v>2077704415</v>
      </c>
      <c r="H3136">
        <v>2154296600</v>
      </c>
      <c r="I3136">
        <v>2172235496</v>
      </c>
      <c r="J3136">
        <v>1795501262</v>
      </c>
      <c r="K3136">
        <v>2611839593</v>
      </c>
      <c r="L3136">
        <v>1013219399</v>
      </c>
      <c r="M3136">
        <v>1041620070</v>
      </c>
      <c r="N3136">
        <v>946425053</v>
      </c>
      <c r="O3136">
        <v>861290395</v>
      </c>
      <c r="P3136">
        <v>125</v>
      </c>
      <c r="Q3136" t="s">
        <v>6619</v>
      </c>
    </row>
    <row r="3137" spans="1:17" x14ac:dyDescent="0.3">
      <c r="A3137" t="s">
        <v>47</v>
      </c>
      <c r="B3137" t="str">
        <f>"300378"</f>
        <v>300378</v>
      </c>
      <c r="C3137" t="s">
        <v>6620</v>
      </c>
      <c r="D3137" t="s">
        <v>1010</v>
      </c>
      <c r="E3137">
        <v>2381379563</v>
      </c>
      <c r="F3137">
        <v>2350157313</v>
      </c>
      <c r="G3137">
        <v>2257970477</v>
      </c>
      <c r="H3137">
        <v>2277320323</v>
      </c>
      <c r="I3137">
        <v>1954907072</v>
      </c>
      <c r="J3137">
        <v>1752580811</v>
      </c>
      <c r="K3137">
        <v>1578432679</v>
      </c>
      <c r="L3137">
        <v>1433761287</v>
      </c>
      <c r="M3137">
        <v>1468444924</v>
      </c>
      <c r="P3137">
        <v>195</v>
      </c>
      <c r="Q3137" t="s">
        <v>6621</v>
      </c>
    </row>
    <row r="3138" spans="1:17" x14ac:dyDescent="0.3">
      <c r="A3138" t="s">
        <v>47</v>
      </c>
      <c r="B3138" t="str">
        <f>"300619"</f>
        <v>300619</v>
      </c>
      <c r="C3138" t="s">
        <v>6622</v>
      </c>
      <c r="D3138" t="s">
        <v>1490</v>
      </c>
      <c r="E3138">
        <v>2381211053</v>
      </c>
      <c r="F3138">
        <v>1630245270</v>
      </c>
      <c r="G3138">
        <v>1243288742</v>
      </c>
      <c r="H3138">
        <v>1048732055</v>
      </c>
      <c r="I3138">
        <v>888592505</v>
      </c>
      <c r="J3138">
        <v>646184485</v>
      </c>
      <c r="P3138">
        <v>94</v>
      </c>
      <c r="Q3138" t="s">
        <v>6623</v>
      </c>
    </row>
    <row r="3139" spans="1:17" x14ac:dyDescent="0.3">
      <c r="A3139" t="s">
        <v>47</v>
      </c>
      <c r="B3139" t="str">
        <f>"300982"</f>
        <v>300982</v>
      </c>
      <c r="C3139" t="s">
        <v>6624</v>
      </c>
      <c r="D3139" t="s">
        <v>84</v>
      </c>
      <c r="E3139">
        <v>2379428644</v>
      </c>
      <c r="F3139">
        <v>1462850426</v>
      </c>
      <c r="P3139">
        <v>65</v>
      </c>
      <c r="Q3139" t="s">
        <v>6625</v>
      </c>
    </row>
    <row r="3140" spans="1:17" x14ac:dyDescent="0.3">
      <c r="A3140" t="s">
        <v>17</v>
      </c>
      <c r="B3140" t="str">
        <f>"605169"</f>
        <v>605169</v>
      </c>
      <c r="C3140" t="s">
        <v>6626</v>
      </c>
      <c r="D3140" t="s">
        <v>476</v>
      </c>
      <c r="E3140">
        <v>2377298720</v>
      </c>
      <c r="F3140">
        <v>1998002212</v>
      </c>
      <c r="P3140">
        <v>62</v>
      </c>
      <c r="Q3140" t="s">
        <v>6627</v>
      </c>
    </row>
    <row r="3141" spans="1:17" x14ac:dyDescent="0.3">
      <c r="A3141" t="s">
        <v>17</v>
      </c>
      <c r="B3141" t="str">
        <f>"603191"</f>
        <v>603191</v>
      </c>
      <c r="C3141" t="s">
        <v>6628</v>
      </c>
      <c r="E3141">
        <v>2375769221</v>
      </c>
      <c r="P3141">
        <v>5</v>
      </c>
      <c r="Q3141" t="s">
        <v>6629</v>
      </c>
    </row>
    <row r="3142" spans="1:17" x14ac:dyDescent="0.3">
      <c r="A3142" t="s">
        <v>47</v>
      </c>
      <c r="B3142" t="str">
        <f>"002915"</f>
        <v>002915</v>
      </c>
      <c r="C3142" t="s">
        <v>6630</v>
      </c>
      <c r="D3142" t="s">
        <v>1796</v>
      </c>
      <c r="E3142">
        <v>2374081346</v>
      </c>
      <c r="F3142">
        <v>1698032997</v>
      </c>
      <c r="G3142">
        <v>1945285742</v>
      </c>
      <c r="H3142">
        <v>730418079</v>
      </c>
      <c r="I3142">
        <v>681398465</v>
      </c>
      <c r="P3142">
        <v>90</v>
      </c>
      <c r="Q3142" t="s">
        <v>6631</v>
      </c>
    </row>
    <row r="3143" spans="1:17" x14ac:dyDescent="0.3">
      <c r="A3143" t="s">
        <v>17</v>
      </c>
      <c r="B3143" t="str">
        <f>"600345"</f>
        <v>600345</v>
      </c>
      <c r="C3143" t="s">
        <v>6632</v>
      </c>
      <c r="D3143" t="s">
        <v>4914</v>
      </c>
      <c r="E3143">
        <v>2369170908</v>
      </c>
      <c r="F3143">
        <v>2174153029</v>
      </c>
      <c r="G3143">
        <v>2072711366</v>
      </c>
      <c r="H3143">
        <v>2060833003</v>
      </c>
      <c r="I3143">
        <v>1782426098</v>
      </c>
      <c r="J3143">
        <v>1729422054</v>
      </c>
      <c r="K3143">
        <v>1670217507</v>
      </c>
      <c r="L3143">
        <v>1702031026</v>
      </c>
      <c r="M3143">
        <v>1843221839</v>
      </c>
      <c r="N3143">
        <v>1896448671</v>
      </c>
      <c r="O3143">
        <v>2122295470</v>
      </c>
      <c r="P3143">
        <v>208</v>
      </c>
      <c r="Q3143" t="s">
        <v>6633</v>
      </c>
    </row>
    <row r="3144" spans="1:17" x14ac:dyDescent="0.3">
      <c r="A3144" t="s">
        <v>47</v>
      </c>
      <c r="B3144" t="str">
        <f>"300771"</f>
        <v>300771</v>
      </c>
      <c r="C3144" t="s">
        <v>6634</v>
      </c>
      <c r="D3144" t="s">
        <v>765</v>
      </c>
      <c r="E3144">
        <v>2368012548</v>
      </c>
      <c r="F3144">
        <v>2036920579</v>
      </c>
      <c r="G3144">
        <v>1913178008</v>
      </c>
      <c r="H3144">
        <v>898437032</v>
      </c>
      <c r="P3144">
        <v>229</v>
      </c>
      <c r="Q3144" t="s">
        <v>6635</v>
      </c>
    </row>
    <row r="3145" spans="1:17" x14ac:dyDescent="0.3">
      <c r="A3145" t="s">
        <v>17</v>
      </c>
      <c r="B3145" t="str">
        <f>"688345"</f>
        <v>688345</v>
      </c>
      <c r="C3145" t="s">
        <v>6636</v>
      </c>
      <c r="D3145" t="s">
        <v>215</v>
      </c>
      <c r="E3145">
        <v>2366592163</v>
      </c>
      <c r="F3145">
        <v>1234936758</v>
      </c>
      <c r="P3145">
        <v>39</v>
      </c>
      <c r="Q3145" t="s">
        <v>6637</v>
      </c>
    </row>
    <row r="3146" spans="1:17" x14ac:dyDescent="0.3">
      <c r="A3146" t="s">
        <v>47</v>
      </c>
      <c r="B3146" t="str">
        <f>"000005"</f>
        <v>000005</v>
      </c>
      <c r="C3146" t="s">
        <v>6638</v>
      </c>
      <c r="D3146" t="s">
        <v>1269</v>
      </c>
      <c r="E3146">
        <v>2366484742</v>
      </c>
      <c r="F3146">
        <v>2404021683</v>
      </c>
      <c r="G3146">
        <v>2788703435</v>
      </c>
      <c r="H3146">
        <v>2952178791</v>
      </c>
      <c r="I3146">
        <v>2879810301</v>
      </c>
      <c r="J3146">
        <v>2611314142</v>
      </c>
      <c r="K3146">
        <v>2110780488</v>
      </c>
      <c r="L3146">
        <v>1359236164</v>
      </c>
      <c r="M3146">
        <v>1193893688</v>
      </c>
      <c r="N3146">
        <v>1172622429</v>
      </c>
      <c r="O3146">
        <v>1254706436</v>
      </c>
      <c r="P3146">
        <v>87</v>
      </c>
      <c r="Q3146" t="s">
        <v>6639</v>
      </c>
    </row>
    <row r="3147" spans="1:17" x14ac:dyDescent="0.3">
      <c r="A3147" t="s">
        <v>17</v>
      </c>
      <c r="B3147" t="str">
        <f>"603209"</f>
        <v>603209</v>
      </c>
      <c r="C3147" t="s">
        <v>6640</v>
      </c>
      <c r="E3147">
        <v>2365867022</v>
      </c>
      <c r="P3147">
        <v>12</v>
      </c>
      <c r="Q3147" t="s">
        <v>6641</v>
      </c>
    </row>
    <row r="3148" spans="1:17" x14ac:dyDescent="0.3">
      <c r="A3148" t="s">
        <v>17</v>
      </c>
      <c r="B3148" t="str">
        <f>"600877"</f>
        <v>600877</v>
      </c>
      <c r="C3148" t="s">
        <v>6642</v>
      </c>
      <c r="D3148" t="s">
        <v>215</v>
      </c>
      <c r="E3148">
        <v>2364120065</v>
      </c>
      <c r="F3148">
        <v>647063069</v>
      </c>
      <c r="G3148">
        <v>501577812</v>
      </c>
      <c r="H3148">
        <v>900463200</v>
      </c>
      <c r="I3148">
        <v>1202347340</v>
      </c>
      <c r="J3148">
        <v>1690095230</v>
      </c>
      <c r="K3148">
        <v>1866361508</v>
      </c>
      <c r="L3148">
        <v>2239872512</v>
      </c>
      <c r="M3148">
        <v>2758374655</v>
      </c>
      <c r="N3148">
        <v>2822931639</v>
      </c>
      <c r="O3148">
        <v>2718228940</v>
      </c>
      <c r="P3148">
        <v>119</v>
      </c>
      <c r="Q3148" t="s">
        <v>6643</v>
      </c>
    </row>
    <row r="3149" spans="1:17" x14ac:dyDescent="0.3">
      <c r="A3149" t="s">
        <v>47</v>
      </c>
      <c r="B3149" t="str">
        <f>"300348"</f>
        <v>300348</v>
      </c>
      <c r="C3149" t="s">
        <v>6644</v>
      </c>
      <c r="D3149" t="s">
        <v>1859</v>
      </c>
      <c r="E3149">
        <v>2362519002</v>
      </c>
      <c r="F3149">
        <v>2042667865</v>
      </c>
      <c r="G3149">
        <v>1967619940</v>
      </c>
      <c r="H3149">
        <v>1811156720</v>
      </c>
      <c r="I3149">
        <v>1458882114</v>
      </c>
      <c r="J3149">
        <v>1323313985</v>
      </c>
      <c r="K3149">
        <v>1022077317</v>
      </c>
      <c r="L3149">
        <v>659801775</v>
      </c>
      <c r="M3149">
        <v>434279822</v>
      </c>
      <c r="N3149">
        <v>428898070</v>
      </c>
      <c r="P3149">
        <v>364</v>
      </c>
      <c r="Q3149" t="s">
        <v>6645</v>
      </c>
    </row>
    <row r="3150" spans="1:17" x14ac:dyDescent="0.3">
      <c r="A3150" t="s">
        <v>47</v>
      </c>
      <c r="B3150" t="str">
        <f>"301211"</f>
        <v>301211</v>
      </c>
      <c r="C3150" t="s">
        <v>6646</v>
      </c>
      <c r="D3150" t="s">
        <v>1112</v>
      </c>
      <c r="E3150">
        <v>2361083863</v>
      </c>
      <c r="P3150">
        <v>14</v>
      </c>
      <c r="Q3150" t="s">
        <v>6647</v>
      </c>
    </row>
    <row r="3151" spans="1:17" x14ac:dyDescent="0.3">
      <c r="A3151" t="s">
        <v>47</v>
      </c>
      <c r="B3151" t="str">
        <f>"300396"</f>
        <v>300396</v>
      </c>
      <c r="C3151" t="s">
        <v>6648</v>
      </c>
      <c r="D3151" t="s">
        <v>2322</v>
      </c>
      <c r="E3151">
        <v>2359733682</v>
      </c>
      <c r="F3151">
        <v>2058741321</v>
      </c>
      <c r="G3151">
        <v>2127244734</v>
      </c>
      <c r="H3151">
        <v>1960326218</v>
      </c>
      <c r="I3151">
        <v>1837280393</v>
      </c>
      <c r="J3151">
        <v>1760123387</v>
      </c>
      <c r="K3151">
        <v>1811698154</v>
      </c>
      <c r="L3151">
        <v>1049141796</v>
      </c>
      <c r="P3151">
        <v>360</v>
      </c>
      <c r="Q3151" t="s">
        <v>6649</v>
      </c>
    </row>
    <row r="3152" spans="1:17" x14ac:dyDescent="0.3">
      <c r="A3152" t="s">
        <v>47</v>
      </c>
      <c r="B3152" t="str">
        <f>"002012"</f>
        <v>002012</v>
      </c>
      <c r="C3152" t="s">
        <v>6650</v>
      </c>
      <c r="D3152" t="s">
        <v>2612</v>
      </c>
      <c r="E3152">
        <v>2359343981</v>
      </c>
      <c r="F3152">
        <v>2291215433</v>
      </c>
      <c r="G3152">
        <v>2057837193</v>
      </c>
      <c r="H3152">
        <v>1836477358</v>
      </c>
      <c r="I3152">
        <v>1760712304</v>
      </c>
      <c r="J3152">
        <v>1709851417</v>
      </c>
      <c r="K3152">
        <v>1607296898</v>
      </c>
      <c r="L3152">
        <v>1596762317</v>
      </c>
      <c r="M3152">
        <v>1638922091</v>
      </c>
      <c r="N3152">
        <v>1719793812</v>
      </c>
      <c r="O3152">
        <v>1611126281</v>
      </c>
      <c r="P3152">
        <v>131</v>
      </c>
      <c r="Q3152" t="s">
        <v>6651</v>
      </c>
    </row>
    <row r="3153" spans="1:17" x14ac:dyDescent="0.3">
      <c r="A3153" t="s">
        <v>47</v>
      </c>
      <c r="B3153" t="str">
        <f>"300086"</f>
        <v>300086</v>
      </c>
      <c r="C3153" t="s">
        <v>6652</v>
      </c>
      <c r="D3153" t="s">
        <v>550</v>
      </c>
      <c r="E3153">
        <v>2359300615</v>
      </c>
      <c r="F3153">
        <v>2556480463</v>
      </c>
      <c r="G3153">
        <v>2390433822</v>
      </c>
      <c r="H3153">
        <v>2201976210</v>
      </c>
      <c r="I3153">
        <v>2239722274</v>
      </c>
      <c r="J3153">
        <v>2131612723</v>
      </c>
      <c r="K3153">
        <v>2162108492</v>
      </c>
      <c r="L3153">
        <v>1909744542</v>
      </c>
      <c r="M3153">
        <v>1918188802</v>
      </c>
      <c r="N3153">
        <v>1963274097</v>
      </c>
      <c r="O3153">
        <v>1981579145</v>
      </c>
      <c r="P3153">
        <v>106</v>
      </c>
      <c r="Q3153" t="s">
        <v>6653</v>
      </c>
    </row>
    <row r="3154" spans="1:17" x14ac:dyDescent="0.3">
      <c r="A3154" t="s">
        <v>47</v>
      </c>
      <c r="B3154" t="str">
        <f>"300663"</f>
        <v>300663</v>
      </c>
      <c r="C3154" t="s">
        <v>6654</v>
      </c>
      <c r="D3154" t="s">
        <v>1859</v>
      </c>
      <c r="E3154">
        <v>2358591776</v>
      </c>
      <c r="F3154">
        <v>2294129824</v>
      </c>
      <c r="G3154">
        <v>1473286588</v>
      </c>
      <c r="H3154">
        <v>1398498845</v>
      </c>
      <c r="I3154">
        <v>1070456065</v>
      </c>
      <c r="J3154">
        <v>710094125</v>
      </c>
      <c r="P3154">
        <v>261</v>
      </c>
      <c r="Q3154" t="s">
        <v>6655</v>
      </c>
    </row>
    <row r="3155" spans="1:17" x14ac:dyDescent="0.3">
      <c r="A3155" t="s">
        <v>17</v>
      </c>
      <c r="B3155" t="str">
        <f>"603956"</f>
        <v>603956</v>
      </c>
      <c r="C3155" t="s">
        <v>6656</v>
      </c>
      <c r="D3155" t="s">
        <v>1973</v>
      </c>
      <c r="E3155">
        <v>2353266054</v>
      </c>
      <c r="F3155">
        <v>2067838907</v>
      </c>
      <c r="G3155">
        <v>1383154567</v>
      </c>
      <c r="H3155">
        <v>1213912423</v>
      </c>
      <c r="P3155">
        <v>181</v>
      </c>
      <c r="Q3155" t="s">
        <v>6657</v>
      </c>
    </row>
    <row r="3156" spans="1:17" x14ac:dyDescent="0.3">
      <c r="A3156" t="s">
        <v>47</v>
      </c>
      <c r="B3156" t="str">
        <f>"003027"</f>
        <v>003027</v>
      </c>
      <c r="C3156" t="s">
        <v>6658</v>
      </c>
      <c r="D3156" t="s">
        <v>1426</v>
      </c>
      <c r="E3156">
        <v>2351890808</v>
      </c>
      <c r="F3156">
        <v>1969281928</v>
      </c>
      <c r="P3156">
        <v>58</v>
      </c>
      <c r="Q3156" t="s">
        <v>6659</v>
      </c>
    </row>
    <row r="3157" spans="1:17" x14ac:dyDescent="0.3">
      <c r="A3157" t="s">
        <v>17</v>
      </c>
      <c r="B3157" t="str">
        <f>"603616"</f>
        <v>603616</v>
      </c>
      <c r="C3157" t="s">
        <v>6660</v>
      </c>
      <c r="D3157" t="s">
        <v>1318</v>
      </c>
      <c r="E3157">
        <v>2351681826</v>
      </c>
      <c r="F3157">
        <v>2117004005</v>
      </c>
      <c r="G3157">
        <v>2168598937</v>
      </c>
      <c r="H3157">
        <v>2188740948</v>
      </c>
      <c r="I3157">
        <v>1732222986</v>
      </c>
      <c r="J3157">
        <v>1729003663</v>
      </c>
      <c r="K3157">
        <v>1483676010</v>
      </c>
      <c r="L3157">
        <v>1207994174</v>
      </c>
      <c r="P3157">
        <v>71</v>
      </c>
      <c r="Q3157" t="s">
        <v>6661</v>
      </c>
    </row>
    <row r="3158" spans="1:17" x14ac:dyDescent="0.3">
      <c r="A3158" t="s">
        <v>47</v>
      </c>
      <c r="B3158" t="str">
        <f>"002017"</f>
        <v>002017</v>
      </c>
      <c r="C3158" t="s">
        <v>6662</v>
      </c>
      <c r="D3158" t="s">
        <v>962</v>
      </c>
      <c r="E3158">
        <v>2347759496</v>
      </c>
      <c r="F3158">
        <v>2204537968</v>
      </c>
      <c r="G3158">
        <v>2158665120</v>
      </c>
      <c r="H3158">
        <v>2054936710</v>
      </c>
      <c r="I3158">
        <v>1560852644</v>
      </c>
      <c r="J3158">
        <v>1571259139</v>
      </c>
      <c r="K3158">
        <v>1495233075</v>
      </c>
      <c r="L3158">
        <v>1567018032</v>
      </c>
      <c r="M3158">
        <v>1469085728</v>
      </c>
      <c r="N3158">
        <v>1334186225</v>
      </c>
      <c r="O3158">
        <v>1207685276</v>
      </c>
      <c r="P3158">
        <v>216</v>
      </c>
      <c r="Q3158" t="s">
        <v>6663</v>
      </c>
    </row>
    <row r="3159" spans="1:17" x14ac:dyDescent="0.3">
      <c r="A3159" t="s">
        <v>17</v>
      </c>
      <c r="B3159" t="str">
        <f>"688087"</f>
        <v>688087</v>
      </c>
      <c r="C3159" t="s">
        <v>6664</v>
      </c>
      <c r="D3159" t="s">
        <v>3077</v>
      </c>
      <c r="E3159">
        <v>2346976465</v>
      </c>
      <c r="F3159">
        <v>1351838335</v>
      </c>
      <c r="G3159">
        <v>1196484242</v>
      </c>
      <c r="P3159">
        <v>36</v>
      </c>
      <c r="Q3159" t="s">
        <v>6665</v>
      </c>
    </row>
    <row r="3160" spans="1:17" x14ac:dyDescent="0.3">
      <c r="A3160" t="s">
        <v>17</v>
      </c>
      <c r="B3160" t="str">
        <f>"605300"</f>
        <v>605300</v>
      </c>
      <c r="C3160" t="s">
        <v>6666</v>
      </c>
      <c r="D3160" t="s">
        <v>487</v>
      </c>
      <c r="E3160">
        <v>2345652647</v>
      </c>
      <c r="F3160">
        <v>1836542957</v>
      </c>
      <c r="P3160">
        <v>56</v>
      </c>
      <c r="Q3160" t="s">
        <v>6667</v>
      </c>
    </row>
    <row r="3161" spans="1:17" x14ac:dyDescent="0.3">
      <c r="A3161" t="s">
        <v>17</v>
      </c>
      <c r="B3161" t="str">
        <f>"603157"</f>
        <v>603157</v>
      </c>
      <c r="C3161" t="s">
        <v>6668</v>
      </c>
      <c r="D3161" t="s">
        <v>628</v>
      </c>
      <c r="E3161">
        <v>2345366000</v>
      </c>
      <c r="F3161">
        <v>3286615000</v>
      </c>
      <c r="G3161">
        <v>7234105000</v>
      </c>
      <c r="H3161">
        <v>8822053000</v>
      </c>
      <c r="I3161">
        <v>7662500000</v>
      </c>
      <c r="P3161">
        <v>88</v>
      </c>
      <c r="Q3161" t="s">
        <v>6669</v>
      </c>
    </row>
    <row r="3162" spans="1:17" x14ac:dyDescent="0.3">
      <c r="A3162" t="s">
        <v>47</v>
      </c>
      <c r="B3162" t="str">
        <f>"300227"</f>
        <v>300227</v>
      </c>
      <c r="C3162" t="s">
        <v>6670</v>
      </c>
      <c r="D3162" t="s">
        <v>1296</v>
      </c>
      <c r="E3162">
        <v>2342041710</v>
      </c>
      <c r="F3162">
        <v>2019866259</v>
      </c>
      <c r="G3162">
        <v>1749183046</v>
      </c>
      <c r="H3162">
        <v>1203764164</v>
      </c>
      <c r="I3162">
        <v>1065975616</v>
      </c>
      <c r="J3162">
        <v>675677231</v>
      </c>
      <c r="K3162">
        <v>596591496</v>
      </c>
      <c r="L3162">
        <v>582031670</v>
      </c>
      <c r="M3162">
        <v>489493937</v>
      </c>
      <c r="N3162">
        <v>419802616</v>
      </c>
      <c r="O3162">
        <v>396105589</v>
      </c>
      <c r="P3162">
        <v>220</v>
      </c>
      <c r="Q3162" t="s">
        <v>6671</v>
      </c>
    </row>
    <row r="3163" spans="1:17" x14ac:dyDescent="0.3">
      <c r="A3163" t="s">
        <v>47</v>
      </c>
      <c r="B3163" t="str">
        <f>"300650"</f>
        <v>300650</v>
      </c>
      <c r="C3163" t="s">
        <v>6672</v>
      </c>
      <c r="D3163" t="s">
        <v>862</v>
      </c>
      <c r="E3163">
        <v>2338850475</v>
      </c>
      <c r="F3163">
        <v>1988805450</v>
      </c>
      <c r="G3163">
        <v>797924549</v>
      </c>
      <c r="H3163">
        <v>729772902</v>
      </c>
      <c r="I3163">
        <v>632308794</v>
      </c>
      <c r="J3163">
        <v>285367362</v>
      </c>
      <c r="P3163">
        <v>125</v>
      </c>
      <c r="Q3163" t="s">
        <v>6673</v>
      </c>
    </row>
    <row r="3164" spans="1:17" x14ac:dyDescent="0.3">
      <c r="A3164" t="s">
        <v>17</v>
      </c>
      <c r="B3164" t="str">
        <f>"688155"</f>
        <v>688155</v>
      </c>
      <c r="C3164" t="s">
        <v>6674</v>
      </c>
      <c r="D3164" t="s">
        <v>1490</v>
      </c>
      <c r="E3164">
        <v>2338491736</v>
      </c>
      <c r="F3164">
        <v>1459283737</v>
      </c>
      <c r="G3164">
        <v>608473100</v>
      </c>
      <c r="P3164">
        <v>101</v>
      </c>
      <c r="Q3164" t="s">
        <v>6675</v>
      </c>
    </row>
    <row r="3165" spans="1:17" x14ac:dyDescent="0.3">
      <c r="A3165" t="s">
        <v>47</v>
      </c>
      <c r="B3165" t="str">
        <f>"300289"</f>
        <v>300289</v>
      </c>
      <c r="C3165" t="s">
        <v>6676</v>
      </c>
      <c r="D3165" t="s">
        <v>2322</v>
      </c>
      <c r="E3165">
        <v>2338149871</v>
      </c>
      <c r="F3165">
        <v>1604638552</v>
      </c>
      <c r="G3165">
        <v>1701264375</v>
      </c>
      <c r="H3165">
        <v>1684786823</v>
      </c>
      <c r="I3165">
        <v>1720571267</v>
      </c>
      <c r="J3165">
        <v>1667564344</v>
      </c>
      <c r="K3165">
        <v>1620621701</v>
      </c>
      <c r="L3165">
        <v>1561008734</v>
      </c>
      <c r="M3165">
        <v>1241315985</v>
      </c>
      <c r="N3165">
        <v>1138414021</v>
      </c>
      <c r="O3165">
        <v>901293270</v>
      </c>
      <c r="P3165">
        <v>132</v>
      </c>
      <c r="Q3165" t="s">
        <v>6677</v>
      </c>
    </row>
    <row r="3166" spans="1:17" x14ac:dyDescent="0.3">
      <c r="A3166" t="s">
        <v>47</v>
      </c>
      <c r="B3166" t="str">
        <f>"300150"</f>
        <v>300150</v>
      </c>
      <c r="C3166" t="s">
        <v>6678</v>
      </c>
      <c r="D3166" t="s">
        <v>700</v>
      </c>
      <c r="E3166">
        <v>2336802179</v>
      </c>
      <c r="F3166">
        <v>2179039613</v>
      </c>
      <c r="G3166">
        <v>2324206089</v>
      </c>
      <c r="H3166">
        <v>2350208399</v>
      </c>
      <c r="I3166">
        <v>2409752357</v>
      </c>
      <c r="J3166">
        <v>1844566966</v>
      </c>
      <c r="K3166">
        <v>1629343888</v>
      </c>
      <c r="L3166">
        <v>1595307535</v>
      </c>
      <c r="M3166">
        <v>1588414929</v>
      </c>
      <c r="N3166">
        <v>1468577790</v>
      </c>
      <c r="O3166">
        <v>1526843212</v>
      </c>
      <c r="P3166">
        <v>121</v>
      </c>
      <c r="Q3166" t="s">
        <v>6679</v>
      </c>
    </row>
    <row r="3167" spans="1:17" x14ac:dyDescent="0.3">
      <c r="A3167" t="s">
        <v>47</v>
      </c>
      <c r="B3167" t="str">
        <f>"001267"</f>
        <v>001267</v>
      </c>
      <c r="C3167" t="s">
        <v>6680</v>
      </c>
      <c r="D3167" t="s">
        <v>952</v>
      </c>
      <c r="E3167">
        <v>2336538479</v>
      </c>
      <c r="F3167">
        <v>2043708100</v>
      </c>
      <c r="P3167">
        <v>10</v>
      </c>
      <c r="Q3167" t="s">
        <v>6681</v>
      </c>
    </row>
    <row r="3168" spans="1:17" x14ac:dyDescent="0.3">
      <c r="A3168" t="s">
        <v>47</v>
      </c>
      <c r="B3168" t="str">
        <f>"300128"</f>
        <v>300128</v>
      </c>
      <c r="C3168" t="s">
        <v>6682</v>
      </c>
      <c r="D3168" t="s">
        <v>181</v>
      </c>
      <c r="E3168">
        <v>2335514453</v>
      </c>
      <c r="F3168">
        <v>2258835996</v>
      </c>
      <c r="G3168">
        <v>2499179600</v>
      </c>
      <c r="H3168">
        <v>2743549349</v>
      </c>
      <c r="I3168">
        <v>4050160282</v>
      </c>
      <c r="J3168">
        <v>3324129159</v>
      </c>
      <c r="K3168">
        <v>3207035442</v>
      </c>
      <c r="L3168">
        <v>3912606191</v>
      </c>
      <c r="M3168">
        <v>2417774529</v>
      </c>
      <c r="N3168">
        <v>1932676038</v>
      </c>
      <c r="O3168">
        <v>1626068831</v>
      </c>
      <c r="P3168">
        <v>145</v>
      </c>
      <c r="Q3168" t="s">
        <v>6683</v>
      </c>
    </row>
    <row r="3169" spans="1:17" x14ac:dyDescent="0.3">
      <c r="A3169" t="s">
        <v>47</v>
      </c>
      <c r="B3169" t="str">
        <f>"200025"</f>
        <v>200025</v>
      </c>
      <c r="C3169" t="s">
        <v>6684</v>
      </c>
      <c r="E3169">
        <v>2335023802.1399999</v>
      </c>
      <c r="F3169">
        <v>2056946802.2605</v>
      </c>
      <c r="G3169">
        <v>1787879659.7427001</v>
      </c>
      <c r="H3169">
        <v>1934114908.8132</v>
      </c>
      <c r="I3169">
        <v>1759768145.8080001</v>
      </c>
      <c r="J3169">
        <v>1329937470.8022001</v>
      </c>
      <c r="K3169">
        <v>1376850787.4143</v>
      </c>
      <c r="L3169">
        <v>1779095301.25</v>
      </c>
      <c r="M3169">
        <v>918052506.72640002</v>
      </c>
      <c r="N3169">
        <v>787916888.12399995</v>
      </c>
      <c r="O3169">
        <v>719884775.11500001</v>
      </c>
      <c r="P3169">
        <v>7</v>
      </c>
      <c r="Q3169" t="s">
        <v>6685</v>
      </c>
    </row>
    <row r="3170" spans="1:17" x14ac:dyDescent="0.3">
      <c r="A3170" t="s">
        <v>17</v>
      </c>
      <c r="B3170" t="str">
        <f>"605305"</f>
        <v>605305</v>
      </c>
      <c r="C3170" t="s">
        <v>6686</v>
      </c>
      <c r="D3170" t="s">
        <v>429</v>
      </c>
      <c r="E3170">
        <v>2333264251</v>
      </c>
      <c r="F3170">
        <v>1242743692</v>
      </c>
      <c r="P3170">
        <v>81</v>
      </c>
      <c r="Q3170" t="s">
        <v>6687</v>
      </c>
    </row>
    <row r="3171" spans="1:17" x14ac:dyDescent="0.3">
      <c r="A3171" t="s">
        <v>17</v>
      </c>
      <c r="B3171" t="str">
        <f>"600127"</f>
        <v>600127</v>
      </c>
      <c r="C3171" t="s">
        <v>6688</v>
      </c>
      <c r="D3171" t="s">
        <v>320</v>
      </c>
      <c r="E3171">
        <v>2332421008</v>
      </c>
      <c r="F3171">
        <v>2379612381</v>
      </c>
      <c r="G3171">
        <v>2127576134</v>
      </c>
      <c r="H3171">
        <v>2331826850</v>
      </c>
      <c r="I3171">
        <v>2043204499</v>
      </c>
      <c r="J3171">
        <v>1718532687</v>
      </c>
      <c r="K3171">
        <v>1402179000</v>
      </c>
      <c r="L3171">
        <v>1388581494</v>
      </c>
      <c r="M3171">
        <v>1295074164</v>
      </c>
      <c r="N3171">
        <v>1376062449</v>
      </c>
      <c r="O3171">
        <v>1261182693</v>
      </c>
      <c r="P3171">
        <v>231</v>
      </c>
      <c r="Q3171" t="s">
        <v>6689</v>
      </c>
    </row>
    <row r="3172" spans="1:17" x14ac:dyDescent="0.3">
      <c r="A3172" t="s">
        <v>47</v>
      </c>
      <c r="B3172" t="str">
        <f>"002167"</f>
        <v>002167</v>
      </c>
      <c r="C3172" t="s">
        <v>6690</v>
      </c>
      <c r="D3172" t="s">
        <v>1002</v>
      </c>
      <c r="E3172">
        <v>2331761841</v>
      </c>
      <c r="F3172">
        <v>2207298515</v>
      </c>
      <c r="G3172">
        <v>2276383081</v>
      </c>
      <c r="H3172">
        <v>2341628116</v>
      </c>
      <c r="I3172">
        <v>2663553759</v>
      </c>
      <c r="J3172">
        <v>2759034653</v>
      </c>
      <c r="K3172">
        <v>2974072802</v>
      </c>
      <c r="L3172">
        <v>2852303951</v>
      </c>
      <c r="M3172">
        <v>3163897294</v>
      </c>
      <c r="N3172">
        <v>2912788632</v>
      </c>
      <c r="O3172">
        <v>2532923673</v>
      </c>
      <c r="P3172">
        <v>111</v>
      </c>
      <c r="Q3172" t="s">
        <v>6691</v>
      </c>
    </row>
    <row r="3173" spans="1:17" x14ac:dyDescent="0.3">
      <c r="A3173" t="s">
        <v>47</v>
      </c>
      <c r="B3173" t="str">
        <f>"002615"</f>
        <v>002615</v>
      </c>
      <c r="C3173" t="s">
        <v>6692</v>
      </c>
      <c r="D3173" t="s">
        <v>2016</v>
      </c>
      <c r="E3173">
        <v>2330732840</v>
      </c>
      <c r="F3173">
        <v>2165666612</v>
      </c>
      <c r="G3173">
        <v>1978536704</v>
      </c>
      <c r="H3173">
        <v>1884903712</v>
      </c>
      <c r="I3173">
        <v>1690846524</v>
      </c>
      <c r="J3173">
        <v>1412063322</v>
      </c>
      <c r="K3173">
        <v>1087458417</v>
      </c>
      <c r="L3173">
        <v>796568436</v>
      </c>
      <c r="M3173">
        <v>727293277</v>
      </c>
      <c r="N3173">
        <v>680347489</v>
      </c>
      <c r="O3173">
        <v>646667064</v>
      </c>
      <c r="P3173">
        <v>178</v>
      </c>
      <c r="Q3173" t="s">
        <v>6693</v>
      </c>
    </row>
    <row r="3174" spans="1:17" x14ac:dyDescent="0.3">
      <c r="A3174" t="s">
        <v>17</v>
      </c>
      <c r="B3174" t="str">
        <f>"600289"</f>
        <v>600289</v>
      </c>
      <c r="C3174" t="s">
        <v>6694</v>
      </c>
      <c r="D3174" t="s">
        <v>2804</v>
      </c>
      <c r="E3174">
        <v>2330158639</v>
      </c>
      <c r="F3174">
        <v>2329728916</v>
      </c>
      <c r="G3174">
        <v>2269170953</v>
      </c>
      <c r="H3174">
        <v>2661593032</v>
      </c>
      <c r="I3174">
        <v>2828606366</v>
      </c>
      <c r="J3174">
        <v>4135121030</v>
      </c>
      <c r="K3174">
        <v>3018079093</v>
      </c>
      <c r="L3174">
        <v>2850105561</v>
      </c>
      <c r="M3174">
        <v>2772511618</v>
      </c>
      <c r="N3174">
        <v>2782673971</v>
      </c>
      <c r="O3174">
        <v>2720995064</v>
      </c>
      <c r="P3174">
        <v>74</v>
      </c>
      <c r="Q3174" t="s">
        <v>6695</v>
      </c>
    </row>
    <row r="3175" spans="1:17" x14ac:dyDescent="0.3">
      <c r="A3175" t="s">
        <v>47</v>
      </c>
      <c r="B3175" t="str">
        <f>"003011"</f>
        <v>003011</v>
      </c>
      <c r="C3175" t="s">
        <v>6696</v>
      </c>
      <c r="D3175" t="s">
        <v>2406</v>
      </c>
      <c r="E3175">
        <v>2329656231</v>
      </c>
      <c r="F3175">
        <v>1951330397</v>
      </c>
      <c r="P3175">
        <v>89</v>
      </c>
      <c r="Q3175" t="s">
        <v>6697</v>
      </c>
    </row>
    <row r="3176" spans="1:17" x14ac:dyDescent="0.3">
      <c r="A3176" t="s">
        <v>17</v>
      </c>
      <c r="B3176" t="str">
        <f>"603106"</f>
        <v>603106</v>
      </c>
      <c r="C3176" t="s">
        <v>6698</v>
      </c>
      <c r="D3176" t="s">
        <v>765</v>
      </c>
      <c r="E3176">
        <v>2329209707</v>
      </c>
      <c r="F3176">
        <v>2448159960</v>
      </c>
      <c r="G3176">
        <v>2444435767</v>
      </c>
      <c r="H3176">
        <v>2275757663</v>
      </c>
      <c r="I3176">
        <v>2203254832</v>
      </c>
      <c r="P3176">
        <v>2938</v>
      </c>
      <c r="Q3176" t="s">
        <v>6699</v>
      </c>
    </row>
    <row r="3177" spans="1:17" x14ac:dyDescent="0.3">
      <c r="A3177" t="s">
        <v>17</v>
      </c>
      <c r="B3177" t="str">
        <f>"603353"</f>
        <v>603353</v>
      </c>
      <c r="C3177" t="s">
        <v>6700</v>
      </c>
      <c r="D3177" t="s">
        <v>731</v>
      </c>
      <c r="E3177">
        <v>2327135793</v>
      </c>
      <c r="F3177">
        <v>1971044021</v>
      </c>
      <c r="G3177">
        <v>1806661110</v>
      </c>
      <c r="P3177">
        <v>103</v>
      </c>
      <c r="Q3177" t="s">
        <v>6701</v>
      </c>
    </row>
    <row r="3178" spans="1:17" x14ac:dyDescent="0.3">
      <c r="A3178" t="s">
        <v>47</v>
      </c>
      <c r="B3178" t="str">
        <f>"300283"</f>
        <v>300283</v>
      </c>
      <c r="C3178" t="s">
        <v>6702</v>
      </c>
      <c r="D3178" t="s">
        <v>562</v>
      </c>
      <c r="E3178">
        <v>2325891780</v>
      </c>
      <c r="F3178">
        <v>1849044507</v>
      </c>
      <c r="G3178">
        <v>1453175168</v>
      </c>
      <c r="H3178">
        <v>1435550743</v>
      </c>
      <c r="I3178">
        <v>1403882346</v>
      </c>
      <c r="J3178">
        <v>1335022857</v>
      </c>
      <c r="K3178">
        <v>832973883</v>
      </c>
      <c r="L3178">
        <v>916705238</v>
      </c>
      <c r="M3178">
        <v>679820829</v>
      </c>
      <c r="N3178">
        <v>740828345</v>
      </c>
      <c r="O3178">
        <v>879414546</v>
      </c>
      <c r="P3178">
        <v>58</v>
      </c>
      <c r="Q3178" t="s">
        <v>6703</v>
      </c>
    </row>
    <row r="3179" spans="1:17" x14ac:dyDescent="0.3">
      <c r="A3179" t="s">
        <v>47</v>
      </c>
      <c r="B3179" t="str">
        <f>"300525"</f>
        <v>300525</v>
      </c>
      <c r="C3179" t="s">
        <v>6704</v>
      </c>
      <c r="D3179" t="s">
        <v>1859</v>
      </c>
      <c r="E3179">
        <v>2324478858</v>
      </c>
      <c r="F3179">
        <v>2032695699</v>
      </c>
      <c r="G3179">
        <v>1666941995</v>
      </c>
      <c r="H3179">
        <v>954929380</v>
      </c>
      <c r="I3179">
        <v>750791407</v>
      </c>
      <c r="J3179">
        <v>450706120</v>
      </c>
      <c r="K3179">
        <v>254669883</v>
      </c>
      <c r="P3179">
        <v>241</v>
      </c>
      <c r="Q3179" t="s">
        <v>6705</v>
      </c>
    </row>
    <row r="3180" spans="1:17" x14ac:dyDescent="0.3">
      <c r="A3180" t="s">
        <v>47</v>
      </c>
      <c r="B3180" t="str">
        <f>"300752"</f>
        <v>300752</v>
      </c>
      <c r="C3180" t="s">
        <v>6706</v>
      </c>
      <c r="D3180" t="s">
        <v>862</v>
      </c>
      <c r="E3180">
        <v>2324023404</v>
      </c>
      <c r="F3180">
        <v>2506048632</v>
      </c>
      <c r="G3180">
        <v>1926713938</v>
      </c>
      <c r="H3180">
        <v>1524529488</v>
      </c>
      <c r="P3180">
        <v>140</v>
      </c>
      <c r="Q3180" t="s">
        <v>6707</v>
      </c>
    </row>
    <row r="3181" spans="1:17" x14ac:dyDescent="0.3">
      <c r="A3181" t="s">
        <v>17</v>
      </c>
      <c r="B3181" t="str">
        <f>"603219"</f>
        <v>603219</v>
      </c>
      <c r="C3181" t="s">
        <v>6708</v>
      </c>
      <c r="D3181" t="s">
        <v>2676</v>
      </c>
      <c r="E3181">
        <v>2323777807</v>
      </c>
      <c r="P3181">
        <v>23</v>
      </c>
      <c r="Q3181" t="s">
        <v>6709</v>
      </c>
    </row>
    <row r="3182" spans="1:17" x14ac:dyDescent="0.3">
      <c r="A3182" t="s">
        <v>47</v>
      </c>
      <c r="B3182" t="str">
        <f>"300105"</f>
        <v>300105</v>
      </c>
      <c r="C3182" t="s">
        <v>6710</v>
      </c>
      <c r="D3182" t="s">
        <v>2181</v>
      </c>
      <c r="E3182">
        <v>2323544915</v>
      </c>
      <c r="F3182">
        <v>2258826330</v>
      </c>
      <c r="G3182">
        <v>2201980679</v>
      </c>
      <c r="H3182">
        <v>2259265321</v>
      </c>
      <c r="I3182">
        <v>2283921606</v>
      </c>
      <c r="J3182">
        <v>2444895521</v>
      </c>
      <c r="K3182">
        <v>2682730384</v>
      </c>
      <c r="L3182">
        <v>3036420483</v>
      </c>
      <c r="M3182">
        <v>2806254864</v>
      </c>
      <c r="N3182">
        <v>2407182008</v>
      </c>
      <c r="O3182">
        <v>2121911421</v>
      </c>
      <c r="P3182">
        <v>56</v>
      </c>
      <c r="Q3182" t="s">
        <v>6711</v>
      </c>
    </row>
    <row r="3183" spans="1:17" x14ac:dyDescent="0.3">
      <c r="A3183" t="s">
        <v>47</v>
      </c>
      <c r="B3183" t="str">
        <f>"002777"</f>
        <v>002777</v>
      </c>
      <c r="C3183" t="s">
        <v>6712</v>
      </c>
      <c r="D3183" t="s">
        <v>700</v>
      </c>
      <c r="E3183">
        <v>2323174026</v>
      </c>
      <c r="F3183">
        <v>2172462232</v>
      </c>
      <c r="G3183">
        <v>1968725733</v>
      </c>
      <c r="H3183">
        <v>1918538158</v>
      </c>
      <c r="I3183">
        <v>1690118215</v>
      </c>
      <c r="J3183">
        <v>1089309848</v>
      </c>
      <c r="K3183">
        <v>917723980</v>
      </c>
      <c r="L3183">
        <v>667498700</v>
      </c>
      <c r="P3183">
        <v>372</v>
      </c>
      <c r="Q3183" t="s">
        <v>6713</v>
      </c>
    </row>
    <row r="3184" spans="1:17" x14ac:dyDescent="0.3">
      <c r="A3184" t="s">
        <v>47</v>
      </c>
      <c r="B3184" t="str">
        <f>"002921"</f>
        <v>002921</v>
      </c>
      <c r="C3184" t="s">
        <v>6714</v>
      </c>
      <c r="D3184" t="s">
        <v>1815</v>
      </c>
      <c r="E3184">
        <v>2321376562</v>
      </c>
      <c r="F3184">
        <v>1570326234</v>
      </c>
      <c r="G3184">
        <v>1218831686</v>
      </c>
      <c r="H3184">
        <v>1232867970</v>
      </c>
      <c r="I3184">
        <v>1144358595</v>
      </c>
      <c r="P3184">
        <v>95</v>
      </c>
      <c r="Q3184" t="s">
        <v>6715</v>
      </c>
    </row>
    <row r="3185" spans="1:17" x14ac:dyDescent="0.3">
      <c r="A3185" t="s">
        <v>47</v>
      </c>
      <c r="B3185" t="str">
        <f>"301127"</f>
        <v>301127</v>
      </c>
      <c r="C3185" t="s">
        <v>6716</v>
      </c>
      <c r="D3185" t="s">
        <v>520</v>
      </c>
      <c r="E3185">
        <v>2319073373</v>
      </c>
      <c r="P3185">
        <v>13</v>
      </c>
      <c r="Q3185" t="s">
        <v>6717</v>
      </c>
    </row>
    <row r="3186" spans="1:17" x14ac:dyDescent="0.3">
      <c r="A3186" t="s">
        <v>47</v>
      </c>
      <c r="B3186" t="str">
        <f>"300501"</f>
        <v>300501</v>
      </c>
      <c r="C3186" t="s">
        <v>6718</v>
      </c>
      <c r="D3186" t="s">
        <v>6719</v>
      </c>
      <c r="E3186">
        <v>2317309670</v>
      </c>
      <c r="F3186">
        <v>1523066596</v>
      </c>
      <c r="G3186">
        <v>1271987716</v>
      </c>
      <c r="H3186">
        <v>1079641289</v>
      </c>
      <c r="I3186">
        <v>745107016</v>
      </c>
      <c r="J3186">
        <v>686636532</v>
      </c>
      <c r="K3186">
        <v>605469217</v>
      </c>
      <c r="P3186">
        <v>131</v>
      </c>
      <c r="Q3186" t="s">
        <v>6720</v>
      </c>
    </row>
    <row r="3187" spans="1:17" x14ac:dyDescent="0.3">
      <c r="A3187" t="s">
        <v>47</v>
      </c>
      <c r="B3187" t="str">
        <f>"000952"</f>
        <v>000952</v>
      </c>
      <c r="C3187" t="s">
        <v>6721</v>
      </c>
      <c r="D3187" t="s">
        <v>1112</v>
      </c>
      <c r="E3187">
        <v>2316525860</v>
      </c>
      <c r="F3187">
        <v>1950642372</v>
      </c>
      <c r="G3187">
        <v>2084879573</v>
      </c>
      <c r="H3187">
        <v>1795304345</v>
      </c>
      <c r="I3187">
        <v>1710998258</v>
      </c>
      <c r="J3187">
        <v>1581383384</v>
      </c>
      <c r="K3187">
        <v>1650828401</v>
      </c>
      <c r="L3187">
        <v>1505559939</v>
      </c>
      <c r="M3187">
        <v>1557722758</v>
      </c>
      <c r="N3187">
        <v>1602116179</v>
      </c>
      <c r="O3187">
        <v>1539837210</v>
      </c>
      <c r="P3187">
        <v>169</v>
      </c>
      <c r="Q3187" t="s">
        <v>6722</v>
      </c>
    </row>
    <row r="3188" spans="1:17" x14ac:dyDescent="0.3">
      <c r="A3188" t="s">
        <v>47</v>
      </c>
      <c r="B3188" t="str">
        <f>"002790"</f>
        <v>002790</v>
      </c>
      <c r="C3188" t="s">
        <v>6723</v>
      </c>
      <c r="D3188" t="s">
        <v>3842</v>
      </c>
      <c r="E3188">
        <v>2315887925</v>
      </c>
      <c r="F3188">
        <v>2110762050</v>
      </c>
      <c r="G3188">
        <v>1899800552</v>
      </c>
      <c r="H3188">
        <v>1760848841</v>
      </c>
      <c r="I3188">
        <v>1619870789</v>
      </c>
      <c r="J3188">
        <v>1540485605</v>
      </c>
      <c r="K3188">
        <v>1517346828</v>
      </c>
      <c r="P3188">
        <v>138</v>
      </c>
      <c r="Q3188" t="s">
        <v>6724</v>
      </c>
    </row>
    <row r="3189" spans="1:17" x14ac:dyDescent="0.3">
      <c r="A3189" t="s">
        <v>47</v>
      </c>
      <c r="B3189" t="str">
        <f>"300328"</f>
        <v>300328</v>
      </c>
      <c r="C3189" t="s">
        <v>6725</v>
      </c>
      <c r="D3189" t="s">
        <v>1002</v>
      </c>
      <c r="E3189">
        <v>2314529413</v>
      </c>
      <c r="F3189">
        <v>2155927721</v>
      </c>
      <c r="G3189">
        <v>2069637453</v>
      </c>
      <c r="H3189">
        <v>1944950770</v>
      </c>
      <c r="I3189">
        <v>1839252241</v>
      </c>
      <c r="J3189">
        <v>1331596312</v>
      </c>
      <c r="K3189">
        <v>893092716</v>
      </c>
      <c r="L3189">
        <v>861267723</v>
      </c>
      <c r="M3189">
        <v>741979222</v>
      </c>
      <c r="N3189">
        <v>676558921</v>
      </c>
      <c r="O3189">
        <v>312294937</v>
      </c>
      <c r="P3189">
        <v>232</v>
      </c>
      <c r="Q3189" t="s">
        <v>6726</v>
      </c>
    </row>
    <row r="3190" spans="1:17" x14ac:dyDescent="0.3">
      <c r="A3190" t="s">
        <v>47</v>
      </c>
      <c r="B3190" t="str">
        <f>"002164"</f>
        <v>002164</v>
      </c>
      <c r="C3190" t="s">
        <v>6727</v>
      </c>
      <c r="D3190" t="s">
        <v>401</v>
      </c>
      <c r="E3190">
        <v>2312966855</v>
      </c>
      <c r="F3190">
        <v>1846319493</v>
      </c>
      <c r="G3190">
        <v>1706369922</v>
      </c>
      <c r="H3190">
        <v>1719377545</v>
      </c>
      <c r="I3190">
        <v>15587388297</v>
      </c>
      <c r="J3190">
        <v>1716906840</v>
      </c>
      <c r="K3190">
        <v>1775582881</v>
      </c>
      <c r="L3190">
        <v>1808008401</v>
      </c>
      <c r="M3190">
        <v>1950932963</v>
      </c>
      <c r="N3190">
        <v>1945177647</v>
      </c>
      <c r="O3190">
        <v>1980642616</v>
      </c>
      <c r="P3190">
        <v>187</v>
      </c>
      <c r="Q3190" t="s">
        <v>6728</v>
      </c>
    </row>
    <row r="3191" spans="1:17" x14ac:dyDescent="0.3">
      <c r="A3191" t="s">
        <v>47</v>
      </c>
      <c r="B3191" t="str">
        <f>"000659"</f>
        <v>000659</v>
      </c>
      <c r="C3191" t="s">
        <v>6729</v>
      </c>
      <c r="D3191" t="s">
        <v>2442</v>
      </c>
      <c r="E3191">
        <v>2311542428</v>
      </c>
      <c r="F3191">
        <v>2224501365</v>
      </c>
      <c r="G3191">
        <v>2326506917</v>
      </c>
      <c r="H3191">
        <v>2388407193</v>
      </c>
      <c r="I3191">
        <v>2654885960</v>
      </c>
      <c r="J3191">
        <v>2800519271</v>
      </c>
      <c r="K3191">
        <v>3128519958</v>
      </c>
      <c r="L3191">
        <v>3662695642</v>
      </c>
      <c r="M3191">
        <v>4377763080</v>
      </c>
      <c r="N3191">
        <v>6184710019</v>
      </c>
      <c r="O3191">
        <v>6469883413</v>
      </c>
      <c r="P3191">
        <v>77</v>
      </c>
      <c r="Q3191" t="s">
        <v>6730</v>
      </c>
    </row>
    <row r="3192" spans="1:17" x14ac:dyDescent="0.3">
      <c r="A3192" t="s">
        <v>47</v>
      </c>
      <c r="B3192" t="str">
        <f>"300582"</f>
        <v>300582</v>
      </c>
      <c r="C3192" t="s">
        <v>6731</v>
      </c>
      <c r="D3192" t="s">
        <v>862</v>
      </c>
      <c r="E3192">
        <v>2310714973</v>
      </c>
      <c r="F3192">
        <v>2028522009</v>
      </c>
      <c r="G3192">
        <v>1782298392</v>
      </c>
      <c r="H3192">
        <v>1640583385</v>
      </c>
      <c r="I3192">
        <v>1589949896</v>
      </c>
      <c r="J3192">
        <v>1312509541</v>
      </c>
      <c r="P3192">
        <v>152</v>
      </c>
      <c r="Q3192" t="s">
        <v>6732</v>
      </c>
    </row>
    <row r="3193" spans="1:17" x14ac:dyDescent="0.3">
      <c r="A3193" t="s">
        <v>17</v>
      </c>
      <c r="B3193" t="str">
        <f>"603999"</f>
        <v>603999</v>
      </c>
      <c r="C3193" t="s">
        <v>6733</v>
      </c>
      <c r="D3193" t="s">
        <v>1288</v>
      </c>
      <c r="E3193">
        <v>2310302585</v>
      </c>
      <c r="F3193">
        <v>2235611276</v>
      </c>
      <c r="G3193">
        <v>2115950340</v>
      </c>
      <c r="H3193">
        <v>2051320965</v>
      </c>
      <c r="I3193">
        <v>2029046000</v>
      </c>
      <c r="J3193">
        <v>1948274291</v>
      </c>
      <c r="K3193">
        <v>1920591988</v>
      </c>
      <c r="L3193">
        <v>1342743500</v>
      </c>
      <c r="P3193">
        <v>85</v>
      </c>
      <c r="Q3193" t="s">
        <v>6734</v>
      </c>
    </row>
    <row r="3194" spans="1:17" x14ac:dyDescent="0.3">
      <c r="A3194" t="s">
        <v>17</v>
      </c>
      <c r="B3194" t="str">
        <f>"688206"</f>
        <v>688206</v>
      </c>
      <c r="C3194" t="s">
        <v>6735</v>
      </c>
      <c r="D3194" t="s">
        <v>1252</v>
      </c>
      <c r="E3194">
        <v>2309796352</v>
      </c>
      <c r="P3194">
        <v>26</v>
      </c>
      <c r="Q3194" t="s">
        <v>6736</v>
      </c>
    </row>
    <row r="3195" spans="1:17" x14ac:dyDescent="0.3">
      <c r="A3195" t="s">
        <v>47</v>
      </c>
      <c r="B3195" t="str">
        <f>"300218"</f>
        <v>300218</v>
      </c>
      <c r="C3195" t="s">
        <v>6737</v>
      </c>
      <c r="D3195" t="s">
        <v>3077</v>
      </c>
      <c r="E3195">
        <v>2309602375</v>
      </c>
      <c r="F3195">
        <v>2063853012</v>
      </c>
      <c r="G3195">
        <v>1926552083</v>
      </c>
      <c r="H3195">
        <v>2014813706</v>
      </c>
      <c r="I3195">
        <v>2000294287</v>
      </c>
      <c r="J3195">
        <v>1958404439</v>
      </c>
      <c r="K3195">
        <v>1826456960</v>
      </c>
      <c r="L3195">
        <v>1781859432</v>
      </c>
      <c r="M3195">
        <v>1602782886</v>
      </c>
      <c r="N3195">
        <v>1380081932</v>
      </c>
      <c r="O3195">
        <v>1311001037</v>
      </c>
      <c r="P3195">
        <v>108</v>
      </c>
      <c r="Q3195" t="s">
        <v>6738</v>
      </c>
    </row>
    <row r="3196" spans="1:17" x14ac:dyDescent="0.3">
      <c r="A3196" t="s">
        <v>47</v>
      </c>
      <c r="B3196" t="str">
        <f>"300044"</f>
        <v>300044</v>
      </c>
      <c r="C3196" t="s">
        <v>6739</v>
      </c>
      <c r="D3196" t="s">
        <v>700</v>
      </c>
      <c r="E3196">
        <v>2308997312</v>
      </c>
      <c r="F3196">
        <v>5240926268</v>
      </c>
      <c r="G3196">
        <v>4988909774</v>
      </c>
      <c r="H3196">
        <v>4829373503</v>
      </c>
      <c r="I3196">
        <v>4367521643</v>
      </c>
      <c r="J3196">
        <v>2233814145</v>
      </c>
      <c r="K3196">
        <v>1328426510</v>
      </c>
      <c r="L3196">
        <v>969977039</v>
      </c>
      <c r="M3196">
        <v>922274589</v>
      </c>
      <c r="N3196">
        <v>727670205</v>
      </c>
      <c r="O3196">
        <v>647465288</v>
      </c>
      <c r="P3196">
        <v>289</v>
      </c>
      <c r="Q3196" t="s">
        <v>6740</v>
      </c>
    </row>
    <row r="3197" spans="1:17" x14ac:dyDescent="0.3">
      <c r="A3197" t="s">
        <v>47</v>
      </c>
      <c r="B3197" t="str">
        <f>"300412"</f>
        <v>300412</v>
      </c>
      <c r="C3197" t="s">
        <v>6741</v>
      </c>
      <c r="D3197" t="s">
        <v>1973</v>
      </c>
      <c r="E3197">
        <v>2308378677</v>
      </c>
      <c r="F3197">
        <v>1733210702</v>
      </c>
      <c r="G3197">
        <v>1636974408</v>
      </c>
      <c r="H3197">
        <v>1457220328</v>
      </c>
      <c r="I3197">
        <v>1224616614</v>
      </c>
      <c r="J3197">
        <v>1031320978</v>
      </c>
      <c r="K3197">
        <v>563920937</v>
      </c>
      <c r="L3197">
        <v>437112380</v>
      </c>
      <c r="P3197">
        <v>96</v>
      </c>
      <c r="Q3197" t="s">
        <v>6742</v>
      </c>
    </row>
    <row r="3198" spans="1:17" x14ac:dyDescent="0.3">
      <c r="A3198" t="s">
        <v>17</v>
      </c>
      <c r="B3198" t="str">
        <f>"600331"</f>
        <v>600331</v>
      </c>
      <c r="C3198" t="s">
        <v>6743</v>
      </c>
      <c r="D3198" t="s">
        <v>1299</v>
      </c>
      <c r="E3198">
        <v>2300998386</v>
      </c>
      <c r="F3198">
        <v>2247311361</v>
      </c>
      <c r="G3198">
        <v>4544570065</v>
      </c>
      <c r="H3198">
        <v>4643122292</v>
      </c>
      <c r="I3198">
        <v>9631003457</v>
      </c>
      <c r="J3198">
        <v>10038174331</v>
      </c>
      <c r="K3198">
        <v>10266299247</v>
      </c>
      <c r="L3198">
        <v>10218621992</v>
      </c>
      <c r="M3198">
        <v>7982152325</v>
      </c>
      <c r="N3198">
        <v>7542007752</v>
      </c>
      <c r="O3198">
        <v>8408088930</v>
      </c>
      <c r="P3198">
        <v>117</v>
      </c>
      <c r="Q3198" t="s">
        <v>6744</v>
      </c>
    </row>
    <row r="3199" spans="1:17" x14ac:dyDescent="0.3">
      <c r="A3199" t="s">
        <v>17</v>
      </c>
      <c r="B3199" t="str">
        <f>"605133"</f>
        <v>605133</v>
      </c>
      <c r="C3199" t="s">
        <v>6745</v>
      </c>
      <c r="D3199" t="s">
        <v>274</v>
      </c>
      <c r="E3199">
        <v>2300553665</v>
      </c>
      <c r="F3199">
        <v>2052869595</v>
      </c>
      <c r="P3199">
        <v>36</v>
      </c>
      <c r="Q3199" t="s">
        <v>6746</v>
      </c>
    </row>
    <row r="3200" spans="1:17" x14ac:dyDescent="0.3">
      <c r="A3200" t="s">
        <v>47</v>
      </c>
      <c r="B3200" t="str">
        <f>"300533"</f>
        <v>300533</v>
      </c>
      <c r="C3200" t="s">
        <v>6747</v>
      </c>
      <c r="D3200" t="s">
        <v>1032</v>
      </c>
      <c r="E3200">
        <v>2299535441</v>
      </c>
      <c r="F3200">
        <v>1955696197</v>
      </c>
      <c r="G3200">
        <v>1958100667</v>
      </c>
      <c r="H3200">
        <v>1827474201</v>
      </c>
      <c r="I3200">
        <v>1724028654</v>
      </c>
      <c r="J3200">
        <v>1733218223</v>
      </c>
      <c r="K3200">
        <v>784715627</v>
      </c>
      <c r="P3200">
        <v>131</v>
      </c>
      <c r="Q3200" t="s">
        <v>6748</v>
      </c>
    </row>
    <row r="3201" spans="1:17" x14ac:dyDescent="0.3">
      <c r="A3201" t="s">
        <v>47</v>
      </c>
      <c r="B3201" t="str">
        <f>"002805"</f>
        <v>002805</v>
      </c>
      <c r="C3201" t="s">
        <v>6749</v>
      </c>
      <c r="D3201" t="s">
        <v>2874</v>
      </c>
      <c r="E3201">
        <v>2295537162</v>
      </c>
      <c r="F3201">
        <v>1149638051</v>
      </c>
      <c r="G3201">
        <v>951799969</v>
      </c>
      <c r="H3201">
        <v>788036129</v>
      </c>
      <c r="I3201">
        <v>739536685</v>
      </c>
      <c r="J3201">
        <v>575156730</v>
      </c>
      <c r="K3201">
        <v>469230428</v>
      </c>
      <c r="P3201">
        <v>113</v>
      </c>
      <c r="Q3201" t="s">
        <v>6750</v>
      </c>
    </row>
    <row r="3202" spans="1:17" x14ac:dyDescent="0.3">
      <c r="A3202" t="s">
        <v>47</v>
      </c>
      <c r="B3202" t="str">
        <f>"000534"</f>
        <v>000534</v>
      </c>
      <c r="C3202" t="s">
        <v>6751</v>
      </c>
      <c r="D3202" t="s">
        <v>1480</v>
      </c>
      <c r="E3202">
        <v>2294402329</v>
      </c>
      <c r="F3202">
        <v>2094752857</v>
      </c>
      <c r="G3202">
        <v>2206933443</v>
      </c>
      <c r="H3202">
        <v>2175482729</v>
      </c>
      <c r="I3202">
        <v>2572501758</v>
      </c>
      <c r="J3202">
        <v>2590787020</v>
      </c>
      <c r="K3202">
        <v>3345979631</v>
      </c>
      <c r="L3202">
        <v>3582382076</v>
      </c>
      <c r="M3202">
        <v>3653419618</v>
      </c>
      <c r="N3202">
        <v>3080309225</v>
      </c>
      <c r="O3202">
        <v>2883046410</v>
      </c>
      <c r="P3202">
        <v>120</v>
      </c>
      <c r="Q3202" t="s">
        <v>6752</v>
      </c>
    </row>
    <row r="3203" spans="1:17" x14ac:dyDescent="0.3">
      <c r="A3203" t="s">
        <v>17</v>
      </c>
      <c r="B3203" t="str">
        <f>"605336"</f>
        <v>605336</v>
      </c>
      <c r="C3203" t="s">
        <v>6753</v>
      </c>
      <c r="D3203" t="s">
        <v>2261</v>
      </c>
      <c r="E3203">
        <v>2293639032</v>
      </c>
      <c r="F3203">
        <v>2016140068</v>
      </c>
      <c r="G3203">
        <v>945581812</v>
      </c>
      <c r="P3203">
        <v>141</v>
      </c>
      <c r="Q3203" t="s">
        <v>6754</v>
      </c>
    </row>
    <row r="3204" spans="1:17" x14ac:dyDescent="0.3">
      <c r="A3204" t="s">
        <v>47</v>
      </c>
      <c r="B3204" t="str">
        <f>"300353"</f>
        <v>300353</v>
      </c>
      <c r="C3204" t="s">
        <v>6755</v>
      </c>
      <c r="D3204" t="s">
        <v>4914</v>
      </c>
      <c r="E3204">
        <v>2293578099</v>
      </c>
      <c r="F3204">
        <v>2352797894</v>
      </c>
      <c r="G3204">
        <v>3207752654</v>
      </c>
      <c r="H3204">
        <v>3582485905</v>
      </c>
      <c r="I3204">
        <v>3030300311</v>
      </c>
      <c r="J3204">
        <v>2686825257</v>
      </c>
      <c r="K3204">
        <v>1361282182</v>
      </c>
      <c r="L3204">
        <v>522705488</v>
      </c>
      <c r="M3204">
        <v>462211684</v>
      </c>
      <c r="N3204">
        <v>409468696</v>
      </c>
      <c r="P3204">
        <v>3033</v>
      </c>
      <c r="Q3204" t="s">
        <v>6756</v>
      </c>
    </row>
    <row r="3205" spans="1:17" x14ac:dyDescent="0.3">
      <c r="A3205" t="s">
        <v>17</v>
      </c>
      <c r="B3205" t="str">
        <f>"688077"</f>
        <v>688077</v>
      </c>
      <c r="C3205" t="s">
        <v>6757</v>
      </c>
      <c r="D3205" t="s">
        <v>2108</v>
      </c>
      <c r="E3205">
        <v>2292697080</v>
      </c>
      <c r="F3205">
        <v>1654149554</v>
      </c>
      <c r="G3205">
        <v>789452617</v>
      </c>
      <c r="P3205">
        <v>78</v>
      </c>
      <c r="Q3205" t="s">
        <v>6758</v>
      </c>
    </row>
    <row r="3206" spans="1:17" x14ac:dyDescent="0.3">
      <c r="A3206" t="s">
        <v>47</v>
      </c>
      <c r="B3206" t="str">
        <f>"002365"</f>
        <v>002365</v>
      </c>
      <c r="C3206" t="s">
        <v>6759</v>
      </c>
      <c r="D3206" t="s">
        <v>1112</v>
      </c>
      <c r="E3206">
        <v>2291739823</v>
      </c>
      <c r="F3206">
        <v>2185499602</v>
      </c>
      <c r="G3206">
        <v>1872960719</v>
      </c>
      <c r="H3206">
        <v>1892566407</v>
      </c>
      <c r="I3206">
        <v>1653203580</v>
      </c>
      <c r="J3206">
        <v>1410282666</v>
      </c>
      <c r="K3206">
        <v>1198960445</v>
      </c>
      <c r="L3206">
        <v>1193671581</v>
      </c>
      <c r="M3206">
        <v>1159442378</v>
      </c>
      <c r="N3206">
        <v>1223065311</v>
      </c>
      <c r="O3206">
        <v>1186389956</v>
      </c>
      <c r="P3206">
        <v>195</v>
      </c>
      <c r="Q3206" t="s">
        <v>6760</v>
      </c>
    </row>
    <row r="3207" spans="1:17" x14ac:dyDescent="0.3">
      <c r="A3207" t="s">
        <v>47</v>
      </c>
      <c r="B3207" t="str">
        <f>"002395"</f>
        <v>002395</v>
      </c>
      <c r="C3207" t="s">
        <v>6761</v>
      </c>
      <c r="D3207" t="s">
        <v>2290</v>
      </c>
      <c r="E3207">
        <v>2290416398</v>
      </c>
      <c r="F3207">
        <v>1545176376</v>
      </c>
      <c r="G3207">
        <v>1369966431</v>
      </c>
      <c r="H3207">
        <v>1299438608</v>
      </c>
      <c r="I3207">
        <v>1363717617</v>
      </c>
      <c r="J3207">
        <v>1259838603</v>
      </c>
      <c r="K3207">
        <v>1186578429</v>
      </c>
      <c r="L3207">
        <v>1117071322</v>
      </c>
      <c r="M3207">
        <v>1167035706</v>
      </c>
      <c r="N3207">
        <v>1026726324</v>
      </c>
      <c r="O3207">
        <v>1066549422</v>
      </c>
      <c r="P3207">
        <v>59</v>
      </c>
      <c r="Q3207" t="s">
        <v>6762</v>
      </c>
    </row>
    <row r="3208" spans="1:17" x14ac:dyDescent="0.3">
      <c r="A3208" t="s">
        <v>47</v>
      </c>
      <c r="B3208" t="str">
        <f>"002333"</f>
        <v>002333</v>
      </c>
      <c r="C3208" t="s">
        <v>6763</v>
      </c>
      <c r="D3208" t="s">
        <v>1418</v>
      </c>
      <c r="E3208">
        <v>2288503828</v>
      </c>
      <c r="F3208">
        <v>2114172410</v>
      </c>
      <c r="G3208">
        <v>1329298172</v>
      </c>
      <c r="H3208">
        <v>1504041229</v>
      </c>
      <c r="I3208">
        <v>1582144354</v>
      </c>
      <c r="J3208">
        <v>1724225295</v>
      </c>
      <c r="K3208">
        <v>1767495877</v>
      </c>
      <c r="L3208">
        <v>1716468221</v>
      </c>
      <c r="M3208">
        <v>1516443151</v>
      </c>
      <c r="N3208">
        <v>1464229718</v>
      </c>
      <c r="O3208">
        <v>1376196921</v>
      </c>
      <c r="P3208">
        <v>59</v>
      </c>
      <c r="Q3208" t="s">
        <v>6764</v>
      </c>
    </row>
    <row r="3209" spans="1:17" x14ac:dyDescent="0.3">
      <c r="A3209" t="s">
        <v>47</v>
      </c>
      <c r="B3209" t="str">
        <f>"301082"</f>
        <v>301082</v>
      </c>
      <c r="C3209" t="s">
        <v>6765</v>
      </c>
      <c r="D3209" t="s">
        <v>1616</v>
      </c>
      <c r="E3209">
        <v>2287624067</v>
      </c>
      <c r="P3209">
        <v>17</v>
      </c>
      <c r="Q3209" t="s">
        <v>6766</v>
      </c>
    </row>
    <row r="3210" spans="1:17" x14ac:dyDescent="0.3">
      <c r="A3210" t="s">
        <v>17</v>
      </c>
      <c r="B3210" t="str">
        <f>"601519"</f>
        <v>601519</v>
      </c>
      <c r="C3210" t="s">
        <v>6767</v>
      </c>
      <c r="D3210" t="s">
        <v>1859</v>
      </c>
      <c r="E3210">
        <v>2287344361</v>
      </c>
      <c r="F3210">
        <v>2005763352</v>
      </c>
      <c r="G3210">
        <v>1881996164</v>
      </c>
      <c r="H3210">
        <v>1912104146</v>
      </c>
      <c r="I3210">
        <v>1864771192</v>
      </c>
      <c r="J3210">
        <v>1509516484</v>
      </c>
      <c r="K3210">
        <v>2795150243</v>
      </c>
      <c r="L3210">
        <v>3301447477</v>
      </c>
      <c r="M3210">
        <v>3378864594</v>
      </c>
      <c r="N3210">
        <v>2996849427</v>
      </c>
      <c r="O3210">
        <v>3359066489</v>
      </c>
      <c r="P3210">
        <v>209</v>
      </c>
      <c r="Q3210" t="s">
        <v>6768</v>
      </c>
    </row>
    <row r="3211" spans="1:17" x14ac:dyDescent="0.3">
      <c r="A3211" t="s">
        <v>17</v>
      </c>
      <c r="B3211" t="str">
        <f>"603739"</f>
        <v>603739</v>
      </c>
      <c r="C3211" t="s">
        <v>6769</v>
      </c>
      <c r="D3211" t="s">
        <v>3286</v>
      </c>
      <c r="E3211">
        <v>2286640611</v>
      </c>
      <c r="F3211">
        <v>1492945346</v>
      </c>
      <c r="G3211">
        <v>1382342257</v>
      </c>
      <c r="H3211">
        <v>1232970148</v>
      </c>
      <c r="P3211">
        <v>123</v>
      </c>
      <c r="Q3211" t="s">
        <v>6770</v>
      </c>
    </row>
    <row r="3212" spans="1:17" x14ac:dyDescent="0.3">
      <c r="A3212" t="s">
        <v>47</v>
      </c>
      <c r="B3212" t="str">
        <f>"002200"</f>
        <v>002200</v>
      </c>
      <c r="C3212" t="s">
        <v>6771</v>
      </c>
      <c r="D3212" t="s">
        <v>952</v>
      </c>
      <c r="E3212">
        <v>2283376563</v>
      </c>
      <c r="F3212">
        <v>2771986935</v>
      </c>
      <c r="G3212">
        <v>3380671188</v>
      </c>
      <c r="H3212">
        <v>3084851470</v>
      </c>
      <c r="I3212">
        <v>3201171287</v>
      </c>
      <c r="J3212">
        <v>3528983298</v>
      </c>
      <c r="K3212">
        <v>2866372256</v>
      </c>
      <c r="L3212">
        <v>2312080258</v>
      </c>
      <c r="M3212">
        <v>1632613010</v>
      </c>
      <c r="N3212">
        <v>1145615577</v>
      </c>
      <c r="O3212">
        <v>919975625</v>
      </c>
      <c r="P3212">
        <v>53</v>
      </c>
      <c r="Q3212" t="s">
        <v>6772</v>
      </c>
    </row>
    <row r="3213" spans="1:17" x14ac:dyDescent="0.3">
      <c r="A3213" t="s">
        <v>47</v>
      </c>
      <c r="B3213" t="str">
        <f>"300956"</f>
        <v>300956</v>
      </c>
      <c r="C3213" t="s">
        <v>6773</v>
      </c>
      <c r="D3213" t="s">
        <v>283</v>
      </c>
      <c r="E3213">
        <v>2282714635</v>
      </c>
      <c r="F3213">
        <v>2155833835</v>
      </c>
      <c r="G3213">
        <v>1224054028</v>
      </c>
      <c r="P3213">
        <v>45</v>
      </c>
      <c r="Q3213" t="s">
        <v>6774</v>
      </c>
    </row>
    <row r="3214" spans="1:17" x14ac:dyDescent="0.3">
      <c r="A3214" t="s">
        <v>17</v>
      </c>
      <c r="B3214" t="str">
        <f>"600084"</f>
        <v>600084</v>
      </c>
      <c r="C3214" t="s">
        <v>6775</v>
      </c>
      <c r="D3214" t="s">
        <v>2319</v>
      </c>
      <c r="E3214">
        <v>2282281793</v>
      </c>
      <c r="F3214">
        <v>2289541717</v>
      </c>
      <c r="G3214">
        <v>2266491669</v>
      </c>
      <c r="H3214">
        <v>2394286228</v>
      </c>
      <c r="I3214">
        <v>2931096406</v>
      </c>
      <c r="J3214">
        <v>3026120165</v>
      </c>
      <c r="K3214">
        <v>3427526411</v>
      </c>
      <c r="L3214">
        <v>4252546998</v>
      </c>
      <c r="M3214">
        <v>2865794214</v>
      </c>
      <c r="N3214">
        <v>2679880335</v>
      </c>
      <c r="O3214">
        <v>2542881956</v>
      </c>
      <c r="P3214">
        <v>99</v>
      </c>
      <c r="Q3214" t="s">
        <v>6776</v>
      </c>
    </row>
    <row r="3215" spans="1:17" x14ac:dyDescent="0.3">
      <c r="A3215" t="s">
        <v>47</v>
      </c>
      <c r="B3215" t="str">
        <f>"301166"</f>
        <v>301166</v>
      </c>
      <c r="C3215" t="s">
        <v>6777</v>
      </c>
      <c r="D3215" t="s">
        <v>1480</v>
      </c>
      <c r="E3215">
        <v>2281804571</v>
      </c>
      <c r="P3215">
        <v>21</v>
      </c>
      <c r="Q3215" t="s">
        <v>6778</v>
      </c>
    </row>
    <row r="3216" spans="1:17" x14ac:dyDescent="0.3">
      <c r="A3216" t="s">
        <v>47</v>
      </c>
      <c r="B3216" t="str">
        <f>"300829"</f>
        <v>300829</v>
      </c>
      <c r="C3216" t="s">
        <v>6779</v>
      </c>
      <c r="D3216" t="s">
        <v>1699</v>
      </c>
      <c r="E3216">
        <v>2280530734</v>
      </c>
      <c r="F3216">
        <v>1775918608</v>
      </c>
      <c r="G3216">
        <v>1231725930</v>
      </c>
      <c r="P3216">
        <v>125</v>
      </c>
      <c r="Q3216" t="s">
        <v>6780</v>
      </c>
    </row>
    <row r="3217" spans="1:17" x14ac:dyDescent="0.3">
      <c r="A3217" t="s">
        <v>47</v>
      </c>
      <c r="B3217" t="str">
        <f>"002809"</f>
        <v>002809</v>
      </c>
      <c r="C3217" t="s">
        <v>6781</v>
      </c>
      <c r="D3217" t="s">
        <v>710</v>
      </c>
      <c r="E3217">
        <v>2279395202</v>
      </c>
      <c r="F3217">
        <v>2049116914</v>
      </c>
      <c r="G3217">
        <v>1668536412</v>
      </c>
      <c r="H3217">
        <v>1396178870</v>
      </c>
      <c r="I3217">
        <v>1314950196</v>
      </c>
      <c r="J3217">
        <v>1028008813</v>
      </c>
      <c r="P3217">
        <v>99</v>
      </c>
      <c r="Q3217" t="s">
        <v>6782</v>
      </c>
    </row>
    <row r="3218" spans="1:17" x14ac:dyDescent="0.3">
      <c r="A3218" t="s">
        <v>47</v>
      </c>
      <c r="B3218" t="str">
        <f>"300800"</f>
        <v>300800</v>
      </c>
      <c r="C3218" t="s">
        <v>6783</v>
      </c>
      <c r="D3218" t="s">
        <v>1347</v>
      </c>
      <c r="E3218">
        <v>2277448483</v>
      </c>
      <c r="F3218">
        <v>2188218157</v>
      </c>
      <c r="G3218">
        <v>2017181789</v>
      </c>
      <c r="P3218">
        <v>362</v>
      </c>
      <c r="Q3218" t="s">
        <v>6784</v>
      </c>
    </row>
    <row r="3219" spans="1:17" x14ac:dyDescent="0.3">
      <c r="A3219" t="s">
        <v>17</v>
      </c>
      <c r="B3219" t="str">
        <f>"605100"</f>
        <v>605100</v>
      </c>
      <c r="C3219" t="s">
        <v>6785</v>
      </c>
      <c r="D3219" t="s">
        <v>401</v>
      </c>
      <c r="E3219">
        <v>2277344650</v>
      </c>
      <c r="F3219">
        <v>2254276618</v>
      </c>
      <c r="G3219">
        <v>1460468798</v>
      </c>
      <c r="P3219">
        <v>60</v>
      </c>
      <c r="Q3219" t="s">
        <v>6786</v>
      </c>
    </row>
    <row r="3220" spans="1:17" x14ac:dyDescent="0.3">
      <c r="A3220" t="s">
        <v>17</v>
      </c>
      <c r="B3220" t="str">
        <f>"688311"</f>
        <v>688311</v>
      </c>
      <c r="C3220" t="s">
        <v>6787</v>
      </c>
      <c r="D3220" t="s">
        <v>1385</v>
      </c>
      <c r="E3220">
        <v>2277047354</v>
      </c>
      <c r="F3220">
        <v>2168064087</v>
      </c>
      <c r="G3220">
        <v>819340909</v>
      </c>
      <c r="P3220">
        <v>74</v>
      </c>
      <c r="Q3220" t="s">
        <v>6788</v>
      </c>
    </row>
    <row r="3221" spans="1:17" x14ac:dyDescent="0.3">
      <c r="A3221" t="s">
        <v>17</v>
      </c>
      <c r="B3221" t="str">
        <f>"605060"</f>
        <v>605060</v>
      </c>
      <c r="C3221" t="s">
        <v>6789</v>
      </c>
      <c r="D3221" t="s">
        <v>1433</v>
      </c>
      <c r="E3221">
        <v>2275616345</v>
      </c>
      <c r="F3221">
        <v>1994600463</v>
      </c>
      <c r="P3221">
        <v>43</v>
      </c>
      <c r="Q3221" t="s">
        <v>6790</v>
      </c>
    </row>
    <row r="3222" spans="1:17" x14ac:dyDescent="0.3">
      <c r="A3222" t="s">
        <v>17</v>
      </c>
      <c r="B3222" t="str">
        <f>"688737"</f>
        <v>688737</v>
      </c>
      <c r="C3222" t="s">
        <v>6791</v>
      </c>
      <c r="D3222" t="s">
        <v>1815</v>
      </c>
      <c r="E3222">
        <v>2275502408</v>
      </c>
      <c r="P3222">
        <v>15</v>
      </c>
      <c r="Q3222" t="s">
        <v>6792</v>
      </c>
    </row>
    <row r="3223" spans="1:17" x14ac:dyDescent="0.3">
      <c r="A3223" t="s">
        <v>17</v>
      </c>
      <c r="B3223" t="str">
        <f>"605177"</f>
        <v>605177</v>
      </c>
      <c r="C3223" t="s">
        <v>6793</v>
      </c>
      <c r="D3223" t="s">
        <v>1112</v>
      </c>
      <c r="E3223">
        <v>2271868148</v>
      </c>
      <c r="F3223">
        <v>2139046225</v>
      </c>
      <c r="P3223">
        <v>38</v>
      </c>
      <c r="Q3223" t="s">
        <v>6794</v>
      </c>
    </row>
    <row r="3224" spans="1:17" x14ac:dyDescent="0.3">
      <c r="A3224" t="s">
        <v>47</v>
      </c>
      <c r="B3224" t="str">
        <f>"300370"</f>
        <v>300370</v>
      </c>
      <c r="C3224" t="s">
        <v>6795</v>
      </c>
      <c r="D3224" t="s">
        <v>3722</v>
      </c>
      <c r="E3224">
        <v>2271578197</v>
      </c>
      <c r="F3224">
        <v>2886433938</v>
      </c>
      <c r="G3224">
        <v>3162577697</v>
      </c>
      <c r="H3224">
        <v>4126350697</v>
      </c>
      <c r="I3224">
        <v>4296453509</v>
      </c>
      <c r="J3224">
        <v>2567189721</v>
      </c>
      <c r="K3224">
        <v>1503633049</v>
      </c>
      <c r="L3224">
        <v>922091185</v>
      </c>
      <c r="M3224">
        <v>674569054</v>
      </c>
      <c r="P3224">
        <v>103</v>
      </c>
      <c r="Q3224" t="s">
        <v>6796</v>
      </c>
    </row>
    <row r="3225" spans="1:17" x14ac:dyDescent="0.3">
      <c r="A3225" t="s">
        <v>17</v>
      </c>
      <c r="B3225" t="str">
        <f>"603648"</f>
        <v>603648</v>
      </c>
      <c r="C3225" t="s">
        <v>6797</v>
      </c>
      <c r="D3225" t="s">
        <v>939</v>
      </c>
      <c r="E3225">
        <v>2271235584</v>
      </c>
      <c r="F3225">
        <v>2094374411</v>
      </c>
      <c r="G3225">
        <v>1966380636</v>
      </c>
      <c r="H3225">
        <v>1963092267</v>
      </c>
      <c r="I3225">
        <v>1865492409</v>
      </c>
      <c r="P3225">
        <v>72</v>
      </c>
      <c r="Q3225" t="s">
        <v>6798</v>
      </c>
    </row>
    <row r="3226" spans="1:17" x14ac:dyDescent="0.3">
      <c r="A3226" t="s">
        <v>17</v>
      </c>
      <c r="B3226" t="str">
        <f>"600844"</f>
        <v>600844</v>
      </c>
      <c r="C3226" t="s">
        <v>6799</v>
      </c>
      <c r="D3226" t="s">
        <v>783</v>
      </c>
      <c r="E3226">
        <v>2269750515</v>
      </c>
      <c r="F3226">
        <v>2465452936</v>
      </c>
      <c r="G3226">
        <v>3286403990</v>
      </c>
      <c r="H3226">
        <v>3368384757</v>
      </c>
      <c r="I3226">
        <v>3514784837</v>
      </c>
      <c r="J3226">
        <v>3430717275</v>
      </c>
      <c r="K3226">
        <v>3135518753</v>
      </c>
      <c r="L3226">
        <v>3363386662</v>
      </c>
      <c r="M3226">
        <v>3503031573</v>
      </c>
      <c r="N3226">
        <v>3630805462</v>
      </c>
      <c r="O3226">
        <v>4261111459</v>
      </c>
      <c r="P3226">
        <v>106</v>
      </c>
      <c r="Q3226" t="s">
        <v>6800</v>
      </c>
    </row>
    <row r="3227" spans="1:17" x14ac:dyDescent="0.3">
      <c r="A3227" t="s">
        <v>47</v>
      </c>
      <c r="B3227" t="str">
        <f>"300681"</f>
        <v>300681</v>
      </c>
      <c r="C3227" t="s">
        <v>6801</v>
      </c>
      <c r="D3227" t="s">
        <v>836</v>
      </c>
      <c r="E3227">
        <v>2268859571</v>
      </c>
      <c r="F3227">
        <v>1134185677</v>
      </c>
      <c r="G3227">
        <v>897120654</v>
      </c>
      <c r="H3227">
        <v>1045590775</v>
      </c>
      <c r="I3227">
        <v>880476912</v>
      </c>
      <c r="J3227">
        <v>475726563</v>
      </c>
      <c r="P3227">
        <v>89</v>
      </c>
      <c r="Q3227" t="s">
        <v>6802</v>
      </c>
    </row>
    <row r="3228" spans="1:17" x14ac:dyDescent="0.3">
      <c r="A3228" t="s">
        <v>47</v>
      </c>
      <c r="B3228" t="str">
        <f>"300099"</f>
        <v>300099</v>
      </c>
      <c r="C3228" t="s">
        <v>6803</v>
      </c>
      <c r="D3228" t="s">
        <v>607</v>
      </c>
      <c r="E3228">
        <v>2266893043</v>
      </c>
      <c r="F3228">
        <v>2093242417</v>
      </c>
      <c r="G3228">
        <v>2043720017</v>
      </c>
      <c r="H3228">
        <v>1926311284</v>
      </c>
      <c r="I3228">
        <v>1906036452</v>
      </c>
      <c r="J3228">
        <v>1797584984</v>
      </c>
      <c r="K3228">
        <v>913801610</v>
      </c>
      <c r="L3228">
        <v>915712398</v>
      </c>
      <c r="M3228">
        <v>984993471</v>
      </c>
      <c r="N3228">
        <v>809130736</v>
      </c>
      <c r="O3228">
        <v>759555416</v>
      </c>
      <c r="P3228">
        <v>134</v>
      </c>
      <c r="Q3228" t="s">
        <v>6804</v>
      </c>
    </row>
    <row r="3229" spans="1:17" x14ac:dyDescent="0.3">
      <c r="A3229" t="s">
        <v>47</v>
      </c>
      <c r="B3229" t="str">
        <f>"000510"</f>
        <v>000510</v>
      </c>
      <c r="C3229" t="s">
        <v>6805</v>
      </c>
      <c r="D3229" t="s">
        <v>625</v>
      </c>
      <c r="E3229">
        <v>2265913041</v>
      </c>
      <c r="F3229">
        <v>1825092464</v>
      </c>
      <c r="G3229">
        <v>1615446903</v>
      </c>
      <c r="H3229">
        <v>1443233624</v>
      </c>
      <c r="I3229">
        <v>1464540213</v>
      </c>
      <c r="J3229">
        <v>1330618639</v>
      </c>
      <c r="K3229">
        <v>1442858028</v>
      </c>
      <c r="L3229">
        <v>1552611176</v>
      </c>
      <c r="M3229">
        <v>1886487820</v>
      </c>
      <c r="N3229">
        <v>2151540243</v>
      </c>
      <c r="O3229">
        <v>2210355376</v>
      </c>
      <c r="P3229">
        <v>128</v>
      </c>
      <c r="Q3229" t="s">
        <v>6806</v>
      </c>
    </row>
    <row r="3230" spans="1:17" x14ac:dyDescent="0.3">
      <c r="A3230" t="s">
        <v>47</v>
      </c>
      <c r="B3230" t="str">
        <f>"300103"</f>
        <v>300103</v>
      </c>
      <c r="C3230" t="s">
        <v>6807</v>
      </c>
      <c r="D3230" t="s">
        <v>1973</v>
      </c>
      <c r="E3230">
        <v>2264653630</v>
      </c>
      <c r="F3230">
        <v>2290365727</v>
      </c>
      <c r="G3230">
        <v>2084427252</v>
      </c>
      <c r="H3230">
        <v>1039586822</v>
      </c>
      <c r="I3230">
        <v>1036858358</v>
      </c>
      <c r="J3230">
        <v>997770805</v>
      </c>
      <c r="K3230">
        <v>993636694</v>
      </c>
      <c r="L3230">
        <v>950004508</v>
      </c>
      <c r="M3230">
        <v>975232695</v>
      </c>
      <c r="N3230">
        <v>864750221</v>
      </c>
      <c r="O3230">
        <v>733185084</v>
      </c>
      <c r="P3230">
        <v>53</v>
      </c>
      <c r="Q3230" t="s">
        <v>6808</v>
      </c>
    </row>
    <row r="3231" spans="1:17" x14ac:dyDescent="0.3">
      <c r="A3231" t="s">
        <v>47</v>
      </c>
      <c r="B3231" t="str">
        <f>"300403"</f>
        <v>300403</v>
      </c>
      <c r="C3231" t="s">
        <v>6809</v>
      </c>
      <c r="D3231" t="s">
        <v>1511</v>
      </c>
      <c r="E3231">
        <v>2263566111</v>
      </c>
      <c r="F3231">
        <v>2236277649</v>
      </c>
      <c r="G3231">
        <v>1650359533</v>
      </c>
      <c r="H3231">
        <v>1666292347</v>
      </c>
      <c r="I3231">
        <v>1682247567</v>
      </c>
      <c r="J3231">
        <v>1592380679</v>
      </c>
      <c r="K3231">
        <v>1403266766</v>
      </c>
      <c r="L3231">
        <v>1272155561</v>
      </c>
      <c r="P3231">
        <v>253</v>
      </c>
      <c r="Q3231" t="s">
        <v>6810</v>
      </c>
    </row>
    <row r="3232" spans="1:17" x14ac:dyDescent="0.3">
      <c r="A3232" t="s">
        <v>47</v>
      </c>
      <c r="B3232" t="str">
        <f>"300853"</f>
        <v>300853</v>
      </c>
      <c r="C3232" t="s">
        <v>6811</v>
      </c>
      <c r="D3232" t="s">
        <v>2592</v>
      </c>
      <c r="E3232">
        <v>2261695070</v>
      </c>
      <c r="F3232">
        <v>1484251791</v>
      </c>
      <c r="G3232">
        <v>690751085</v>
      </c>
      <c r="P3232">
        <v>142</v>
      </c>
      <c r="Q3232" t="s">
        <v>6812</v>
      </c>
    </row>
    <row r="3233" spans="1:17" x14ac:dyDescent="0.3">
      <c r="A3233" t="s">
        <v>47</v>
      </c>
      <c r="B3233" t="str">
        <f>"301201"</f>
        <v>301201</v>
      </c>
      <c r="C3233" t="s">
        <v>6813</v>
      </c>
      <c r="D3233" t="s">
        <v>777</v>
      </c>
      <c r="E3233">
        <v>2260708946</v>
      </c>
      <c r="P3233">
        <v>18</v>
      </c>
      <c r="Q3233" t="s">
        <v>6814</v>
      </c>
    </row>
    <row r="3234" spans="1:17" x14ac:dyDescent="0.3">
      <c r="A3234" t="s">
        <v>47</v>
      </c>
      <c r="B3234" t="str">
        <f>"300471"</f>
        <v>300471</v>
      </c>
      <c r="C3234" t="s">
        <v>6815</v>
      </c>
      <c r="D3234" t="s">
        <v>1973</v>
      </c>
      <c r="E3234">
        <v>2259919714</v>
      </c>
      <c r="F3234">
        <v>1887341588</v>
      </c>
      <c r="G3234">
        <v>1745881966</v>
      </c>
      <c r="H3234">
        <v>2001530991</v>
      </c>
      <c r="I3234">
        <v>2674865276</v>
      </c>
      <c r="J3234">
        <v>2325821805</v>
      </c>
      <c r="K3234">
        <v>2250944489</v>
      </c>
      <c r="L3234">
        <v>1452455270</v>
      </c>
      <c r="P3234">
        <v>166</v>
      </c>
      <c r="Q3234" t="s">
        <v>6816</v>
      </c>
    </row>
    <row r="3235" spans="1:17" x14ac:dyDescent="0.3">
      <c r="A3235" t="s">
        <v>17</v>
      </c>
      <c r="B3235" t="str">
        <f>"603238"</f>
        <v>603238</v>
      </c>
      <c r="C3235" t="s">
        <v>6817</v>
      </c>
      <c r="D3235" t="s">
        <v>2299</v>
      </c>
      <c r="E3235">
        <v>2259883910</v>
      </c>
      <c r="F3235">
        <v>2357577920</v>
      </c>
      <c r="G3235">
        <v>1841636916</v>
      </c>
      <c r="H3235">
        <v>1475198396</v>
      </c>
      <c r="I3235">
        <v>1365285435</v>
      </c>
      <c r="J3235">
        <v>806781265</v>
      </c>
      <c r="P3235">
        <v>240</v>
      </c>
      <c r="Q3235" t="s">
        <v>6818</v>
      </c>
    </row>
    <row r="3236" spans="1:17" x14ac:dyDescent="0.3">
      <c r="A3236" t="s">
        <v>47</v>
      </c>
      <c r="B3236" t="str">
        <f>"002308"</f>
        <v>002308</v>
      </c>
      <c r="C3236" t="s">
        <v>6819</v>
      </c>
      <c r="D3236" t="s">
        <v>765</v>
      </c>
      <c r="E3236">
        <v>2259613503</v>
      </c>
      <c r="F3236">
        <v>2721379692</v>
      </c>
      <c r="G3236">
        <v>2886015028</v>
      </c>
      <c r="H3236">
        <v>4342747272</v>
      </c>
      <c r="I3236">
        <v>4280116411</v>
      </c>
      <c r="J3236">
        <v>2853469040</v>
      </c>
      <c r="K3236">
        <v>2729091635</v>
      </c>
      <c r="L3236">
        <v>2276460503</v>
      </c>
      <c r="M3236">
        <v>2288817659</v>
      </c>
      <c r="N3236">
        <v>2296003597</v>
      </c>
      <c r="O3236">
        <v>2133067418</v>
      </c>
      <c r="P3236">
        <v>218</v>
      </c>
      <c r="Q3236" t="s">
        <v>6820</v>
      </c>
    </row>
    <row r="3237" spans="1:17" x14ac:dyDescent="0.3">
      <c r="A3237" t="s">
        <v>17</v>
      </c>
      <c r="B3237" t="str">
        <f>"600257"</f>
        <v>600257</v>
      </c>
      <c r="C3237" t="s">
        <v>6821</v>
      </c>
      <c r="D3237" t="s">
        <v>3602</v>
      </c>
      <c r="E3237">
        <v>2258071835</v>
      </c>
      <c r="F3237">
        <v>2281215731</v>
      </c>
      <c r="G3237">
        <v>1680907885</v>
      </c>
      <c r="H3237">
        <v>1790928296</v>
      </c>
      <c r="I3237">
        <v>1597615923</v>
      </c>
      <c r="J3237">
        <v>1589427063</v>
      </c>
      <c r="K3237">
        <v>1523910873</v>
      </c>
      <c r="L3237">
        <v>1496666100</v>
      </c>
      <c r="M3237">
        <v>1338315087</v>
      </c>
      <c r="N3237">
        <v>1365888673</v>
      </c>
      <c r="O3237">
        <v>1204666095</v>
      </c>
      <c r="P3237">
        <v>96</v>
      </c>
      <c r="Q3237" t="s">
        <v>6822</v>
      </c>
    </row>
    <row r="3238" spans="1:17" x14ac:dyDescent="0.3">
      <c r="A3238" t="s">
        <v>47</v>
      </c>
      <c r="B3238" t="str">
        <f>"300462"</f>
        <v>300462</v>
      </c>
      <c r="C3238" t="s">
        <v>6823</v>
      </c>
      <c r="D3238" t="s">
        <v>765</v>
      </c>
      <c r="E3238">
        <v>2257536204</v>
      </c>
      <c r="F3238">
        <v>2667080394</v>
      </c>
      <c r="G3238">
        <v>2852465147</v>
      </c>
      <c r="H3238">
        <v>883368158</v>
      </c>
      <c r="I3238">
        <v>824322023</v>
      </c>
      <c r="J3238">
        <v>757353226</v>
      </c>
      <c r="K3238">
        <v>677736376</v>
      </c>
      <c r="L3238">
        <v>403427349</v>
      </c>
      <c r="P3238">
        <v>176</v>
      </c>
      <c r="Q3238" t="s">
        <v>6824</v>
      </c>
    </row>
    <row r="3239" spans="1:17" x14ac:dyDescent="0.3">
      <c r="A3239" t="s">
        <v>47</v>
      </c>
      <c r="B3239" t="str">
        <f>"300342"</f>
        <v>300342</v>
      </c>
      <c r="C3239" t="s">
        <v>6825</v>
      </c>
      <c r="D3239" t="s">
        <v>1511</v>
      </c>
      <c r="E3239">
        <v>2257160349</v>
      </c>
      <c r="F3239">
        <v>2040891224</v>
      </c>
      <c r="G3239">
        <v>1876632446</v>
      </c>
      <c r="H3239">
        <v>1909027931</v>
      </c>
      <c r="I3239">
        <v>1817239942</v>
      </c>
      <c r="J3239">
        <v>1525318211</v>
      </c>
      <c r="K3239">
        <v>1069430878</v>
      </c>
      <c r="L3239">
        <v>1034964211</v>
      </c>
      <c r="M3239">
        <v>865907436</v>
      </c>
      <c r="N3239">
        <v>818286548</v>
      </c>
      <c r="P3239">
        <v>181</v>
      </c>
      <c r="Q3239" t="s">
        <v>6826</v>
      </c>
    </row>
    <row r="3240" spans="1:17" x14ac:dyDescent="0.3">
      <c r="A3240" t="s">
        <v>17</v>
      </c>
      <c r="B3240" t="str">
        <f>"600836"</f>
        <v>600836</v>
      </c>
      <c r="C3240" t="s">
        <v>6827</v>
      </c>
      <c r="D3240" t="s">
        <v>6392</v>
      </c>
      <c r="E3240">
        <v>2253003735</v>
      </c>
      <c r="F3240">
        <v>2143934969</v>
      </c>
      <c r="G3240">
        <v>2135465979</v>
      </c>
      <c r="H3240">
        <v>3406923433</v>
      </c>
      <c r="I3240">
        <v>3243526356</v>
      </c>
      <c r="J3240">
        <v>3448733816</v>
      </c>
      <c r="K3240">
        <v>3407099285</v>
      </c>
      <c r="L3240">
        <v>3417144433</v>
      </c>
      <c r="M3240">
        <v>3320976833</v>
      </c>
      <c r="N3240">
        <v>3627588551</v>
      </c>
      <c r="O3240">
        <v>3425495220</v>
      </c>
      <c r="P3240">
        <v>70</v>
      </c>
      <c r="Q3240" t="s">
        <v>6828</v>
      </c>
    </row>
    <row r="3241" spans="1:17" x14ac:dyDescent="0.3">
      <c r="A3241" t="s">
        <v>17</v>
      </c>
      <c r="B3241" t="str">
        <f>"688153"</f>
        <v>688153</v>
      </c>
      <c r="C3241" t="s">
        <v>6829</v>
      </c>
      <c r="E3241">
        <v>2252055201</v>
      </c>
      <c r="P3241">
        <v>8</v>
      </c>
      <c r="Q3241" t="s">
        <v>6830</v>
      </c>
    </row>
    <row r="3242" spans="1:17" x14ac:dyDescent="0.3">
      <c r="A3242" t="s">
        <v>47</v>
      </c>
      <c r="B3242" t="str">
        <f>"300868"</f>
        <v>300868</v>
      </c>
      <c r="C3242" t="s">
        <v>6831</v>
      </c>
      <c r="D3242" t="s">
        <v>1609</v>
      </c>
      <c r="E3242">
        <v>2250797708</v>
      </c>
      <c r="F3242">
        <v>2124768949</v>
      </c>
      <c r="P3242">
        <v>40</v>
      </c>
      <c r="Q3242" t="s">
        <v>6832</v>
      </c>
    </row>
    <row r="3243" spans="1:17" x14ac:dyDescent="0.3">
      <c r="A3243" t="s">
        <v>17</v>
      </c>
      <c r="B3243" t="str">
        <f>"603848"</f>
        <v>603848</v>
      </c>
      <c r="C3243" t="s">
        <v>6833</v>
      </c>
      <c r="D3243" t="s">
        <v>2082</v>
      </c>
      <c r="E3243">
        <v>2246908679</v>
      </c>
      <c r="F3243">
        <v>2047518452</v>
      </c>
      <c r="G3243">
        <v>1765210174</v>
      </c>
      <c r="H3243">
        <v>1516344579</v>
      </c>
      <c r="I3243">
        <v>1305642847</v>
      </c>
      <c r="P3243">
        <v>415</v>
      </c>
      <c r="Q3243" t="s">
        <v>6834</v>
      </c>
    </row>
    <row r="3244" spans="1:17" x14ac:dyDescent="0.3">
      <c r="A3244" t="s">
        <v>47</v>
      </c>
      <c r="B3244" t="str">
        <f>"002940"</f>
        <v>002940</v>
      </c>
      <c r="C3244" t="s">
        <v>6835</v>
      </c>
      <c r="D3244" t="s">
        <v>550</v>
      </c>
      <c r="E3244">
        <v>2245359614</v>
      </c>
      <c r="F3244">
        <v>1881859624</v>
      </c>
      <c r="G3244">
        <v>1466810857</v>
      </c>
      <c r="H3244">
        <v>1449787979</v>
      </c>
      <c r="P3244">
        <v>148</v>
      </c>
      <c r="Q3244" t="s">
        <v>6836</v>
      </c>
    </row>
    <row r="3245" spans="1:17" x14ac:dyDescent="0.3">
      <c r="A3245" t="s">
        <v>17</v>
      </c>
      <c r="B3245" t="str">
        <f>"603566"</f>
        <v>603566</v>
      </c>
      <c r="C3245" t="s">
        <v>6837</v>
      </c>
      <c r="D3245" t="s">
        <v>3286</v>
      </c>
      <c r="E3245">
        <v>2243983991</v>
      </c>
      <c r="F3245">
        <v>2117453882</v>
      </c>
      <c r="G3245">
        <v>1845926535</v>
      </c>
      <c r="H3245">
        <v>1883129231</v>
      </c>
      <c r="I3245">
        <v>1836925831</v>
      </c>
      <c r="J3245">
        <v>1758988118</v>
      </c>
      <c r="K3245">
        <v>1545114705</v>
      </c>
      <c r="L3245">
        <v>843001971</v>
      </c>
      <c r="P3245">
        <v>233</v>
      </c>
      <c r="Q3245" t="s">
        <v>6838</v>
      </c>
    </row>
    <row r="3246" spans="1:17" x14ac:dyDescent="0.3">
      <c r="A3246" t="s">
        <v>47</v>
      </c>
      <c r="B3246" t="str">
        <f>"300440"</f>
        <v>300440</v>
      </c>
      <c r="C3246" t="s">
        <v>6839</v>
      </c>
      <c r="D3246" t="s">
        <v>700</v>
      </c>
      <c r="E3246">
        <v>2243294858</v>
      </c>
      <c r="F3246">
        <v>1861593533</v>
      </c>
      <c r="G3246">
        <v>1771339659</v>
      </c>
      <c r="H3246">
        <v>1856707113</v>
      </c>
      <c r="I3246">
        <v>1784298599</v>
      </c>
      <c r="J3246">
        <v>1757164424</v>
      </c>
      <c r="K3246">
        <v>1512236456</v>
      </c>
      <c r="L3246">
        <v>756223952</v>
      </c>
      <c r="P3246">
        <v>151</v>
      </c>
      <c r="Q3246" t="s">
        <v>6840</v>
      </c>
    </row>
    <row r="3247" spans="1:17" x14ac:dyDescent="0.3">
      <c r="A3247" t="s">
        <v>47</v>
      </c>
      <c r="B3247" t="str">
        <f>"300641"</f>
        <v>300641</v>
      </c>
      <c r="C3247" t="s">
        <v>6841</v>
      </c>
      <c r="D3247" t="s">
        <v>710</v>
      </c>
      <c r="E3247">
        <v>2241743353</v>
      </c>
      <c r="F3247">
        <v>1928613817</v>
      </c>
      <c r="G3247">
        <v>1764532703</v>
      </c>
      <c r="H3247">
        <v>1625088356</v>
      </c>
      <c r="I3247">
        <v>1551866448</v>
      </c>
      <c r="J3247">
        <v>944415615</v>
      </c>
      <c r="P3247">
        <v>79</v>
      </c>
      <c r="Q3247" t="s">
        <v>6842</v>
      </c>
    </row>
    <row r="3248" spans="1:17" x14ac:dyDescent="0.3">
      <c r="A3248" t="s">
        <v>47</v>
      </c>
      <c r="B3248" t="str">
        <f>"300246"</f>
        <v>300246</v>
      </c>
      <c r="C3248" t="s">
        <v>6843</v>
      </c>
      <c r="D3248" t="s">
        <v>1083</v>
      </c>
      <c r="E3248">
        <v>2240279391</v>
      </c>
      <c r="F3248">
        <v>1599856210</v>
      </c>
      <c r="G3248">
        <v>1055571308</v>
      </c>
      <c r="H3248">
        <v>926258362</v>
      </c>
      <c r="I3248">
        <v>858077853</v>
      </c>
      <c r="J3248">
        <v>680544113</v>
      </c>
      <c r="K3248">
        <v>618952108</v>
      </c>
      <c r="L3248">
        <v>525399850</v>
      </c>
      <c r="M3248">
        <v>476984616</v>
      </c>
      <c r="N3248">
        <v>446700275</v>
      </c>
      <c r="O3248">
        <v>402832181</v>
      </c>
      <c r="P3248">
        <v>511</v>
      </c>
      <c r="Q3248" t="s">
        <v>6844</v>
      </c>
    </row>
    <row r="3249" spans="1:17" x14ac:dyDescent="0.3">
      <c r="A3249" t="s">
        <v>47</v>
      </c>
      <c r="B3249" t="str">
        <f>"300951"</f>
        <v>300951</v>
      </c>
      <c r="C3249" t="s">
        <v>6845</v>
      </c>
      <c r="D3249" t="s">
        <v>283</v>
      </c>
      <c r="E3249">
        <v>2238944515</v>
      </c>
      <c r="F3249">
        <v>2010010943</v>
      </c>
      <c r="P3249">
        <v>67</v>
      </c>
      <c r="Q3249" t="s">
        <v>6846</v>
      </c>
    </row>
    <row r="3250" spans="1:17" x14ac:dyDescent="0.3">
      <c r="A3250" t="s">
        <v>47</v>
      </c>
      <c r="B3250" t="str">
        <f>"300745"</f>
        <v>300745</v>
      </c>
      <c r="C3250" t="s">
        <v>6847</v>
      </c>
      <c r="D3250" t="s">
        <v>1815</v>
      </c>
      <c r="E3250">
        <v>2238718962</v>
      </c>
      <c r="F3250">
        <v>1557734088</v>
      </c>
      <c r="G3250">
        <v>1393259225</v>
      </c>
      <c r="H3250">
        <v>1781308686</v>
      </c>
      <c r="I3250">
        <v>1125154547</v>
      </c>
      <c r="P3250">
        <v>76</v>
      </c>
      <c r="Q3250" t="s">
        <v>6848</v>
      </c>
    </row>
    <row r="3251" spans="1:17" x14ac:dyDescent="0.3">
      <c r="A3251" t="s">
        <v>47</v>
      </c>
      <c r="B3251" t="str">
        <f>"300426"</f>
        <v>300426</v>
      </c>
      <c r="C3251" t="s">
        <v>6849</v>
      </c>
      <c r="D3251" t="s">
        <v>1673</v>
      </c>
      <c r="E3251">
        <v>2237817941</v>
      </c>
      <c r="F3251">
        <v>2106705664</v>
      </c>
      <c r="G3251">
        <v>2177149830</v>
      </c>
      <c r="H3251">
        <v>2771625732</v>
      </c>
      <c r="I3251">
        <v>3335791308</v>
      </c>
      <c r="J3251">
        <v>2781303056</v>
      </c>
      <c r="K3251">
        <v>1469375319</v>
      </c>
      <c r="L3251">
        <v>1220929619</v>
      </c>
      <c r="P3251">
        <v>130</v>
      </c>
      <c r="Q3251" t="s">
        <v>6850</v>
      </c>
    </row>
    <row r="3252" spans="1:17" x14ac:dyDescent="0.3">
      <c r="A3252" t="s">
        <v>17</v>
      </c>
      <c r="B3252" t="str">
        <f>"603150"</f>
        <v>603150</v>
      </c>
      <c r="C3252" t="s">
        <v>6851</v>
      </c>
      <c r="E3252">
        <v>2237416833</v>
      </c>
      <c r="P3252">
        <v>5</v>
      </c>
      <c r="Q3252" t="s">
        <v>6852</v>
      </c>
    </row>
    <row r="3253" spans="1:17" x14ac:dyDescent="0.3">
      <c r="A3253" t="s">
        <v>17</v>
      </c>
      <c r="B3253" t="str">
        <f>"600616"</f>
        <v>600616</v>
      </c>
      <c r="C3253" t="s">
        <v>6853</v>
      </c>
      <c r="D3253" t="s">
        <v>2319</v>
      </c>
      <c r="E3253">
        <v>2237231629</v>
      </c>
      <c r="F3253">
        <v>2296743925</v>
      </c>
      <c r="G3253">
        <v>2237541441</v>
      </c>
      <c r="H3253">
        <v>2222076722</v>
      </c>
      <c r="I3253">
        <v>2344917715</v>
      </c>
      <c r="J3253">
        <v>2436048638</v>
      </c>
      <c r="K3253">
        <v>2295755206</v>
      </c>
      <c r="L3253">
        <v>2209200246</v>
      </c>
      <c r="M3253">
        <v>2088479707</v>
      </c>
      <c r="N3253">
        <v>1521499907</v>
      </c>
      <c r="O3253">
        <v>1463599836</v>
      </c>
      <c r="P3253">
        <v>180</v>
      </c>
      <c r="Q3253" t="s">
        <v>6854</v>
      </c>
    </row>
    <row r="3254" spans="1:17" x14ac:dyDescent="0.3">
      <c r="A3254" t="s">
        <v>17</v>
      </c>
      <c r="B3254" t="str">
        <f>"688333"</f>
        <v>688333</v>
      </c>
      <c r="C3254" t="s">
        <v>6855</v>
      </c>
      <c r="D3254" t="s">
        <v>3186</v>
      </c>
      <c r="E3254">
        <v>2233727133</v>
      </c>
      <c r="F3254">
        <v>1635801045</v>
      </c>
      <c r="G3254">
        <v>1442410751</v>
      </c>
      <c r="H3254">
        <v>815617100</v>
      </c>
      <c r="P3254">
        <v>117</v>
      </c>
      <c r="Q3254" t="s">
        <v>6856</v>
      </c>
    </row>
    <row r="3255" spans="1:17" x14ac:dyDescent="0.3">
      <c r="A3255" t="s">
        <v>47</v>
      </c>
      <c r="B3255" t="str">
        <f>"002886"</f>
        <v>002886</v>
      </c>
      <c r="C3255" t="s">
        <v>6857</v>
      </c>
      <c r="D3255" t="s">
        <v>833</v>
      </c>
      <c r="E3255">
        <v>2231696584</v>
      </c>
      <c r="F3255">
        <v>1802607603</v>
      </c>
      <c r="G3255">
        <v>1233098439</v>
      </c>
      <c r="H3255">
        <v>1049192460</v>
      </c>
      <c r="I3255">
        <v>1025498878</v>
      </c>
      <c r="J3255">
        <v>653228100</v>
      </c>
      <c r="P3255">
        <v>190</v>
      </c>
      <c r="Q3255" t="s">
        <v>6858</v>
      </c>
    </row>
    <row r="3256" spans="1:17" x14ac:dyDescent="0.3">
      <c r="A3256" t="s">
        <v>17</v>
      </c>
      <c r="B3256" t="str">
        <f>"688246"</f>
        <v>688246</v>
      </c>
      <c r="C3256" t="s">
        <v>6859</v>
      </c>
      <c r="D3256" t="s">
        <v>1859</v>
      </c>
      <c r="E3256">
        <v>2230348720</v>
      </c>
      <c r="G3256">
        <v>761100746</v>
      </c>
      <c r="P3256">
        <v>12</v>
      </c>
      <c r="Q3256" t="s">
        <v>6860</v>
      </c>
    </row>
    <row r="3257" spans="1:17" x14ac:dyDescent="0.3">
      <c r="A3257" t="s">
        <v>47</v>
      </c>
      <c r="B3257" t="str">
        <f>"002296"</f>
        <v>002296</v>
      </c>
      <c r="C3257" t="s">
        <v>6861</v>
      </c>
      <c r="D3257" t="s">
        <v>367</v>
      </c>
      <c r="E3257">
        <v>2228746901</v>
      </c>
      <c r="F3257">
        <v>2110690023</v>
      </c>
      <c r="G3257">
        <v>1823839991</v>
      </c>
      <c r="H3257">
        <v>1873448771</v>
      </c>
      <c r="I3257">
        <v>2035215903</v>
      </c>
      <c r="J3257">
        <v>2162081194</v>
      </c>
      <c r="K3257">
        <v>2143196099</v>
      </c>
      <c r="L3257">
        <v>1971633616</v>
      </c>
      <c r="M3257">
        <v>1874538238</v>
      </c>
      <c r="N3257">
        <v>993185984</v>
      </c>
      <c r="O3257">
        <v>917569894</v>
      </c>
      <c r="P3257">
        <v>160</v>
      </c>
      <c r="Q3257" t="s">
        <v>6862</v>
      </c>
    </row>
    <row r="3258" spans="1:17" x14ac:dyDescent="0.3">
      <c r="A3258" t="s">
        <v>17</v>
      </c>
      <c r="B3258" t="str">
        <f>"603788"</f>
        <v>603788</v>
      </c>
      <c r="C3258" t="s">
        <v>6863</v>
      </c>
      <c r="D3258" t="s">
        <v>274</v>
      </c>
      <c r="E3258">
        <v>2226773657</v>
      </c>
      <c r="F3258">
        <v>2222149852</v>
      </c>
      <c r="G3258">
        <v>2152890598</v>
      </c>
      <c r="H3258">
        <v>2249411340</v>
      </c>
      <c r="I3258">
        <v>2313621530</v>
      </c>
      <c r="J3258">
        <v>1259830568</v>
      </c>
      <c r="K3258">
        <v>1049075680</v>
      </c>
      <c r="L3258">
        <v>876818458</v>
      </c>
      <c r="P3258">
        <v>330</v>
      </c>
      <c r="Q3258" t="s">
        <v>6864</v>
      </c>
    </row>
    <row r="3259" spans="1:17" x14ac:dyDescent="0.3">
      <c r="A3259" t="s">
        <v>47</v>
      </c>
      <c r="B3259" t="str">
        <f>"300798"</f>
        <v>300798</v>
      </c>
      <c r="C3259" t="s">
        <v>6865</v>
      </c>
      <c r="D3259" t="s">
        <v>703</v>
      </c>
      <c r="E3259">
        <v>2226655503</v>
      </c>
      <c r="F3259">
        <v>1561894978</v>
      </c>
      <c r="G3259">
        <v>1541270010</v>
      </c>
      <c r="P3259">
        <v>55</v>
      </c>
      <c r="Q3259" t="s">
        <v>6866</v>
      </c>
    </row>
    <row r="3260" spans="1:17" x14ac:dyDescent="0.3">
      <c r="A3260" t="s">
        <v>17</v>
      </c>
      <c r="B3260" t="str">
        <f>"603617"</f>
        <v>603617</v>
      </c>
      <c r="C3260" t="s">
        <v>6867</v>
      </c>
      <c r="D3260" t="s">
        <v>1433</v>
      </c>
      <c r="E3260">
        <v>2223563957</v>
      </c>
      <c r="F3260">
        <v>1379163559</v>
      </c>
      <c r="G3260">
        <v>1151813180</v>
      </c>
      <c r="H3260">
        <v>899762301</v>
      </c>
      <c r="I3260">
        <v>726341943</v>
      </c>
      <c r="J3260">
        <v>431844770</v>
      </c>
      <c r="P3260">
        <v>104</v>
      </c>
      <c r="Q3260" t="s">
        <v>6868</v>
      </c>
    </row>
    <row r="3261" spans="1:17" x14ac:dyDescent="0.3">
      <c r="A3261" t="s">
        <v>47</v>
      </c>
      <c r="B3261" t="str">
        <f>"300531"</f>
        <v>300531</v>
      </c>
      <c r="C3261" t="s">
        <v>6869</v>
      </c>
      <c r="D3261" t="s">
        <v>765</v>
      </c>
      <c r="E3261">
        <v>2222410737</v>
      </c>
      <c r="F3261">
        <v>2150295464</v>
      </c>
      <c r="G3261">
        <v>1929312522</v>
      </c>
      <c r="H3261">
        <v>1212465276</v>
      </c>
      <c r="I3261">
        <v>883219547</v>
      </c>
      <c r="J3261">
        <v>656502506</v>
      </c>
      <c r="K3261">
        <v>347169836</v>
      </c>
      <c r="P3261">
        <v>173</v>
      </c>
      <c r="Q3261" t="s">
        <v>6870</v>
      </c>
    </row>
    <row r="3262" spans="1:17" x14ac:dyDescent="0.3">
      <c r="A3262" t="s">
        <v>17</v>
      </c>
      <c r="B3262" t="str">
        <f>"600186"</f>
        <v>600186</v>
      </c>
      <c r="C3262" t="s">
        <v>6871</v>
      </c>
      <c r="D3262" t="s">
        <v>1241</v>
      </c>
      <c r="E3262">
        <v>2216633686</v>
      </c>
      <c r="F3262">
        <v>1557589909</v>
      </c>
      <c r="G3262">
        <v>1266976695</v>
      </c>
      <c r="H3262">
        <v>1681425930</v>
      </c>
      <c r="I3262">
        <v>1865585136</v>
      </c>
      <c r="J3262">
        <v>2065423131</v>
      </c>
      <c r="K3262">
        <v>2272038508</v>
      </c>
      <c r="L3262">
        <v>2577777699</v>
      </c>
      <c r="M3262">
        <v>2599200122</v>
      </c>
      <c r="N3262">
        <v>2753283559</v>
      </c>
      <c r="O3262">
        <v>2893195640</v>
      </c>
      <c r="P3262">
        <v>182</v>
      </c>
      <c r="Q3262" t="s">
        <v>6872</v>
      </c>
    </row>
    <row r="3263" spans="1:17" x14ac:dyDescent="0.3">
      <c r="A3263" t="s">
        <v>47</v>
      </c>
      <c r="B3263" t="str">
        <f>"002360"</f>
        <v>002360</v>
      </c>
      <c r="C3263" t="s">
        <v>6873</v>
      </c>
      <c r="D3263" t="s">
        <v>1995</v>
      </c>
      <c r="E3263">
        <v>2216176552</v>
      </c>
      <c r="F3263">
        <v>1788402058</v>
      </c>
      <c r="G3263">
        <v>1451665492</v>
      </c>
      <c r="H3263">
        <v>1302811768</v>
      </c>
      <c r="I3263">
        <v>1473173203</v>
      </c>
      <c r="J3263">
        <v>1337619074</v>
      </c>
      <c r="K3263">
        <v>1379112014</v>
      </c>
      <c r="L3263">
        <v>1346132071</v>
      </c>
      <c r="M3263">
        <v>1236668205</v>
      </c>
      <c r="N3263">
        <v>960661188</v>
      </c>
      <c r="O3263">
        <v>693647411</v>
      </c>
      <c r="P3263">
        <v>111</v>
      </c>
      <c r="Q3263" t="s">
        <v>6874</v>
      </c>
    </row>
    <row r="3264" spans="1:17" x14ac:dyDescent="0.3">
      <c r="A3264" t="s">
        <v>17</v>
      </c>
      <c r="B3264" t="str">
        <f>"603506"</f>
        <v>603506</v>
      </c>
      <c r="C3264" t="s">
        <v>6875</v>
      </c>
      <c r="D3264" t="s">
        <v>1988</v>
      </c>
      <c r="E3264">
        <v>2215330603</v>
      </c>
      <c r="F3264">
        <v>1970122654</v>
      </c>
      <c r="G3264">
        <v>1676159752</v>
      </c>
      <c r="H3264">
        <v>1435886194</v>
      </c>
      <c r="I3264">
        <v>1129453391</v>
      </c>
      <c r="P3264">
        <v>355</v>
      </c>
      <c r="Q3264" t="s">
        <v>6876</v>
      </c>
    </row>
    <row r="3265" spans="1:17" x14ac:dyDescent="0.3">
      <c r="A3265" t="s">
        <v>17</v>
      </c>
      <c r="B3265" t="str">
        <f>"603329"</f>
        <v>603329</v>
      </c>
      <c r="C3265" t="s">
        <v>6877</v>
      </c>
      <c r="D3265" t="s">
        <v>134</v>
      </c>
      <c r="E3265">
        <v>2215125010</v>
      </c>
      <c r="F3265">
        <v>1691950745</v>
      </c>
      <c r="G3265">
        <v>1050974108</v>
      </c>
      <c r="H3265">
        <v>1073685509</v>
      </c>
      <c r="I3265">
        <v>1011197345</v>
      </c>
      <c r="P3265">
        <v>62</v>
      </c>
      <c r="Q3265" t="s">
        <v>6878</v>
      </c>
    </row>
    <row r="3266" spans="1:17" x14ac:dyDescent="0.3">
      <c r="A3266" t="s">
        <v>47</v>
      </c>
      <c r="B3266" t="str">
        <f>"300305"</f>
        <v>300305</v>
      </c>
      <c r="C3266" t="s">
        <v>6879</v>
      </c>
      <c r="D3266" t="s">
        <v>2485</v>
      </c>
      <c r="E3266">
        <v>2213895240</v>
      </c>
      <c r="F3266">
        <v>1981569659</v>
      </c>
      <c r="G3266">
        <v>1781343377</v>
      </c>
      <c r="H3266">
        <v>1638459592</v>
      </c>
      <c r="I3266">
        <v>1577376310</v>
      </c>
      <c r="J3266">
        <v>1496643086</v>
      </c>
      <c r="K3266">
        <v>1422552276</v>
      </c>
      <c r="L3266">
        <v>1315362269</v>
      </c>
      <c r="M3266">
        <v>1281653078</v>
      </c>
      <c r="N3266">
        <v>1231097410</v>
      </c>
      <c r="O3266">
        <v>1333772357</v>
      </c>
      <c r="P3266">
        <v>147</v>
      </c>
      <c r="Q3266" t="s">
        <v>6880</v>
      </c>
    </row>
    <row r="3267" spans="1:17" x14ac:dyDescent="0.3">
      <c r="A3267" t="s">
        <v>17</v>
      </c>
      <c r="B3267" t="str">
        <f>"603089"</f>
        <v>603089</v>
      </c>
      <c r="C3267" t="s">
        <v>6881</v>
      </c>
      <c r="D3267" t="s">
        <v>274</v>
      </c>
      <c r="E3267">
        <v>2212352812</v>
      </c>
      <c r="F3267">
        <v>1855246011</v>
      </c>
      <c r="G3267">
        <v>1712167526</v>
      </c>
      <c r="H3267">
        <v>1540214658</v>
      </c>
      <c r="I3267">
        <v>1002827288</v>
      </c>
      <c r="J3267">
        <v>990001344</v>
      </c>
      <c r="P3267">
        <v>111</v>
      </c>
      <c r="Q3267" t="s">
        <v>6882</v>
      </c>
    </row>
    <row r="3268" spans="1:17" x14ac:dyDescent="0.3">
      <c r="A3268" t="s">
        <v>47</v>
      </c>
      <c r="B3268" t="str">
        <f>"300767"</f>
        <v>300767</v>
      </c>
      <c r="C3268" t="s">
        <v>6883</v>
      </c>
      <c r="D3268" t="s">
        <v>3921</v>
      </c>
      <c r="E3268">
        <v>2212137711</v>
      </c>
      <c r="F3268">
        <v>1802962005</v>
      </c>
      <c r="G3268">
        <v>1155010821</v>
      </c>
      <c r="H3268">
        <v>1092282348</v>
      </c>
      <c r="P3268">
        <v>197</v>
      </c>
      <c r="Q3268" t="s">
        <v>6884</v>
      </c>
    </row>
    <row r="3269" spans="1:17" x14ac:dyDescent="0.3">
      <c r="A3269" t="s">
        <v>17</v>
      </c>
      <c r="B3269" t="str">
        <f>"603096"</f>
        <v>603096</v>
      </c>
      <c r="C3269" t="s">
        <v>6885</v>
      </c>
      <c r="D3269" t="s">
        <v>1288</v>
      </c>
      <c r="E3269">
        <v>2211979164</v>
      </c>
      <c r="F3269">
        <v>2176679134</v>
      </c>
      <c r="G3269">
        <v>2189349699</v>
      </c>
      <c r="H3269">
        <v>2029934300</v>
      </c>
      <c r="I3269">
        <v>1855751075</v>
      </c>
      <c r="J3269">
        <v>863868921</v>
      </c>
      <c r="P3269">
        <v>222</v>
      </c>
      <c r="Q3269" t="s">
        <v>6886</v>
      </c>
    </row>
    <row r="3270" spans="1:17" x14ac:dyDescent="0.3">
      <c r="A3270" t="s">
        <v>17</v>
      </c>
      <c r="B3270" t="str">
        <f>"600735"</f>
        <v>600735</v>
      </c>
      <c r="C3270" t="s">
        <v>6887</v>
      </c>
      <c r="D3270" t="s">
        <v>4321</v>
      </c>
      <c r="E3270">
        <v>2211222958</v>
      </c>
      <c r="F3270">
        <v>1375367787</v>
      </c>
      <c r="G3270">
        <v>1307661461</v>
      </c>
      <c r="H3270">
        <v>1168154374</v>
      </c>
      <c r="I3270">
        <v>1115509319</v>
      </c>
      <c r="J3270">
        <v>1066627803</v>
      </c>
      <c r="K3270">
        <v>971247905</v>
      </c>
      <c r="L3270">
        <v>936525362</v>
      </c>
      <c r="M3270">
        <v>907240333</v>
      </c>
      <c r="N3270">
        <v>917149545</v>
      </c>
      <c r="O3270">
        <v>446831439</v>
      </c>
      <c r="P3270">
        <v>105</v>
      </c>
      <c r="Q3270" t="s">
        <v>6888</v>
      </c>
    </row>
    <row r="3271" spans="1:17" x14ac:dyDescent="0.3">
      <c r="A3271" t="s">
        <v>47</v>
      </c>
      <c r="B3271" t="str">
        <f>"300647"</f>
        <v>300647</v>
      </c>
      <c r="C3271" t="s">
        <v>6889</v>
      </c>
      <c r="D3271" t="s">
        <v>283</v>
      </c>
      <c r="E3271">
        <v>2209874990</v>
      </c>
      <c r="F3271">
        <v>1508098626</v>
      </c>
      <c r="G3271">
        <v>1273200278</v>
      </c>
      <c r="H3271">
        <v>1296573294</v>
      </c>
      <c r="I3271">
        <v>1051263191</v>
      </c>
      <c r="J3271">
        <v>428317466</v>
      </c>
      <c r="P3271">
        <v>116</v>
      </c>
      <c r="Q3271" t="s">
        <v>6890</v>
      </c>
    </row>
    <row r="3272" spans="1:17" x14ac:dyDescent="0.3">
      <c r="A3272" t="s">
        <v>17</v>
      </c>
      <c r="B3272" t="str">
        <f>"603015"</f>
        <v>603015</v>
      </c>
      <c r="C3272" t="s">
        <v>6891</v>
      </c>
      <c r="D3272" t="s">
        <v>1360</v>
      </c>
      <c r="E3272">
        <v>2209192670</v>
      </c>
      <c r="F3272">
        <v>2123601311</v>
      </c>
      <c r="G3272">
        <v>1768569922</v>
      </c>
      <c r="H3272">
        <v>1589784574</v>
      </c>
      <c r="I3272">
        <v>1592288017</v>
      </c>
      <c r="J3272">
        <v>1423703840</v>
      </c>
      <c r="K3272">
        <v>1213389528</v>
      </c>
      <c r="L3272">
        <v>1202136980</v>
      </c>
      <c r="P3272">
        <v>91</v>
      </c>
      <c r="Q3272" t="s">
        <v>6892</v>
      </c>
    </row>
    <row r="3273" spans="1:17" x14ac:dyDescent="0.3">
      <c r="A3273" t="s">
        <v>17</v>
      </c>
      <c r="B3273" t="str">
        <f>"688182"</f>
        <v>688182</v>
      </c>
      <c r="C3273" t="s">
        <v>6893</v>
      </c>
      <c r="D3273" t="s">
        <v>367</v>
      </c>
      <c r="E3273">
        <v>2208867418</v>
      </c>
      <c r="F3273">
        <v>1125192941</v>
      </c>
      <c r="P3273">
        <v>17</v>
      </c>
      <c r="Q3273" t="s">
        <v>6894</v>
      </c>
    </row>
    <row r="3274" spans="1:17" x14ac:dyDescent="0.3">
      <c r="A3274" t="s">
        <v>47</v>
      </c>
      <c r="B3274" t="str">
        <f>"002853"</f>
        <v>002853</v>
      </c>
      <c r="C3274" t="s">
        <v>6895</v>
      </c>
      <c r="D3274" t="s">
        <v>1505</v>
      </c>
      <c r="E3274">
        <v>2208110319</v>
      </c>
      <c r="F3274">
        <v>3050586184</v>
      </c>
      <c r="G3274">
        <v>1886310559</v>
      </c>
      <c r="H3274">
        <v>1520095629</v>
      </c>
      <c r="I3274">
        <v>1281352879</v>
      </c>
      <c r="J3274">
        <v>1068248117</v>
      </c>
      <c r="P3274">
        <v>379</v>
      </c>
      <c r="Q3274" t="s">
        <v>6896</v>
      </c>
    </row>
    <row r="3275" spans="1:17" x14ac:dyDescent="0.3">
      <c r="A3275" t="s">
        <v>47</v>
      </c>
      <c r="B3275" t="str">
        <f>"300826"</f>
        <v>300826</v>
      </c>
      <c r="C3275" t="s">
        <v>6897</v>
      </c>
      <c r="D3275" t="s">
        <v>2178</v>
      </c>
      <c r="E3275">
        <v>2207536068</v>
      </c>
      <c r="F3275">
        <v>1791812309</v>
      </c>
      <c r="G3275">
        <v>1527831364</v>
      </c>
      <c r="P3275">
        <v>61</v>
      </c>
      <c r="Q3275" t="s">
        <v>6898</v>
      </c>
    </row>
    <row r="3276" spans="1:17" x14ac:dyDescent="0.3">
      <c r="A3276" t="s">
        <v>17</v>
      </c>
      <c r="B3276" t="str">
        <f>"688259"</f>
        <v>688259</v>
      </c>
      <c r="C3276" t="s">
        <v>6899</v>
      </c>
      <c r="D3276" t="s">
        <v>967</v>
      </c>
      <c r="E3276">
        <v>2205739701</v>
      </c>
      <c r="P3276">
        <v>17</v>
      </c>
      <c r="Q3276" t="s">
        <v>6900</v>
      </c>
    </row>
    <row r="3277" spans="1:17" x14ac:dyDescent="0.3">
      <c r="A3277" t="s">
        <v>47</v>
      </c>
      <c r="B3277" t="str">
        <f>"300125"</f>
        <v>300125</v>
      </c>
      <c r="C3277" t="s">
        <v>6901</v>
      </c>
      <c r="D3277" t="s">
        <v>976</v>
      </c>
      <c r="E3277">
        <v>2205269055</v>
      </c>
      <c r="F3277">
        <v>2478005674</v>
      </c>
      <c r="G3277">
        <v>1223869315</v>
      </c>
      <c r="H3277">
        <v>1287157596</v>
      </c>
      <c r="I3277">
        <v>1370123392</v>
      </c>
      <c r="J3277">
        <v>1686934365</v>
      </c>
      <c r="K3277">
        <v>1935991401</v>
      </c>
      <c r="L3277">
        <v>2402401185</v>
      </c>
      <c r="M3277">
        <v>1615838734</v>
      </c>
      <c r="N3277">
        <v>1470958065</v>
      </c>
      <c r="O3277">
        <v>1329047318</v>
      </c>
      <c r="P3277">
        <v>59</v>
      </c>
      <c r="Q3277" t="s">
        <v>6902</v>
      </c>
    </row>
    <row r="3278" spans="1:17" x14ac:dyDescent="0.3">
      <c r="A3278" t="s">
        <v>17</v>
      </c>
      <c r="B3278" t="str">
        <f>"605388"</f>
        <v>605388</v>
      </c>
      <c r="C3278" t="s">
        <v>6903</v>
      </c>
      <c r="D3278" t="s">
        <v>487</v>
      </c>
      <c r="E3278">
        <v>2202817228</v>
      </c>
      <c r="F3278">
        <v>2203766119</v>
      </c>
      <c r="P3278">
        <v>103</v>
      </c>
      <c r="Q3278" t="s">
        <v>6904</v>
      </c>
    </row>
    <row r="3279" spans="1:17" x14ac:dyDescent="0.3">
      <c r="A3279" t="s">
        <v>47</v>
      </c>
      <c r="B3279" t="str">
        <f>"300481"</f>
        <v>300481</v>
      </c>
      <c r="C3279" t="s">
        <v>6905</v>
      </c>
      <c r="D3279" t="s">
        <v>3050</v>
      </c>
      <c r="E3279">
        <v>2202548677</v>
      </c>
      <c r="F3279">
        <v>1131460028</v>
      </c>
      <c r="G3279">
        <v>1010973599</v>
      </c>
      <c r="H3279">
        <v>984398729</v>
      </c>
      <c r="I3279">
        <v>880798611</v>
      </c>
      <c r="J3279">
        <v>535410683</v>
      </c>
      <c r="K3279">
        <v>478901502</v>
      </c>
      <c r="L3279">
        <v>311944673</v>
      </c>
      <c r="P3279">
        <v>352</v>
      </c>
      <c r="Q3279" t="s">
        <v>6906</v>
      </c>
    </row>
    <row r="3280" spans="1:17" x14ac:dyDescent="0.3">
      <c r="A3280" t="s">
        <v>17</v>
      </c>
      <c r="B3280" t="str">
        <f>"600730"</f>
        <v>600730</v>
      </c>
      <c r="C3280" t="s">
        <v>6907</v>
      </c>
      <c r="D3280" t="s">
        <v>2954</v>
      </c>
      <c r="E3280">
        <v>2201135991</v>
      </c>
      <c r="F3280">
        <v>2302042378</v>
      </c>
      <c r="G3280">
        <v>2236306420</v>
      </c>
      <c r="H3280">
        <v>3168452428</v>
      </c>
      <c r="I3280">
        <v>3806818805</v>
      </c>
      <c r="J3280">
        <v>3970850607</v>
      </c>
      <c r="K3280">
        <v>2847332563</v>
      </c>
      <c r="L3280">
        <v>2715822368</v>
      </c>
      <c r="M3280">
        <v>2878953864</v>
      </c>
      <c r="N3280">
        <v>1921397068</v>
      </c>
      <c r="O3280">
        <v>1432845759</v>
      </c>
      <c r="P3280">
        <v>99</v>
      </c>
      <c r="Q3280" t="s">
        <v>6908</v>
      </c>
    </row>
    <row r="3281" spans="1:17" x14ac:dyDescent="0.3">
      <c r="A3281" t="s">
        <v>17</v>
      </c>
      <c r="B3281" t="str">
        <f>"603006"</f>
        <v>603006</v>
      </c>
      <c r="C3281" t="s">
        <v>6909</v>
      </c>
      <c r="D3281" t="s">
        <v>1815</v>
      </c>
      <c r="E3281">
        <v>2200319416</v>
      </c>
      <c r="F3281">
        <v>1902090219</v>
      </c>
      <c r="G3281">
        <v>2011120267</v>
      </c>
      <c r="H3281">
        <v>2038542445</v>
      </c>
      <c r="I3281">
        <v>1652051032</v>
      </c>
      <c r="J3281">
        <v>1129162661</v>
      </c>
      <c r="K3281">
        <v>1041183362</v>
      </c>
      <c r="L3281">
        <v>747186993</v>
      </c>
      <c r="M3281">
        <v>506396933</v>
      </c>
      <c r="P3281">
        <v>106</v>
      </c>
      <c r="Q3281" t="s">
        <v>6910</v>
      </c>
    </row>
    <row r="3282" spans="1:17" x14ac:dyDescent="0.3">
      <c r="A3282" t="s">
        <v>47</v>
      </c>
      <c r="B3282" t="str">
        <f>"300658"</f>
        <v>300658</v>
      </c>
      <c r="C3282" t="s">
        <v>6911</v>
      </c>
      <c r="D3282" t="s">
        <v>2299</v>
      </c>
      <c r="E3282">
        <v>2198870268</v>
      </c>
      <c r="F3282">
        <v>2000624097</v>
      </c>
      <c r="G3282">
        <v>1676159532</v>
      </c>
      <c r="H3282">
        <v>1257202836</v>
      </c>
      <c r="I3282">
        <v>1056249169</v>
      </c>
      <c r="J3282">
        <v>561429726</v>
      </c>
      <c r="P3282">
        <v>232</v>
      </c>
      <c r="Q3282" t="s">
        <v>6912</v>
      </c>
    </row>
    <row r="3283" spans="1:17" x14ac:dyDescent="0.3">
      <c r="A3283" t="s">
        <v>17</v>
      </c>
      <c r="B3283" t="str">
        <f>"605337"</f>
        <v>605337</v>
      </c>
      <c r="C3283" t="s">
        <v>6913</v>
      </c>
      <c r="D3283" t="s">
        <v>2157</v>
      </c>
      <c r="E3283">
        <v>2198841420</v>
      </c>
      <c r="F3283">
        <v>1882239439</v>
      </c>
      <c r="P3283">
        <v>146</v>
      </c>
      <c r="Q3283" t="s">
        <v>6914</v>
      </c>
    </row>
    <row r="3284" spans="1:17" x14ac:dyDescent="0.3">
      <c r="A3284" t="s">
        <v>47</v>
      </c>
      <c r="B3284" t="str">
        <f>"300543"</f>
        <v>300543</v>
      </c>
      <c r="C3284" t="s">
        <v>6915</v>
      </c>
      <c r="D3284" t="s">
        <v>283</v>
      </c>
      <c r="E3284">
        <v>2195251580</v>
      </c>
      <c r="F3284">
        <v>2188513478</v>
      </c>
      <c r="G3284">
        <v>1197538876</v>
      </c>
      <c r="H3284">
        <v>983421401</v>
      </c>
      <c r="I3284">
        <v>1063673254</v>
      </c>
      <c r="J3284">
        <v>926306157</v>
      </c>
      <c r="P3284">
        <v>152</v>
      </c>
      <c r="Q3284" t="s">
        <v>6916</v>
      </c>
    </row>
    <row r="3285" spans="1:17" x14ac:dyDescent="0.3">
      <c r="A3285" t="s">
        <v>47</v>
      </c>
      <c r="B3285" t="str">
        <f>"300364"</f>
        <v>300364</v>
      </c>
      <c r="C3285" t="s">
        <v>6917</v>
      </c>
      <c r="D3285" t="s">
        <v>1288</v>
      </c>
      <c r="E3285">
        <v>2195185060</v>
      </c>
      <c r="F3285">
        <v>1986633004</v>
      </c>
      <c r="G3285">
        <v>1768299128</v>
      </c>
      <c r="H3285">
        <v>2570445770</v>
      </c>
      <c r="I3285">
        <v>2909453724</v>
      </c>
      <c r="J3285">
        <v>2815022186</v>
      </c>
      <c r="K3285">
        <v>834622825</v>
      </c>
      <c r="L3285">
        <v>573166403</v>
      </c>
      <c r="P3285">
        <v>153</v>
      </c>
      <c r="Q3285" t="s">
        <v>6918</v>
      </c>
    </row>
    <row r="3286" spans="1:17" x14ac:dyDescent="0.3">
      <c r="A3286" t="s">
        <v>47</v>
      </c>
      <c r="B3286" t="str">
        <f>"002723"</f>
        <v>002723</v>
      </c>
      <c r="C3286" t="s">
        <v>6919</v>
      </c>
      <c r="D3286" t="s">
        <v>2170</v>
      </c>
      <c r="E3286">
        <v>2194768747</v>
      </c>
      <c r="F3286">
        <v>1533227790</v>
      </c>
      <c r="G3286">
        <v>1200811373</v>
      </c>
      <c r="H3286">
        <v>1020936610</v>
      </c>
      <c r="I3286">
        <v>1056847391</v>
      </c>
      <c r="J3286">
        <v>1100735208</v>
      </c>
      <c r="K3286">
        <v>1026283139</v>
      </c>
      <c r="L3286">
        <v>853119445</v>
      </c>
      <c r="M3286">
        <v>739201252</v>
      </c>
      <c r="P3286">
        <v>92</v>
      </c>
      <c r="Q3286" t="s">
        <v>6920</v>
      </c>
    </row>
    <row r="3287" spans="1:17" x14ac:dyDescent="0.3">
      <c r="A3287" t="s">
        <v>17</v>
      </c>
      <c r="B3287" t="str">
        <f>"603324"</f>
        <v>603324</v>
      </c>
      <c r="C3287" t="s">
        <v>6921</v>
      </c>
      <c r="D3287" t="s">
        <v>1347</v>
      </c>
      <c r="E3287">
        <v>2194522526</v>
      </c>
      <c r="F3287">
        <v>1839202773</v>
      </c>
      <c r="P3287">
        <v>29</v>
      </c>
      <c r="Q3287" t="s">
        <v>6922</v>
      </c>
    </row>
    <row r="3288" spans="1:17" x14ac:dyDescent="0.3">
      <c r="A3288" t="s">
        <v>17</v>
      </c>
      <c r="B3288" t="str">
        <f>"603505"</f>
        <v>603505</v>
      </c>
      <c r="C3288" t="s">
        <v>6923</v>
      </c>
      <c r="D3288" t="s">
        <v>1796</v>
      </c>
      <c r="E3288">
        <v>2194465157</v>
      </c>
      <c r="F3288">
        <v>1974622639</v>
      </c>
      <c r="G3288">
        <v>1708287451</v>
      </c>
      <c r="H3288">
        <v>1558557640</v>
      </c>
      <c r="I3288">
        <v>1334122335</v>
      </c>
      <c r="J3288">
        <v>986810075</v>
      </c>
      <c r="P3288">
        <v>325</v>
      </c>
      <c r="Q3288" t="s">
        <v>6924</v>
      </c>
    </row>
    <row r="3289" spans="1:17" x14ac:dyDescent="0.3">
      <c r="A3289" t="s">
        <v>47</v>
      </c>
      <c r="B3289" t="str">
        <f>"301190"</f>
        <v>301190</v>
      </c>
      <c r="C3289" t="s">
        <v>6925</v>
      </c>
      <c r="D3289" t="s">
        <v>703</v>
      </c>
      <c r="E3289">
        <v>2192653909</v>
      </c>
      <c r="P3289">
        <v>11</v>
      </c>
      <c r="Q3289" t="s">
        <v>6926</v>
      </c>
    </row>
    <row r="3290" spans="1:17" x14ac:dyDescent="0.3">
      <c r="A3290" t="s">
        <v>47</v>
      </c>
      <c r="B3290" t="str">
        <f>"300603"</f>
        <v>300603</v>
      </c>
      <c r="C3290" t="s">
        <v>6927</v>
      </c>
      <c r="D3290" t="s">
        <v>3761</v>
      </c>
      <c r="E3290">
        <v>2191496088</v>
      </c>
      <c r="F3290">
        <v>2688950083</v>
      </c>
      <c r="G3290">
        <v>3657640851</v>
      </c>
      <c r="H3290">
        <v>3301652014</v>
      </c>
      <c r="I3290">
        <v>1344852351</v>
      </c>
      <c r="J3290">
        <v>731149304</v>
      </c>
      <c r="P3290">
        <v>196</v>
      </c>
      <c r="Q3290" t="s">
        <v>6928</v>
      </c>
    </row>
    <row r="3291" spans="1:17" x14ac:dyDescent="0.3">
      <c r="A3291" t="s">
        <v>47</v>
      </c>
      <c r="B3291" t="str">
        <f>"002963"</f>
        <v>002963</v>
      </c>
      <c r="C3291" t="s">
        <v>6929</v>
      </c>
      <c r="D3291" t="s">
        <v>1163</v>
      </c>
      <c r="E3291">
        <v>2189946335</v>
      </c>
      <c r="F3291">
        <v>2164069151</v>
      </c>
      <c r="G3291">
        <v>2081844505</v>
      </c>
      <c r="P3291">
        <v>75</v>
      </c>
      <c r="Q3291" t="s">
        <v>6930</v>
      </c>
    </row>
    <row r="3292" spans="1:17" x14ac:dyDescent="0.3">
      <c r="A3292" t="s">
        <v>47</v>
      </c>
      <c r="B3292" t="str">
        <f>"000593"</f>
        <v>000593</v>
      </c>
      <c r="C3292" t="s">
        <v>6931</v>
      </c>
      <c r="D3292" t="s">
        <v>476</v>
      </c>
      <c r="E3292">
        <v>2188916176</v>
      </c>
      <c r="F3292">
        <v>2141433559</v>
      </c>
      <c r="G3292">
        <v>2018286582</v>
      </c>
      <c r="H3292">
        <v>1687462098</v>
      </c>
      <c r="I3292">
        <v>1688007853</v>
      </c>
      <c r="J3292">
        <v>1563286934</v>
      </c>
      <c r="K3292">
        <v>779813939</v>
      </c>
      <c r="L3292">
        <v>759802638</v>
      </c>
      <c r="M3292">
        <v>819492105</v>
      </c>
      <c r="N3292">
        <v>585067410</v>
      </c>
      <c r="O3292">
        <v>597361772</v>
      </c>
      <c r="P3292">
        <v>80</v>
      </c>
      <c r="Q3292" t="s">
        <v>6932</v>
      </c>
    </row>
    <row r="3293" spans="1:17" x14ac:dyDescent="0.3">
      <c r="A3293" t="s">
        <v>47</v>
      </c>
      <c r="B3293" t="str">
        <f>"300820"</f>
        <v>300820</v>
      </c>
      <c r="C3293" t="s">
        <v>6933</v>
      </c>
      <c r="D3293" t="s">
        <v>2256</v>
      </c>
      <c r="E3293">
        <v>2187971070</v>
      </c>
      <c r="F3293">
        <v>1545288432</v>
      </c>
      <c r="G3293">
        <v>1251757821</v>
      </c>
      <c r="P3293">
        <v>369</v>
      </c>
      <c r="Q3293" t="s">
        <v>6934</v>
      </c>
    </row>
    <row r="3294" spans="1:17" x14ac:dyDescent="0.3">
      <c r="A3294" t="s">
        <v>17</v>
      </c>
      <c r="B3294" t="str">
        <f>"603309"</f>
        <v>603309</v>
      </c>
      <c r="C3294" t="s">
        <v>6935</v>
      </c>
      <c r="D3294" t="s">
        <v>1650</v>
      </c>
      <c r="E3294">
        <v>2187917783</v>
      </c>
      <c r="F3294">
        <v>1513632120</v>
      </c>
      <c r="G3294">
        <v>1446798214</v>
      </c>
      <c r="H3294">
        <v>1390496065</v>
      </c>
      <c r="I3294">
        <v>1004702159</v>
      </c>
      <c r="J3294">
        <v>972253548</v>
      </c>
      <c r="K3294">
        <v>876101184</v>
      </c>
      <c r="L3294">
        <v>826388224</v>
      </c>
      <c r="P3294">
        <v>147</v>
      </c>
      <c r="Q3294" t="s">
        <v>6936</v>
      </c>
    </row>
    <row r="3295" spans="1:17" x14ac:dyDescent="0.3">
      <c r="A3295" t="s">
        <v>17</v>
      </c>
      <c r="B3295" t="str">
        <f>"603326"</f>
        <v>603326</v>
      </c>
      <c r="C3295" t="s">
        <v>6937</v>
      </c>
      <c r="D3295" t="s">
        <v>1505</v>
      </c>
      <c r="E3295">
        <v>2184483049</v>
      </c>
      <c r="F3295">
        <v>2003049769</v>
      </c>
      <c r="G3295">
        <v>1453885632</v>
      </c>
      <c r="H3295">
        <v>1206449467</v>
      </c>
      <c r="I3295">
        <v>1046966225</v>
      </c>
      <c r="J3295">
        <v>501338176</v>
      </c>
      <c r="P3295">
        <v>247</v>
      </c>
      <c r="Q3295" t="s">
        <v>6938</v>
      </c>
    </row>
    <row r="3296" spans="1:17" x14ac:dyDescent="0.3">
      <c r="A3296" t="s">
        <v>17</v>
      </c>
      <c r="B3296" t="str">
        <f>"688181"</f>
        <v>688181</v>
      </c>
      <c r="C3296" t="s">
        <v>6939</v>
      </c>
      <c r="D3296" t="s">
        <v>181</v>
      </c>
      <c r="E3296">
        <v>2184093685</v>
      </c>
      <c r="F3296">
        <v>2027241652</v>
      </c>
      <c r="G3296">
        <v>1734372641</v>
      </c>
      <c r="P3296">
        <v>108</v>
      </c>
      <c r="Q3296" t="s">
        <v>6940</v>
      </c>
    </row>
    <row r="3297" spans="1:17" x14ac:dyDescent="0.3">
      <c r="A3297" t="s">
        <v>47</v>
      </c>
      <c r="B3297" t="str">
        <f>"300846"</f>
        <v>300846</v>
      </c>
      <c r="C3297" t="s">
        <v>6941</v>
      </c>
      <c r="D3297" t="s">
        <v>700</v>
      </c>
      <c r="E3297">
        <v>2181310200</v>
      </c>
      <c r="F3297">
        <v>1272235900</v>
      </c>
      <c r="G3297">
        <v>834663343</v>
      </c>
      <c r="I3297">
        <v>646316360</v>
      </c>
      <c r="P3297">
        <v>78</v>
      </c>
      <c r="Q3297" t="s">
        <v>6942</v>
      </c>
    </row>
    <row r="3298" spans="1:17" x14ac:dyDescent="0.3">
      <c r="A3298" t="s">
        <v>47</v>
      </c>
      <c r="B3298" t="str">
        <f>"300507"</f>
        <v>300507</v>
      </c>
      <c r="C3298" t="s">
        <v>6943</v>
      </c>
      <c r="D3298" t="s">
        <v>274</v>
      </c>
      <c r="E3298">
        <v>2181066168</v>
      </c>
      <c r="F3298">
        <v>1478471113</v>
      </c>
      <c r="G3298">
        <v>1248628145</v>
      </c>
      <c r="H3298">
        <v>1196552048</v>
      </c>
      <c r="I3298">
        <v>1050189087</v>
      </c>
      <c r="J3298">
        <v>982536228</v>
      </c>
      <c r="K3298">
        <v>462712734</v>
      </c>
      <c r="P3298">
        <v>137</v>
      </c>
      <c r="Q3298" t="s">
        <v>6944</v>
      </c>
    </row>
    <row r="3299" spans="1:17" x14ac:dyDescent="0.3">
      <c r="A3299" t="s">
        <v>17</v>
      </c>
      <c r="B3299" t="str">
        <f>"600962"</f>
        <v>600962</v>
      </c>
      <c r="C3299" t="s">
        <v>6945</v>
      </c>
      <c r="D3299" t="s">
        <v>3368</v>
      </c>
      <c r="E3299">
        <v>2177723813</v>
      </c>
      <c r="F3299">
        <v>2114239083</v>
      </c>
      <c r="G3299">
        <v>2137704012</v>
      </c>
      <c r="H3299">
        <v>1763091539</v>
      </c>
      <c r="I3299">
        <v>1552852543</v>
      </c>
      <c r="J3299">
        <v>1616974091</v>
      </c>
      <c r="K3299">
        <v>1670289941</v>
      </c>
      <c r="L3299">
        <v>1933381414</v>
      </c>
      <c r="M3299">
        <v>2219371364</v>
      </c>
      <c r="N3299">
        <v>2325666974</v>
      </c>
      <c r="O3299">
        <v>1883730358</v>
      </c>
      <c r="P3299">
        <v>94</v>
      </c>
      <c r="Q3299" t="s">
        <v>6946</v>
      </c>
    </row>
    <row r="3300" spans="1:17" x14ac:dyDescent="0.3">
      <c r="A3300" t="s">
        <v>47</v>
      </c>
      <c r="B3300" t="str">
        <f>"300239"</f>
        <v>300239</v>
      </c>
      <c r="C3300" t="s">
        <v>6947</v>
      </c>
      <c r="D3300" t="s">
        <v>1480</v>
      </c>
      <c r="E3300">
        <v>2173300922</v>
      </c>
      <c r="F3300">
        <v>1425806725</v>
      </c>
      <c r="G3300">
        <v>1339475006</v>
      </c>
      <c r="H3300">
        <v>1392384929</v>
      </c>
      <c r="I3300">
        <v>1023087626</v>
      </c>
      <c r="J3300">
        <v>827466932</v>
      </c>
      <c r="K3300">
        <v>769495404</v>
      </c>
      <c r="L3300">
        <v>535373244</v>
      </c>
      <c r="M3300">
        <v>525445812</v>
      </c>
      <c r="N3300">
        <v>493761934</v>
      </c>
      <c r="O3300">
        <v>378311436</v>
      </c>
      <c r="P3300">
        <v>107</v>
      </c>
      <c r="Q3300" t="s">
        <v>6948</v>
      </c>
    </row>
    <row r="3301" spans="1:17" x14ac:dyDescent="0.3">
      <c r="A3301" t="s">
        <v>47</v>
      </c>
      <c r="B3301" t="str">
        <f>"300101"</f>
        <v>300101</v>
      </c>
      <c r="C3301" t="s">
        <v>6949</v>
      </c>
      <c r="D3301" t="s">
        <v>1385</v>
      </c>
      <c r="E3301">
        <v>2172253236</v>
      </c>
      <c r="F3301">
        <v>1993770911</v>
      </c>
      <c r="G3301">
        <v>1620821333</v>
      </c>
      <c r="H3301">
        <v>1476235869</v>
      </c>
      <c r="I3301">
        <v>1455264584</v>
      </c>
      <c r="J3301">
        <v>1134013539</v>
      </c>
      <c r="K3301">
        <v>1192183204</v>
      </c>
      <c r="L3301">
        <v>1090124666</v>
      </c>
      <c r="M3301">
        <v>949470954</v>
      </c>
      <c r="N3301">
        <v>913749391</v>
      </c>
      <c r="O3301">
        <v>855738374</v>
      </c>
      <c r="P3301">
        <v>3120</v>
      </c>
      <c r="Q3301" t="s">
        <v>6950</v>
      </c>
    </row>
    <row r="3302" spans="1:17" x14ac:dyDescent="0.3">
      <c r="A3302" t="s">
        <v>47</v>
      </c>
      <c r="B3302" t="str">
        <f>"002587"</f>
        <v>002587</v>
      </c>
      <c r="C3302" t="s">
        <v>6951</v>
      </c>
      <c r="D3302" t="s">
        <v>862</v>
      </c>
      <c r="E3302">
        <v>2172028711</v>
      </c>
      <c r="F3302">
        <v>2188775933</v>
      </c>
      <c r="G3302">
        <v>2325449775</v>
      </c>
      <c r="H3302">
        <v>2281830705</v>
      </c>
      <c r="I3302">
        <v>1908987924</v>
      </c>
      <c r="J3302">
        <v>1336207285</v>
      </c>
      <c r="K3302">
        <v>704153298</v>
      </c>
      <c r="L3302">
        <v>723866119</v>
      </c>
      <c r="M3302">
        <v>684665808</v>
      </c>
      <c r="N3302">
        <v>641867730</v>
      </c>
      <c r="O3302">
        <v>573006842</v>
      </c>
      <c r="P3302">
        <v>142</v>
      </c>
      <c r="Q3302" t="s">
        <v>6952</v>
      </c>
    </row>
    <row r="3303" spans="1:17" x14ac:dyDescent="0.3">
      <c r="A3303" t="s">
        <v>17</v>
      </c>
      <c r="B3303" t="str">
        <f>"603078"</f>
        <v>603078</v>
      </c>
      <c r="C3303" t="s">
        <v>6953</v>
      </c>
      <c r="D3303" t="s">
        <v>3050</v>
      </c>
      <c r="E3303">
        <v>2168617971</v>
      </c>
      <c r="F3303">
        <v>2028573462</v>
      </c>
      <c r="G3303">
        <v>1398525517</v>
      </c>
      <c r="H3303">
        <v>1045831155</v>
      </c>
      <c r="I3303">
        <v>920444503</v>
      </c>
      <c r="J3303">
        <v>868585261</v>
      </c>
      <c r="P3303">
        <v>226</v>
      </c>
      <c r="Q3303" t="s">
        <v>6954</v>
      </c>
    </row>
    <row r="3304" spans="1:17" x14ac:dyDescent="0.3">
      <c r="A3304" t="s">
        <v>47</v>
      </c>
      <c r="B3304" t="str">
        <f>"002970"</f>
        <v>002970</v>
      </c>
      <c r="C3304" t="s">
        <v>6955</v>
      </c>
      <c r="D3304" t="s">
        <v>765</v>
      </c>
      <c r="E3304">
        <v>2167687221</v>
      </c>
      <c r="F3304">
        <v>2215777490</v>
      </c>
      <c r="G3304">
        <v>2015769216</v>
      </c>
      <c r="P3304">
        <v>563</v>
      </c>
      <c r="Q3304" t="s">
        <v>6956</v>
      </c>
    </row>
    <row r="3305" spans="1:17" x14ac:dyDescent="0.3">
      <c r="A3305" t="s">
        <v>47</v>
      </c>
      <c r="B3305" t="str">
        <f>"002880"</f>
        <v>002880</v>
      </c>
      <c r="C3305" t="s">
        <v>6957</v>
      </c>
      <c r="D3305" t="s">
        <v>1393</v>
      </c>
      <c r="E3305">
        <v>2167363376</v>
      </c>
      <c r="F3305">
        <v>1772137251</v>
      </c>
      <c r="G3305">
        <v>1852357209</v>
      </c>
      <c r="H3305">
        <v>1432109270</v>
      </c>
      <c r="I3305">
        <v>1411287595</v>
      </c>
      <c r="P3305">
        <v>214</v>
      </c>
      <c r="Q3305" t="s">
        <v>6958</v>
      </c>
    </row>
    <row r="3306" spans="1:17" x14ac:dyDescent="0.3">
      <c r="A3306" t="s">
        <v>47</v>
      </c>
      <c r="B3306" t="str">
        <f>"300883"</f>
        <v>300883</v>
      </c>
      <c r="C3306" t="s">
        <v>6959</v>
      </c>
      <c r="D3306" t="s">
        <v>1842</v>
      </c>
      <c r="E3306">
        <v>2167361905</v>
      </c>
      <c r="F3306">
        <v>1799425368</v>
      </c>
      <c r="P3306">
        <v>37</v>
      </c>
      <c r="Q3306" t="s">
        <v>6960</v>
      </c>
    </row>
    <row r="3307" spans="1:17" x14ac:dyDescent="0.3">
      <c r="A3307" t="s">
        <v>47</v>
      </c>
      <c r="B3307" t="str">
        <f>"300293"</f>
        <v>300293</v>
      </c>
      <c r="C3307" t="s">
        <v>6961</v>
      </c>
      <c r="D3307" t="s">
        <v>1973</v>
      </c>
      <c r="E3307">
        <v>2164182656</v>
      </c>
      <c r="F3307">
        <v>2181262410</v>
      </c>
      <c r="G3307">
        <v>2368321994</v>
      </c>
      <c r="H3307">
        <v>2323173308</v>
      </c>
      <c r="I3307">
        <v>2403942564</v>
      </c>
      <c r="J3307">
        <v>1818505677</v>
      </c>
      <c r="K3307">
        <v>1782752732</v>
      </c>
      <c r="L3307">
        <v>2220045380</v>
      </c>
      <c r="M3307">
        <v>1712350316</v>
      </c>
      <c r="N3307">
        <v>1429126695</v>
      </c>
      <c r="O3307">
        <v>717868665</v>
      </c>
      <c r="P3307">
        <v>112</v>
      </c>
      <c r="Q3307" t="s">
        <v>6962</v>
      </c>
    </row>
    <row r="3308" spans="1:17" x14ac:dyDescent="0.3">
      <c r="A3308" t="s">
        <v>17</v>
      </c>
      <c r="B3308" t="str">
        <f>"688230"</f>
        <v>688230</v>
      </c>
      <c r="C3308" t="s">
        <v>6963</v>
      </c>
      <c r="D3308" t="s">
        <v>2213</v>
      </c>
      <c r="E3308">
        <v>2164108765</v>
      </c>
      <c r="P3308">
        <v>24</v>
      </c>
      <c r="Q3308" t="s">
        <v>6964</v>
      </c>
    </row>
    <row r="3309" spans="1:17" x14ac:dyDescent="0.3">
      <c r="A3309" t="s">
        <v>47</v>
      </c>
      <c r="B3309" t="str">
        <f>"002847"</f>
        <v>002847</v>
      </c>
      <c r="C3309" t="s">
        <v>6965</v>
      </c>
      <c r="D3309" t="s">
        <v>3331</v>
      </c>
      <c r="E3309">
        <v>2162689180</v>
      </c>
      <c r="F3309">
        <v>2089465446</v>
      </c>
      <c r="G3309">
        <v>1843400628</v>
      </c>
      <c r="H3309">
        <v>1270661662</v>
      </c>
      <c r="I3309">
        <v>1034825390</v>
      </c>
      <c r="J3309">
        <v>793895045</v>
      </c>
      <c r="P3309">
        <v>742</v>
      </c>
      <c r="Q3309" t="s">
        <v>6966</v>
      </c>
    </row>
    <row r="3310" spans="1:17" x14ac:dyDescent="0.3">
      <c r="A3310" t="s">
        <v>47</v>
      </c>
      <c r="B3310" t="str">
        <f>"002501"</f>
        <v>002501</v>
      </c>
      <c r="C3310" t="s">
        <v>6967</v>
      </c>
      <c r="D3310" t="s">
        <v>346</v>
      </c>
      <c r="E3310">
        <v>2159359305</v>
      </c>
      <c r="F3310">
        <v>3203175290</v>
      </c>
      <c r="G3310">
        <v>2922908420</v>
      </c>
      <c r="H3310">
        <v>12051388479</v>
      </c>
      <c r="I3310">
        <v>16592693180</v>
      </c>
      <c r="J3310">
        <v>14540052244</v>
      </c>
      <c r="K3310">
        <v>8894107776</v>
      </c>
      <c r="L3310">
        <v>6921071939</v>
      </c>
      <c r="M3310">
        <v>4847519766</v>
      </c>
      <c r="N3310">
        <v>4129648526</v>
      </c>
      <c r="O3310">
        <v>2267489649</v>
      </c>
      <c r="P3310">
        <v>107</v>
      </c>
      <c r="Q3310" t="s">
        <v>6968</v>
      </c>
    </row>
    <row r="3311" spans="1:17" x14ac:dyDescent="0.3">
      <c r="A3311" t="s">
        <v>47</v>
      </c>
      <c r="B3311" t="str">
        <f>"300506"</f>
        <v>300506</v>
      </c>
      <c r="C3311" t="s">
        <v>6969</v>
      </c>
      <c r="D3311" t="s">
        <v>1163</v>
      </c>
      <c r="E3311">
        <v>2158333817</v>
      </c>
      <c r="F3311">
        <v>2970985703</v>
      </c>
      <c r="G3311">
        <v>3858903661</v>
      </c>
      <c r="H3311">
        <v>3472549261</v>
      </c>
      <c r="I3311">
        <v>1735065356</v>
      </c>
      <c r="J3311">
        <v>1066512840</v>
      </c>
      <c r="K3311">
        <v>832524064</v>
      </c>
      <c r="P3311">
        <v>294</v>
      </c>
      <c r="Q3311" t="s">
        <v>6970</v>
      </c>
    </row>
    <row r="3312" spans="1:17" x14ac:dyDescent="0.3">
      <c r="A3312" t="s">
        <v>17</v>
      </c>
      <c r="B3312" t="str">
        <f>"688076"</f>
        <v>688076</v>
      </c>
      <c r="C3312" t="s">
        <v>6971</v>
      </c>
      <c r="D3312" t="s">
        <v>777</v>
      </c>
      <c r="E3312">
        <v>2157126665</v>
      </c>
      <c r="F3312">
        <v>1390543767</v>
      </c>
      <c r="P3312">
        <v>53</v>
      </c>
      <c r="Q3312" t="s">
        <v>6972</v>
      </c>
    </row>
    <row r="3313" spans="1:17" x14ac:dyDescent="0.3">
      <c r="A3313" t="s">
        <v>17</v>
      </c>
      <c r="B3313" t="str">
        <f>"600235"</f>
        <v>600235</v>
      </c>
      <c r="C3313" t="s">
        <v>6973</v>
      </c>
      <c r="D3313" t="s">
        <v>2612</v>
      </c>
      <c r="E3313">
        <v>2156747841</v>
      </c>
      <c r="F3313">
        <v>2259782449</v>
      </c>
      <c r="G3313">
        <v>2194301049</v>
      </c>
      <c r="H3313">
        <v>2232940812</v>
      </c>
      <c r="I3313">
        <v>2171645503</v>
      </c>
      <c r="J3313">
        <v>2302668200</v>
      </c>
      <c r="K3313">
        <v>2514207126</v>
      </c>
      <c r="L3313">
        <v>2543203287</v>
      </c>
      <c r="M3313">
        <v>2237900385</v>
      </c>
      <c r="N3313">
        <v>2510724711</v>
      </c>
      <c r="O3313">
        <v>2095045827</v>
      </c>
      <c r="P3313">
        <v>71</v>
      </c>
      <c r="Q3313" t="s">
        <v>6974</v>
      </c>
    </row>
    <row r="3314" spans="1:17" x14ac:dyDescent="0.3">
      <c r="A3314" t="s">
        <v>17</v>
      </c>
      <c r="B3314" t="str">
        <f>"600605"</f>
        <v>600605</v>
      </c>
      <c r="C3314" t="s">
        <v>6975</v>
      </c>
      <c r="D3314" t="s">
        <v>454</v>
      </c>
      <c r="E3314">
        <v>2155112177</v>
      </c>
      <c r="F3314">
        <v>1537887986</v>
      </c>
      <c r="G3314">
        <v>775662989</v>
      </c>
      <c r="H3314">
        <v>1092535043</v>
      </c>
      <c r="I3314">
        <v>1240132386</v>
      </c>
      <c r="J3314">
        <v>1236890761</v>
      </c>
      <c r="K3314">
        <v>1270328243</v>
      </c>
      <c r="L3314">
        <v>1004855773</v>
      </c>
      <c r="M3314">
        <v>894268496</v>
      </c>
      <c r="N3314">
        <v>799122982</v>
      </c>
      <c r="O3314">
        <v>823757030</v>
      </c>
      <c r="P3314">
        <v>71</v>
      </c>
      <c r="Q3314" t="s">
        <v>6976</v>
      </c>
    </row>
    <row r="3315" spans="1:17" x14ac:dyDescent="0.3">
      <c r="A3315" t="s">
        <v>17</v>
      </c>
      <c r="B3315" t="str">
        <f>"688626"</f>
        <v>688626</v>
      </c>
      <c r="C3315" t="s">
        <v>6977</v>
      </c>
      <c r="D3315" t="s">
        <v>1083</v>
      </c>
      <c r="E3315">
        <v>2154381313</v>
      </c>
      <c r="F3315">
        <v>2026034977</v>
      </c>
      <c r="P3315">
        <v>82</v>
      </c>
      <c r="Q3315" t="s">
        <v>6978</v>
      </c>
    </row>
    <row r="3316" spans="1:17" x14ac:dyDescent="0.3">
      <c r="A3316" t="s">
        <v>47</v>
      </c>
      <c r="B3316" t="str">
        <f>"002105"</f>
        <v>002105</v>
      </c>
      <c r="C3316" t="s">
        <v>6979</v>
      </c>
      <c r="D3316" t="s">
        <v>2210</v>
      </c>
      <c r="E3316">
        <v>2153063155</v>
      </c>
      <c r="F3316">
        <v>1903756096</v>
      </c>
      <c r="G3316">
        <v>1544151315</v>
      </c>
      <c r="H3316">
        <v>1548547451</v>
      </c>
      <c r="I3316">
        <v>1396146830</v>
      </c>
      <c r="J3316">
        <v>1454708819</v>
      </c>
      <c r="K3316">
        <v>1271255222</v>
      </c>
      <c r="L3316">
        <v>1387598848</v>
      </c>
      <c r="M3316">
        <v>1379564631</v>
      </c>
      <c r="N3316">
        <v>1393918848</v>
      </c>
      <c r="O3316">
        <v>1387846616</v>
      </c>
      <c r="P3316">
        <v>217</v>
      </c>
      <c r="Q3316" t="s">
        <v>6980</v>
      </c>
    </row>
    <row r="3317" spans="1:17" x14ac:dyDescent="0.3">
      <c r="A3317" t="s">
        <v>47</v>
      </c>
      <c r="B3317" t="str">
        <f>"300154"</f>
        <v>300154</v>
      </c>
      <c r="C3317" t="s">
        <v>6981</v>
      </c>
      <c r="D3317" t="s">
        <v>1433</v>
      </c>
      <c r="E3317">
        <v>2150305462</v>
      </c>
      <c r="F3317">
        <v>2120277868</v>
      </c>
      <c r="G3317">
        <v>1942876965</v>
      </c>
      <c r="H3317">
        <v>1899207462</v>
      </c>
      <c r="I3317">
        <v>1876661885</v>
      </c>
      <c r="J3317">
        <v>1856976894</v>
      </c>
      <c r="K3317">
        <v>1711371095</v>
      </c>
      <c r="L3317">
        <v>1766300848</v>
      </c>
      <c r="M3317">
        <v>1722587655</v>
      </c>
      <c r="N3317">
        <v>1612079677</v>
      </c>
      <c r="O3317">
        <v>1593686188</v>
      </c>
      <c r="P3317">
        <v>82</v>
      </c>
      <c r="Q3317" t="s">
        <v>6982</v>
      </c>
    </row>
    <row r="3318" spans="1:17" x14ac:dyDescent="0.3">
      <c r="A3318" t="s">
        <v>47</v>
      </c>
      <c r="B3318" t="str">
        <f>"300343"</f>
        <v>300343</v>
      </c>
      <c r="C3318" t="s">
        <v>6983</v>
      </c>
      <c r="D3318" t="s">
        <v>1824</v>
      </c>
      <c r="E3318">
        <v>2149151139</v>
      </c>
      <c r="F3318">
        <v>2035890086</v>
      </c>
      <c r="G3318">
        <v>3267708486</v>
      </c>
      <c r="H3318">
        <v>5076789371</v>
      </c>
      <c r="I3318">
        <v>5921596954</v>
      </c>
      <c r="J3318">
        <v>4863603361</v>
      </c>
      <c r="K3318">
        <v>4615971040</v>
      </c>
      <c r="L3318">
        <v>922499041</v>
      </c>
      <c r="M3318">
        <v>850257454</v>
      </c>
      <c r="N3318">
        <v>569543504</v>
      </c>
      <c r="P3318">
        <v>155</v>
      </c>
      <c r="Q3318" t="s">
        <v>6984</v>
      </c>
    </row>
    <row r="3319" spans="1:17" x14ac:dyDescent="0.3">
      <c r="A3319" t="s">
        <v>17</v>
      </c>
      <c r="B3319" t="str">
        <f>"688687"</f>
        <v>688687</v>
      </c>
      <c r="C3319" t="s">
        <v>6985</v>
      </c>
      <c r="D3319" t="s">
        <v>1480</v>
      </c>
      <c r="E3319">
        <v>2147167996</v>
      </c>
      <c r="F3319">
        <v>1903141539</v>
      </c>
      <c r="G3319">
        <v>1019993000</v>
      </c>
      <c r="H3319">
        <v>1052515200</v>
      </c>
      <c r="P3319">
        <v>41</v>
      </c>
      <c r="Q3319" t="s">
        <v>6986</v>
      </c>
    </row>
    <row r="3320" spans="1:17" x14ac:dyDescent="0.3">
      <c r="A3320" t="s">
        <v>47</v>
      </c>
      <c r="B3320" t="str">
        <f>"300541"</f>
        <v>300541</v>
      </c>
      <c r="C3320" t="s">
        <v>6987</v>
      </c>
      <c r="D3320" t="s">
        <v>700</v>
      </c>
      <c r="E3320">
        <v>2146018501</v>
      </c>
      <c r="F3320">
        <v>2597261809</v>
      </c>
      <c r="G3320">
        <v>1569280015</v>
      </c>
      <c r="H3320">
        <v>1582005427</v>
      </c>
      <c r="I3320">
        <v>1206205513</v>
      </c>
      <c r="J3320">
        <v>1106071934</v>
      </c>
      <c r="P3320">
        <v>177</v>
      </c>
      <c r="Q3320" t="s">
        <v>6988</v>
      </c>
    </row>
    <row r="3321" spans="1:17" x14ac:dyDescent="0.3">
      <c r="A3321" t="s">
        <v>17</v>
      </c>
      <c r="B3321" t="str">
        <f>"688378"</f>
        <v>688378</v>
      </c>
      <c r="C3321" t="s">
        <v>6989</v>
      </c>
      <c r="D3321" t="s">
        <v>1973</v>
      </c>
      <c r="E3321">
        <v>2145515792</v>
      </c>
      <c r="F3321">
        <v>1987084584</v>
      </c>
      <c r="P3321">
        <v>50</v>
      </c>
      <c r="Q3321" t="s">
        <v>6990</v>
      </c>
    </row>
    <row r="3322" spans="1:17" x14ac:dyDescent="0.3">
      <c r="A3322" t="s">
        <v>47</v>
      </c>
      <c r="B3322" t="str">
        <f>"000610"</f>
        <v>000610</v>
      </c>
      <c r="C3322" t="s">
        <v>6991</v>
      </c>
      <c r="D3322" t="s">
        <v>899</v>
      </c>
      <c r="E3322">
        <v>2140303599</v>
      </c>
      <c r="F3322">
        <v>1413696926</v>
      </c>
      <c r="G3322">
        <v>1319327755</v>
      </c>
      <c r="H3322">
        <v>1126657288</v>
      </c>
      <c r="I3322">
        <v>1195660991</v>
      </c>
      <c r="J3322">
        <v>1431199274</v>
      </c>
      <c r="K3322">
        <v>1261733647</v>
      </c>
      <c r="L3322">
        <v>912836481</v>
      </c>
      <c r="M3322">
        <v>594095826</v>
      </c>
      <c r="N3322">
        <v>619477762</v>
      </c>
      <c r="O3322">
        <v>710552185</v>
      </c>
      <c r="P3322">
        <v>152</v>
      </c>
      <c r="Q3322" t="s">
        <v>6992</v>
      </c>
    </row>
    <row r="3323" spans="1:17" x14ac:dyDescent="0.3">
      <c r="A3323" t="s">
        <v>47</v>
      </c>
      <c r="B3323" t="str">
        <f>"002104"</f>
        <v>002104</v>
      </c>
      <c r="C3323" t="s">
        <v>6993</v>
      </c>
      <c r="D3323" t="s">
        <v>962</v>
      </c>
      <c r="E3323">
        <v>2140066506</v>
      </c>
      <c r="F3323">
        <v>2292415980</v>
      </c>
      <c r="G3323">
        <v>2296378550</v>
      </c>
      <c r="H3323">
        <v>2281460015</v>
      </c>
      <c r="I3323">
        <v>2206960814</v>
      </c>
      <c r="J3323">
        <v>2121728114</v>
      </c>
      <c r="K3323">
        <v>1980303127</v>
      </c>
      <c r="L3323">
        <v>1655905598</v>
      </c>
      <c r="M3323">
        <v>1322833271</v>
      </c>
      <c r="N3323">
        <v>1162459181</v>
      </c>
      <c r="O3323">
        <v>941547257</v>
      </c>
      <c r="P3323">
        <v>416</v>
      </c>
      <c r="Q3323" t="s">
        <v>6994</v>
      </c>
    </row>
    <row r="3324" spans="1:17" x14ac:dyDescent="0.3">
      <c r="A3324" t="s">
        <v>47</v>
      </c>
      <c r="B3324" t="str">
        <f>"300402"</f>
        <v>300402</v>
      </c>
      <c r="C3324" t="s">
        <v>6995</v>
      </c>
      <c r="D3324" t="s">
        <v>401</v>
      </c>
      <c r="E3324">
        <v>2137609153</v>
      </c>
      <c r="F3324">
        <v>1823753412</v>
      </c>
      <c r="G3324">
        <v>1735193956</v>
      </c>
      <c r="H3324">
        <v>1611010189</v>
      </c>
      <c r="I3324">
        <v>1477032660</v>
      </c>
      <c r="J3324">
        <v>1256551194</v>
      </c>
      <c r="K3324">
        <v>1491714488</v>
      </c>
      <c r="L3324">
        <v>1531943610</v>
      </c>
      <c r="P3324">
        <v>101</v>
      </c>
      <c r="Q3324" t="s">
        <v>6996</v>
      </c>
    </row>
    <row r="3325" spans="1:17" x14ac:dyDescent="0.3">
      <c r="A3325" t="s">
        <v>17</v>
      </c>
      <c r="B3325" t="str">
        <f>"688619"</f>
        <v>688619</v>
      </c>
      <c r="C3325" t="s">
        <v>6997</v>
      </c>
      <c r="D3325" t="s">
        <v>523</v>
      </c>
      <c r="E3325">
        <v>2136301127</v>
      </c>
      <c r="F3325">
        <v>1951006954</v>
      </c>
      <c r="P3325">
        <v>31</v>
      </c>
      <c r="Q3325" t="s">
        <v>6998</v>
      </c>
    </row>
    <row r="3326" spans="1:17" x14ac:dyDescent="0.3">
      <c r="A3326" t="s">
        <v>47</v>
      </c>
      <c r="B3326" t="str">
        <f>"002774"</f>
        <v>002774</v>
      </c>
      <c r="C3326" t="s">
        <v>6999</v>
      </c>
      <c r="D3326" t="s">
        <v>1092</v>
      </c>
      <c r="E3326">
        <v>2136293982</v>
      </c>
      <c r="F3326">
        <v>1840847162</v>
      </c>
      <c r="G3326">
        <v>1572016517</v>
      </c>
      <c r="H3326">
        <v>1490630509</v>
      </c>
      <c r="I3326">
        <v>1427804545</v>
      </c>
      <c r="J3326">
        <v>1367723572</v>
      </c>
      <c r="P3326">
        <v>77</v>
      </c>
      <c r="Q3326" t="s">
        <v>7000</v>
      </c>
    </row>
    <row r="3327" spans="1:17" x14ac:dyDescent="0.3">
      <c r="A3327" t="s">
        <v>47</v>
      </c>
      <c r="B3327" t="str">
        <f>"300833"</f>
        <v>300833</v>
      </c>
      <c r="C3327" t="s">
        <v>7001</v>
      </c>
      <c r="D3327" t="s">
        <v>1973</v>
      </c>
      <c r="E3327">
        <v>2136232050</v>
      </c>
      <c r="F3327">
        <v>1868585864</v>
      </c>
      <c r="G3327">
        <v>828587664</v>
      </c>
      <c r="P3327">
        <v>89</v>
      </c>
      <c r="Q3327" t="s">
        <v>7002</v>
      </c>
    </row>
    <row r="3328" spans="1:17" x14ac:dyDescent="0.3">
      <c r="A3328" t="s">
        <v>47</v>
      </c>
      <c r="B3328" t="str">
        <f>"300424"</f>
        <v>300424</v>
      </c>
      <c r="C3328" t="s">
        <v>7003</v>
      </c>
      <c r="D3328" t="s">
        <v>570</v>
      </c>
      <c r="E3328">
        <v>2134774306</v>
      </c>
      <c r="F3328">
        <v>2096011887</v>
      </c>
      <c r="G3328">
        <v>2371948683</v>
      </c>
      <c r="H3328">
        <v>2143442354</v>
      </c>
      <c r="I3328">
        <v>1336840443</v>
      </c>
      <c r="J3328">
        <v>1045393664</v>
      </c>
      <c r="K3328">
        <v>976626957</v>
      </c>
      <c r="L3328">
        <v>793500705</v>
      </c>
      <c r="P3328">
        <v>133</v>
      </c>
      <c r="Q3328" t="s">
        <v>7004</v>
      </c>
    </row>
    <row r="3329" spans="1:17" x14ac:dyDescent="0.3">
      <c r="A3329" t="s">
        <v>47</v>
      </c>
      <c r="B3329" t="str">
        <f>"300766"</f>
        <v>300766</v>
      </c>
      <c r="C3329" t="s">
        <v>7005</v>
      </c>
      <c r="D3329" t="s">
        <v>1010</v>
      </c>
      <c r="E3329">
        <v>2132952509</v>
      </c>
      <c r="F3329">
        <v>1962203185</v>
      </c>
      <c r="G3329">
        <v>1806670113</v>
      </c>
      <c r="H3329">
        <v>1736137067</v>
      </c>
      <c r="P3329">
        <v>140</v>
      </c>
      <c r="Q3329" t="s">
        <v>7006</v>
      </c>
    </row>
    <row r="3330" spans="1:17" x14ac:dyDescent="0.3">
      <c r="A3330" t="s">
        <v>47</v>
      </c>
      <c r="B3330" t="str">
        <f>"002412"</f>
        <v>002412</v>
      </c>
      <c r="C3330" t="s">
        <v>7007</v>
      </c>
      <c r="D3330" t="s">
        <v>695</v>
      </c>
      <c r="E3330">
        <v>2132384519</v>
      </c>
      <c r="F3330">
        <v>1921371947</v>
      </c>
      <c r="G3330">
        <v>1941265528</v>
      </c>
      <c r="H3330">
        <v>1835796379</v>
      </c>
      <c r="I3330">
        <v>1734140257</v>
      </c>
      <c r="J3330">
        <v>1693925693</v>
      </c>
      <c r="K3330">
        <v>1330928571</v>
      </c>
      <c r="L3330">
        <v>1364958056</v>
      </c>
      <c r="M3330">
        <v>1331756507</v>
      </c>
      <c r="N3330">
        <v>1112026880</v>
      </c>
      <c r="O3330">
        <v>977339775</v>
      </c>
      <c r="P3330">
        <v>155</v>
      </c>
      <c r="Q3330" t="s">
        <v>7008</v>
      </c>
    </row>
    <row r="3331" spans="1:17" x14ac:dyDescent="0.3">
      <c r="A3331" t="s">
        <v>47</v>
      </c>
      <c r="B3331" t="str">
        <f>"300272"</f>
        <v>300272</v>
      </c>
      <c r="C3331" t="s">
        <v>7009</v>
      </c>
      <c r="D3331" t="s">
        <v>2285</v>
      </c>
      <c r="E3331">
        <v>2132227438</v>
      </c>
      <c r="F3331">
        <v>1905681616</v>
      </c>
      <c r="G3331">
        <v>1952951276</v>
      </c>
      <c r="H3331">
        <v>1637529095</v>
      </c>
      <c r="I3331">
        <v>1476283473</v>
      </c>
      <c r="J3331">
        <v>2507448337</v>
      </c>
      <c r="K3331">
        <v>1571546175</v>
      </c>
      <c r="L3331">
        <v>899936769</v>
      </c>
      <c r="M3331">
        <v>572103905</v>
      </c>
      <c r="N3331">
        <v>541057537</v>
      </c>
      <c r="O3331">
        <v>495280958</v>
      </c>
      <c r="P3331">
        <v>131</v>
      </c>
      <c r="Q3331" t="s">
        <v>7010</v>
      </c>
    </row>
    <row r="3332" spans="1:17" x14ac:dyDescent="0.3">
      <c r="A3332" t="s">
        <v>47</v>
      </c>
      <c r="B3332" t="str">
        <f>"300157"</f>
        <v>300157</v>
      </c>
      <c r="C3332" t="s">
        <v>7011</v>
      </c>
      <c r="D3332" t="s">
        <v>533</v>
      </c>
      <c r="E3332">
        <v>2132089115</v>
      </c>
      <c r="F3332">
        <v>3158781343</v>
      </c>
      <c r="G3332">
        <v>4561605605</v>
      </c>
      <c r="H3332">
        <v>5789779786</v>
      </c>
      <c r="I3332">
        <v>6452715813</v>
      </c>
      <c r="J3332">
        <v>5998830732</v>
      </c>
      <c r="K3332">
        <v>3793985426</v>
      </c>
      <c r="L3332">
        <v>3065434389</v>
      </c>
      <c r="M3332">
        <v>2908718687</v>
      </c>
      <c r="N3332">
        <v>2242831700</v>
      </c>
      <c r="O3332">
        <v>1653453856</v>
      </c>
      <c r="P3332">
        <v>76</v>
      </c>
      <c r="Q3332" t="s">
        <v>7012</v>
      </c>
    </row>
    <row r="3333" spans="1:17" x14ac:dyDescent="0.3">
      <c r="A3333" t="s">
        <v>47</v>
      </c>
      <c r="B3333" t="str">
        <f>"300045"</f>
        <v>300045</v>
      </c>
      <c r="C3333" t="s">
        <v>7013</v>
      </c>
      <c r="D3333" t="s">
        <v>1385</v>
      </c>
      <c r="E3333">
        <v>2131721320</v>
      </c>
      <c r="F3333">
        <v>2362667779</v>
      </c>
      <c r="G3333">
        <v>2383440591</v>
      </c>
      <c r="H3333">
        <v>2351863267</v>
      </c>
      <c r="I3333">
        <v>2099835790</v>
      </c>
      <c r="J3333">
        <v>1299754597</v>
      </c>
      <c r="K3333">
        <v>1151835452</v>
      </c>
      <c r="L3333">
        <v>1041928350</v>
      </c>
      <c r="M3333">
        <v>910501973</v>
      </c>
      <c r="N3333">
        <v>844514907</v>
      </c>
      <c r="O3333">
        <v>787629733</v>
      </c>
      <c r="P3333">
        <v>158</v>
      </c>
      <c r="Q3333" t="s">
        <v>7014</v>
      </c>
    </row>
    <row r="3334" spans="1:17" x14ac:dyDescent="0.3">
      <c r="A3334" t="s">
        <v>47</v>
      </c>
      <c r="B3334" t="str">
        <f>"300200"</f>
        <v>300200</v>
      </c>
      <c r="C3334" t="s">
        <v>7015</v>
      </c>
      <c r="D3334" t="s">
        <v>334</v>
      </c>
      <c r="E3334">
        <v>2131045801</v>
      </c>
      <c r="F3334">
        <v>2125565719</v>
      </c>
      <c r="G3334">
        <v>1921691862</v>
      </c>
      <c r="H3334">
        <v>1730108946</v>
      </c>
      <c r="I3334">
        <v>1739732853</v>
      </c>
      <c r="J3334">
        <v>874206544</v>
      </c>
      <c r="K3334">
        <v>836874391</v>
      </c>
      <c r="L3334">
        <v>831134081</v>
      </c>
      <c r="M3334">
        <v>808583306</v>
      </c>
      <c r="N3334">
        <v>813670947</v>
      </c>
      <c r="O3334">
        <v>781865211</v>
      </c>
      <c r="P3334">
        <v>160</v>
      </c>
      <c r="Q3334" t="s">
        <v>7016</v>
      </c>
    </row>
    <row r="3335" spans="1:17" x14ac:dyDescent="0.3">
      <c r="A3335" t="s">
        <v>47</v>
      </c>
      <c r="B3335" t="str">
        <f>"003036"</f>
        <v>003036</v>
      </c>
      <c r="C3335" t="s">
        <v>7017</v>
      </c>
      <c r="D3335" t="s">
        <v>2603</v>
      </c>
      <c r="E3335">
        <v>2130337419</v>
      </c>
      <c r="F3335">
        <v>1842559977</v>
      </c>
      <c r="H3335">
        <v>1137441958</v>
      </c>
      <c r="P3335">
        <v>37</v>
      </c>
      <c r="Q3335" t="s">
        <v>7018</v>
      </c>
    </row>
    <row r="3336" spans="1:17" x14ac:dyDescent="0.3">
      <c r="A3336" t="s">
        <v>47</v>
      </c>
      <c r="B3336" t="str">
        <f>"002735"</f>
        <v>002735</v>
      </c>
      <c r="C3336" t="s">
        <v>7019</v>
      </c>
      <c r="D3336" t="s">
        <v>2442</v>
      </c>
      <c r="E3336">
        <v>2130201664</v>
      </c>
      <c r="F3336">
        <v>1625989030</v>
      </c>
      <c r="G3336">
        <v>1145440303</v>
      </c>
      <c r="H3336">
        <v>1014653445</v>
      </c>
      <c r="I3336">
        <v>748239387</v>
      </c>
      <c r="J3336">
        <v>632060328</v>
      </c>
      <c r="K3336">
        <v>558375857</v>
      </c>
      <c r="L3336">
        <v>533943594</v>
      </c>
      <c r="P3336">
        <v>71</v>
      </c>
      <c r="Q3336" t="s">
        <v>7020</v>
      </c>
    </row>
    <row r="3337" spans="1:17" x14ac:dyDescent="0.3">
      <c r="A3337" t="s">
        <v>47</v>
      </c>
      <c r="B3337" t="str">
        <f>"002362"</f>
        <v>002362</v>
      </c>
      <c r="C3337" t="s">
        <v>7021</v>
      </c>
      <c r="D3337" t="s">
        <v>1859</v>
      </c>
      <c r="E3337">
        <v>2126444994</v>
      </c>
      <c r="F3337">
        <v>2060231133</v>
      </c>
      <c r="G3337">
        <v>1199595671</v>
      </c>
      <c r="H3337">
        <v>1130469660</v>
      </c>
      <c r="I3337">
        <v>1041035387</v>
      </c>
      <c r="J3337">
        <v>976606945</v>
      </c>
      <c r="K3337">
        <v>865161492</v>
      </c>
      <c r="L3337">
        <v>859576996</v>
      </c>
      <c r="M3337">
        <v>834672701</v>
      </c>
      <c r="N3337">
        <v>1048299940</v>
      </c>
      <c r="O3337">
        <v>1187521642</v>
      </c>
      <c r="P3337">
        <v>197</v>
      </c>
      <c r="Q3337" t="s">
        <v>7022</v>
      </c>
    </row>
    <row r="3338" spans="1:17" x14ac:dyDescent="0.3">
      <c r="A3338" t="s">
        <v>47</v>
      </c>
      <c r="B3338" t="str">
        <f>"000856"</f>
        <v>000856</v>
      </c>
      <c r="C3338" t="s">
        <v>7023</v>
      </c>
      <c r="D3338" t="s">
        <v>1973</v>
      </c>
      <c r="E3338">
        <v>2125794720</v>
      </c>
      <c r="F3338">
        <v>2592858505</v>
      </c>
      <c r="G3338">
        <v>2302935750</v>
      </c>
      <c r="H3338">
        <v>2137634060</v>
      </c>
      <c r="I3338">
        <v>1758422201</v>
      </c>
      <c r="J3338">
        <v>1657119370</v>
      </c>
      <c r="K3338">
        <v>2219507798</v>
      </c>
      <c r="L3338">
        <v>2418374635</v>
      </c>
      <c r="M3338">
        <v>2090686496</v>
      </c>
      <c r="N3338">
        <v>1793405708</v>
      </c>
      <c r="O3338">
        <v>1627256659</v>
      </c>
      <c r="P3338">
        <v>101</v>
      </c>
      <c r="Q3338" t="s">
        <v>7024</v>
      </c>
    </row>
    <row r="3339" spans="1:17" x14ac:dyDescent="0.3">
      <c r="A3339" t="s">
        <v>47</v>
      </c>
      <c r="B3339" t="str">
        <f>"301221"</f>
        <v>301221</v>
      </c>
      <c r="C3339" t="s">
        <v>7025</v>
      </c>
      <c r="D3339" t="s">
        <v>836</v>
      </c>
      <c r="E3339">
        <v>2124745672</v>
      </c>
      <c r="P3339">
        <v>16</v>
      </c>
      <c r="Q3339" t="s">
        <v>7026</v>
      </c>
    </row>
    <row r="3340" spans="1:17" x14ac:dyDescent="0.3">
      <c r="A3340" t="s">
        <v>47</v>
      </c>
      <c r="B3340" t="str">
        <f>"002598"</f>
        <v>002598</v>
      </c>
      <c r="C3340" t="s">
        <v>7027</v>
      </c>
      <c r="D3340" t="s">
        <v>1433</v>
      </c>
      <c r="E3340">
        <v>2124187169</v>
      </c>
      <c r="F3340">
        <v>1602120800</v>
      </c>
      <c r="G3340">
        <v>1375675803</v>
      </c>
      <c r="H3340">
        <v>1403860292</v>
      </c>
      <c r="I3340">
        <v>1085989061</v>
      </c>
      <c r="J3340">
        <v>1043573696</v>
      </c>
      <c r="K3340">
        <v>1001379443</v>
      </c>
      <c r="L3340">
        <v>981409582</v>
      </c>
      <c r="M3340">
        <v>991162208</v>
      </c>
      <c r="N3340">
        <v>949808128</v>
      </c>
      <c r="O3340">
        <v>951797154</v>
      </c>
      <c r="P3340">
        <v>88</v>
      </c>
      <c r="Q3340" t="s">
        <v>7028</v>
      </c>
    </row>
    <row r="3341" spans="1:17" x14ac:dyDescent="0.3">
      <c r="A3341" t="s">
        <v>47</v>
      </c>
      <c r="B3341" t="str">
        <f>"002740"</f>
        <v>002740</v>
      </c>
      <c r="C3341" t="s">
        <v>7029</v>
      </c>
      <c r="D3341" t="s">
        <v>1508</v>
      </c>
      <c r="E3341">
        <v>2122132611</v>
      </c>
      <c r="F3341">
        <v>2630243644</v>
      </c>
      <c r="G3341">
        <v>4628843761</v>
      </c>
      <c r="H3341">
        <v>4643881885</v>
      </c>
      <c r="I3341">
        <v>2609357395</v>
      </c>
      <c r="J3341">
        <v>1997267648</v>
      </c>
      <c r="K3341">
        <v>1245346305</v>
      </c>
      <c r="L3341">
        <v>1228967063</v>
      </c>
      <c r="P3341">
        <v>78</v>
      </c>
      <c r="Q3341" t="s">
        <v>7030</v>
      </c>
    </row>
    <row r="3342" spans="1:17" x14ac:dyDescent="0.3">
      <c r="A3342" t="s">
        <v>17</v>
      </c>
      <c r="B3342" t="str">
        <f>"688037"</f>
        <v>688037</v>
      </c>
      <c r="C3342" t="s">
        <v>7031</v>
      </c>
      <c r="D3342" t="s">
        <v>1252</v>
      </c>
      <c r="E3342">
        <v>2121237638</v>
      </c>
      <c r="F3342">
        <v>1348812993</v>
      </c>
      <c r="G3342">
        <v>950391804</v>
      </c>
      <c r="H3342">
        <v>349466064</v>
      </c>
      <c r="P3342">
        <v>168</v>
      </c>
      <c r="Q3342" t="s">
        <v>7032</v>
      </c>
    </row>
    <row r="3343" spans="1:17" x14ac:dyDescent="0.3">
      <c r="A3343" t="s">
        <v>47</v>
      </c>
      <c r="B3343" t="str">
        <f>"001205"</f>
        <v>001205</v>
      </c>
      <c r="C3343" t="s">
        <v>7033</v>
      </c>
      <c r="D3343" t="s">
        <v>176</v>
      </c>
      <c r="E3343">
        <v>2120981589</v>
      </c>
      <c r="F3343">
        <v>1046519644</v>
      </c>
      <c r="P3343">
        <v>44</v>
      </c>
      <c r="Q3343" t="s">
        <v>7034</v>
      </c>
    </row>
    <row r="3344" spans="1:17" x14ac:dyDescent="0.3">
      <c r="A3344" t="s">
        <v>17</v>
      </c>
      <c r="B3344" t="str">
        <f>"603697"</f>
        <v>603697</v>
      </c>
      <c r="C3344" t="s">
        <v>7035</v>
      </c>
      <c r="D3344" t="s">
        <v>3331</v>
      </c>
      <c r="E3344">
        <v>2119267368</v>
      </c>
      <c r="F3344">
        <v>2020012935</v>
      </c>
      <c r="G3344">
        <v>1855787707</v>
      </c>
      <c r="H3344">
        <v>1055693810</v>
      </c>
      <c r="P3344">
        <v>394</v>
      </c>
      <c r="Q3344" t="s">
        <v>7036</v>
      </c>
    </row>
    <row r="3345" spans="1:17" x14ac:dyDescent="0.3">
      <c r="A3345" t="s">
        <v>17</v>
      </c>
      <c r="B3345" t="str">
        <f>"605111"</f>
        <v>605111</v>
      </c>
      <c r="C3345" t="s">
        <v>7037</v>
      </c>
      <c r="D3345" t="s">
        <v>2213</v>
      </c>
      <c r="E3345">
        <v>2118452173</v>
      </c>
      <c r="F3345">
        <v>1487101488</v>
      </c>
      <c r="P3345">
        <v>332</v>
      </c>
      <c r="Q3345" t="s">
        <v>7038</v>
      </c>
    </row>
    <row r="3346" spans="1:17" x14ac:dyDescent="0.3">
      <c r="A3346" t="s">
        <v>17</v>
      </c>
      <c r="B3346" t="str">
        <f>"688030"</f>
        <v>688030</v>
      </c>
      <c r="C3346" t="s">
        <v>7039</v>
      </c>
      <c r="D3346" t="s">
        <v>1010</v>
      </c>
      <c r="E3346">
        <v>2118448038</v>
      </c>
      <c r="F3346">
        <v>1735877416</v>
      </c>
      <c r="G3346">
        <v>1490311821</v>
      </c>
      <c r="H3346">
        <v>626816850</v>
      </c>
      <c r="P3346">
        <v>145</v>
      </c>
      <c r="Q3346" t="s">
        <v>7040</v>
      </c>
    </row>
    <row r="3347" spans="1:17" x14ac:dyDescent="0.3">
      <c r="A3347" t="s">
        <v>17</v>
      </c>
      <c r="B3347" t="str">
        <f>"603051"</f>
        <v>603051</v>
      </c>
      <c r="C3347" t="s">
        <v>7041</v>
      </c>
      <c r="E3347">
        <v>2117348174</v>
      </c>
      <c r="P3347">
        <v>3</v>
      </c>
      <c r="Q3347" t="s">
        <v>7042</v>
      </c>
    </row>
    <row r="3348" spans="1:17" x14ac:dyDescent="0.3">
      <c r="A3348" t="s">
        <v>17</v>
      </c>
      <c r="B3348" t="str">
        <f>"603700"</f>
        <v>603700</v>
      </c>
      <c r="C3348" t="s">
        <v>7043</v>
      </c>
      <c r="D3348" t="s">
        <v>3722</v>
      </c>
      <c r="E3348">
        <v>2116054061</v>
      </c>
      <c r="F3348">
        <v>1932593360</v>
      </c>
      <c r="G3348">
        <v>1617605842</v>
      </c>
      <c r="H3348">
        <v>1396188977</v>
      </c>
      <c r="I3348">
        <v>682317467</v>
      </c>
      <c r="P3348">
        <v>395</v>
      </c>
      <c r="Q3348" t="s">
        <v>7044</v>
      </c>
    </row>
    <row r="3349" spans="1:17" x14ac:dyDescent="0.3">
      <c r="A3349" t="s">
        <v>17</v>
      </c>
      <c r="B3349" t="str">
        <f>"605189"</f>
        <v>605189</v>
      </c>
      <c r="C3349" t="s">
        <v>7045</v>
      </c>
      <c r="D3349" t="s">
        <v>2435</v>
      </c>
      <c r="E3349">
        <v>2116040536</v>
      </c>
      <c r="F3349">
        <v>1356398457</v>
      </c>
      <c r="P3349">
        <v>44</v>
      </c>
      <c r="Q3349" t="s">
        <v>7046</v>
      </c>
    </row>
    <row r="3350" spans="1:17" x14ac:dyDescent="0.3">
      <c r="A3350" t="s">
        <v>47</v>
      </c>
      <c r="B3350" t="str">
        <f>"002676"</f>
        <v>002676</v>
      </c>
      <c r="C3350" t="s">
        <v>7047</v>
      </c>
      <c r="D3350" t="s">
        <v>1511</v>
      </c>
      <c r="E3350">
        <v>2114320656</v>
      </c>
      <c r="F3350">
        <v>2077458515</v>
      </c>
      <c r="G3350">
        <v>1839296248</v>
      </c>
      <c r="H3350">
        <v>1879494529</v>
      </c>
      <c r="I3350">
        <v>1948481657</v>
      </c>
      <c r="J3350">
        <v>2005342024</v>
      </c>
      <c r="K3350">
        <v>1748781828</v>
      </c>
      <c r="L3350">
        <v>1841533894</v>
      </c>
      <c r="M3350">
        <v>1661925735</v>
      </c>
      <c r="N3350">
        <v>1663223987</v>
      </c>
      <c r="O3350">
        <v>1088169579</v>
      </c>
      <c r="P3350">
        <v>87</v>
      </c>
      <c r="Q3350" t="s">
        <v>7048</v>
      </c>
    </row>
    <row r="3351" spans="1:17" x14ac:dyDescent="0.3">
      <c r="A3351" t="s">
        <v>17</v>
      </c>
      <c r="B3351" t="str">
        <f>"605055"</f>
        <v>605055</v>
      </c>
      <c r="C3351" t="s">
        <v>7049</v>
      </c>
      <c r="D3351" t="s">
        <v>2435</v>
      </c>
      <c r="E3351">
        <v>2113015778</v>
      </c>
      <c r="F3351">
        <v>1931907788</v>
      </c>
      <c r="P3351">
        <v>38</v>
      </c>
      <c r="Q3351" t="s">
        <v>7050</v>
      </c>
    </row>
    <row r="3352" spans="1:17" x14ac:dyDescent="0.3">
      <c r="A3352" t="s">
        <v>47</v>
      </c>
      <c r="B3352" t="str">
        <f>"300206"</f>
        <v>300206</v>
      </c>
      <c r="C3352" t="s">
        <v>7051</v>
      </c>
      <c r="D3352" t="s">
        <v>1083</v>
      </c>
      <c r="E3352">
        <v>2111455062</v>
      </c>
      <c r="F3352">
        <v>2272803868</v>
      </c>
      <c r="G3352">
        <v>1656029456</v>
      </c>
      <c r="H3352">
        <v>1470981820</v>
      </c>
      <c r="I3352">
        <v>1437395144</v>
      </c>
      <c r="J3352">
        <v>1469339914</v>
      </c>
      <c r="K3352">
        <v>1450022104</v>
      </c>
      <c r="L3352">
        <v>1326383143</v>
      </c>
      <c r="M3352">
        <v>1285160762</v>
      </c>
      <c r="N3352">
        <v>1269439165</v>
      </c>
      <c r="O3352">
        <v>1198667662</v>
      </c>
      <c r="P3352">
        <v>426</v>
      </c>
      <c r="Q3352" t="s">
        <v>7052</v>
      </c>
    </row>
    <row r="3353" spans="1:17" x14ac:dyDescent="0.3">
      <c r="A3353" t="s">
        <v>47</v>
      </c>
      <c r="B3353" t="str">
        <f>"003023"</f>
        <v>003023</v>
      </c>
      <c r="C3353" t="s">
        <v>7053</v>
      </c>
      <c r="D3353" t="s">
        <v>2285</v>
      </c>
      <c r="E3353">
        <v>2109764568</v>
      </c>
      <c r="F3353">
        <v>2092081468</v>
      </c>
      <c r="P3353">
        <v>49</v>
      </c>
      <c r="Q3353" t="s">
        <v>7054</v>
      </c>
    </row>
    <row r="3354" spans="1:17" x14ac:dyDescent="0.3">
      <c r="A3354" t="s">
        <v>47</v>
      </c>
      <c r="B3354" t="str">
        <f>"002782"</f>
        <v>002782</v>
      </c>
      <c r="C3354" t="s">
        <v>7055</v>
      </c>
      <c r="D3354" t="s">
        <v>283</v>
      </c>
      <c r="E3354">
        <v>2108309382</v>
      </c>
      <c r="F3354">
        <v>1945400036</v>
      </c>
      <c r="G3354">
        <v>1149129473</v>
      </c>
      <c r="H3354">
        <v>1007962069</v>
      </c>
      <c r="I3354">
        <v>1170216132</v>
      </c>
      <c r="J3354">
        <v>1070178016</v>
      </c>
      <c r="K3354">
        <v>985558613</v>
      </c>
      <c r="L3354">
        <v>637860700</v>
      </c>
      <c r="P3354">
        <v>167</v>
      </c>
      <c r="Q3354" t="s">
        <v>7056</v>
      </c>
    </row>
    <row r="3355" spans="1:17" x14ac:dyDescent="0.3">
      <c r="A3355" t="s">
        <v>17</v>
      </c>
      <c r="B3355" t="str">
        <f>"603216"</f>
        <v>603216</v>
      </c>
      <c r="C3355" t="s">
        <v>7057</v>
      </c>
      <c r="D3355" t="s">
        <v>1505</v>
      </c>
      <c r="E3355">
        <v>2106820879</v>
      </c>
      <c r="P3355">
        <v>22</v>
      </c>
      <c r="Q3355" t="s">
        <v>7058</v>
      </c>
    </row>
    <row r="3356" spans="1:17" x14ac:dyDescent="0.3">
      <c r="A3356" t="s">
        <v>47</v>
      </c>
      <c r="B3356" t="str">
        <f>"300648"</f>
        <v>300648</v>
      </c>
      <c r="C3356" t="s">
        <v>7059</v>
      </c>
      <c r="D3356" t="s">
        <v>1490</v>
      </c>
      <c r="E3356">
        <v>2101238664</v>
      </c>
      <c r="F3356">
        <v>1649400825</v>
      </c>
      <c r="G3356">
        <v>942016989</v>
      </c>
      <c r="H3356">
        <v>710079033</v>
      </c>
      <c r="I3356">
        <v>638870468</v>
      </c>
      <c r="J3356">
        <v>358967307</v>
      </c>
      <c r="P3356">
        <v>266</v>
      </c>
      <c r="Q3356" t="s">
        <v>7060</v>
      </c>
    </row>
    <row r="3357" spans="1:17" x14ac:dyDescent="0.3">
      <c r="A3357" t="s">
        <v>47</v>
      </c>
      <c r="B3357" t="str">
        <f>"002879"</f>
        <v>002879</v>
      </c>
      <c r="C3357" t="s">
        <v>7061</v>
      </c>
      <c r="D3357" t="s">
        <v>1616</v>
      </c>
      <c r="E3357">
        <v>2101006891</v>
      </c>
      <c r="F3357">
        <v>1914541257</v>
      </c>
      <c r="G3357">
        <v>1768144926</v>
      </c>
      <c r="H3357">
        <v>1816186787</v>
      </c>
      <c r="I3357">
        <v>1689486916</v>
      </c>
      <c r="J3357">
        <v>1003912821</v>
      </c>
      <c r="P3357">
        <v>266</v>
      </c>
      <c r="Q3357" t="s">
        <v>7062</v>
      </c>
    </row>
    <row r="3358" spans="1:17" x14ac:dyDescent="0.3">
      <c r="A3358" t="s">
        <v>17</v>
      </c>
      <c r="B3358" t="str">
        <f>"688776"</f>
        <v>688776</v>
      </c>
      <c r="C3358" t="s">
        <v>7063</v>
      </c>
      <c r="D3358" t="s">
        <v>1385</v>
      </c>
      <c r="E3358">
        <v>2100911385</v>
      </c>
      <c r="P3358">
        <v>23</v>
      </c>
      <c r="Q3358" t="s">
        <v>7064</v>
      </c>
    </row>
    <row r="3359" spans="1:17" x14ac:dyDescent="0.3">
      <c r="A3359" t="s">
        <v>17</v>
      </c>
      <c r="B3359" t="str">
        <f>"603322"</f>
        <v>603322</v>
      </c>
      <c r="C3359" t="s">
        <v>7065</v>
      </c>
      <c r="D3359" t="s">
        <v>2804</v>
      </c>
      <c r="E3359">
        <v>2100459756</v>
      </c>
      <c r="F3359">
        <v>2372808730</v>
      </c>
      <c r="G3359">
        <v>2203928099</v>
      </c>
      <c r="H3359">
        <v>2160172183</v>
      </c>
      <c r="I3359">
        <v>1676853751</v>
      </c>
      <c r="J3359">
        <v>998262584</v>
      </c>
      <c r="K3359">
        <v>642962800</v>
      </c>
      <c r="P3359">
        <v>184</v>
      </c>
      <c r="Q3359" t="s">
        <v>7066</v>
      </c>
    </row>
    <row r="3360" spans="1:17" x14ac:dyDescent="0.3">
      <c r="A3360" t="s">
        <v>47</v>
      </c>
      <c r="B3360" t="str">
        <f>"002703"</f>
        <v>002703</v>
      </c>
      <c r="C3360" t="s">
        <v>7067</v>
      </c>
      <c r="D3360" t="s">
        <v>274</v>
      </c>
      <c r="E3360">
        <v>2100430539</v>
      </c>
      <c r="F3360">
        <v>1962033742</v>
      </c>
      <c r="G3360">
        <v>1966287541</v>
      </c>
      <c r="H3360">
        <v>2001829068</v>
      </c>
      <c r="I3360">
        <v>2097924528</v>
      </c>
      <c r="J3360">
        <v>2095051419</v>
      </c>
      <c r="K3360">
        <v>1907045227</v>
      </c>
      <c r="L3360">
        <v>1969723593</v>
      </c>
      <c r="M3360">
        <v>1347203250</v>
      </c>
      <c r="N3360">
        <v>1200523417</v>
      </c>
      <c r="P3360">
        <v>76</v>
      </c>
      <c r="Q3360" t="s">
        <v>7068</v>
      </c>
    </row>
    <row r="3361" spans="1:17" x14ac:dyDescent="0.3">
      <c r="A3361" t="s">
        <v>17</v>
      </c>
      <c r="B3361" t="str">
        <f>"603213"</f>
        <v>603213</v>
      </c>
      <c r="C3361" t="s">
        <v>7069</v>
      </c>
      <c r="D3361" t="s">
        <v>625</v>
      </c>
      <c r="E3361">
        <v>2098792103</v>
      </c>
      <c r="G3361">
        <v>901985459</v>
      </c>
      <c r="P3361">
        <v>32</v>
      </c>
      <c r="Q3361" t="s">
        <v>7070</v>
      </c>
    </row>
    <row r="3362" spans="1:17" x14ac:dyDescent="0.3">
      <c r="A3362" t="s">
        <v>47</v>
      </c>
      <c r="B3362" t="str">
        <f>"003001"</f>
        <v>003001</v>
      </c>
      <c r="C3362" t="s">
        <v>7071</v>
      </c>
      <c r="D3362" t="s">
        <v>152</v>
      </c>
      <c r="E3362">
        <v>2096550316</v>
      </c>
      <c r="F3362">
        <v>1877871334</v>
      </c>
      <c r="P3362">
        <v>95</v>
      </c>
      <c r="Q3362" t="s">
        <v>7072</v>
      </c>
    </row>
    <row r="3363" spans="1:17" x14ac:dyDescent="0.3">
      <c r="A3363" t="s">
        <v>17</v>
      </c>
      <c r="B3363" t="str">
        <f>"688189"</f>
        <v>688189</v>
      </c>
      <c r="C3363" t="s">
        <v>7073</v>
      </c>
      <c r="D3363" t="s">
        <v>550</v>
      </c>
      <c r="E3363">
        <v>2095741508</v>
      </c>
      <c r="F3363">
        <v>2285460145</v>
      </c>
      <c r="G3363">
        <v>1991252498</v>
      </c>
      <c r="P3363">
        <v>97</v>
      </c>
      <c r="Q3363" t="s">
        <v>7074</v>
      </c>
    </row>
    <row r="3364" spans="1:17" x14ac:dyDescent="0.3">
      <c r="A3364" t="s">
        <v>47</v>
      </c>
      <c r="B3364" t="str">
        <f>"300785"</f>
        <v>300785</v>
      </c>
      <c r="C3364" t="s">
        <v>7075</v>
      </c>
      <c r="D3364" t="s">
        <v>4377</v>
      </c>
      <c r="E3364">
        <v>2094944415</v>
      </c>
      <c r="F3364">
        <v>1970300827</v>
      </c>
      <c r="G3364">
        <v>993259444</v>
      </c>
      <c r="H3364">
        <v>487645405</v>
      </c>
      <c r="P3364">
        <v>332</v>
      </c>
      <c r="Q3364" t="s">
        <v>7076</v>
      </c>
    </row>
    <row r="3365" spans="1:17" x14ac:dyDescent="0.3">
      <c r="A3365" t="s">
        <v>17</v>
      </c>
      <c r="B3365" t="str">
        <f>"688018"</f>
        <v>688018</v>
      </c>
      <c r="C3365" t="s">
        <v>7077</v>
      </c>
      <c r="D3365" t="s">
        <v>967</v>
      </c>
      <c r="E3365">
        <v>2094943752</v>
      </c>
      <c r="F3365">
        <v>1824142337</v>
      </c>
      <c r="G3365">
        <v>1727151944</v>
      </c>
      <c r="H3365">
        <v>384331432</v>
      </c>
      <c r="P3365">
        <v>317</v>
      </c>
      <c r="Q3365" t="s">
        <v>7078</v>
      </c>
    </row>
    <row r="3366" spans="1:17" x14ac:dyDescent="0.3">
      <c r="A3366" t="s">
        <v>17</v>
      </c>
      <c r="B3366" t="str">
        <f>"688017"</f>
        <v>688017</v>
      </c>
      <c r="C3366" t="s">
        <v>7079</v>
      </c>
      <c r="D3366" t="s">
        <v>2592</v>
      </c>
      <c r="E3366">
        <v>2094739837</v>
      </c>
      <c r="F3366">
        <v>1838171552</v>
      </c>
      <c r="P3366">
        <v>152</v>
      </c>
      <c r="Q3366" t="s">
        <v>7080</v>
      </c>
    </row>
    <row r="3367" spans="1:17" x14ac:dyDescent="0.3">
      <c r="A3367" t="s">
        <v>17</v>
      </c>
      <c r="B3367" t="str">
        <f>"603726"</f>
        <v>603726</v>
      </c>
      <c r="C3367" t="s">
        <v>7081</v>
      </c>
      <c r="D3367" t="s">
        <v>1511</v>
      </c>
      <c r="E3367">
        <v>2094282495</v>
      </c>
      <c r="F3367">
        <v>1873523624</v>
      </c>
      <c r="G3367">
        <v>1580138311</v>
      </c>
      <c r="H3367">
        <v>1442131144</v>
      </c>
      <c r="I3367">
        <v>1326329152</v>
      </c>
      <c r="J3367">
        <v>1205020484</v>
      </c>
      <c r="K3367">
        <v>838873939</v>
      </c>
      <c r="P3367">
        <v>123</v>
      </c>
      <c r="Q3367" t="s">
        <v>7082</v>
      </c>
    </row>
    <row r="3368" spans="1:17" x14ac:dyDescent="0.3">
      <c r="A3368" t="s">
        <v>47</v>
      </c>
      <c r="B3368" t="str">
        <f>"300774"</f>
        <v>300774</v>
      </c>
      <c r="C3368" t="s">
        <v>7083</v>
      </c>
      <c r="D3368" t="s">
        <v>520</v>
      </c>
      <c r="E3368">
        <v>2093709601</v>
      </c>
      <c r="F3368">
        <v>1601542508</v>
      </c>
      <c r="P3368">
        <v>24</v>
      </c>
      <c r="Q3368" t="s">
        <v>7084</v>
      </c>
    </row>
    <row r="3369" spans="1:17" x14ac:dyDescent="0.3">
      <c r="A3369" t="s">
        <v>17</v>
      </c>
      <c r="B3369" t="str">
        <f>"688050"</f>
        <v>688050</v>
      </c>
      <c r="C3369" t="s">
        <v>7085</v>
      </c>
      <c r="D3369" t="s">
        <v>1650</v>
      </c>
      <c r="E3369">
        <v>2091113770</v>
      </c>
      <c r="F3369">
        <v>1654513680</v>
      </c>
      <c r="G3369">
        <v>679761770</v>
      </c>
      <c r="P3369">
        <v>411</v>
      </c>
      <c r="Q3369" t="s">
        <v>7086</v>
      </c>
    </row>
    <row r="3370" spans="1:17" x14ac:dyDescent="0.3">
      <c r="A3370" t="s">
        <v>17</v>
      </c>
      <c r="B3370" t="str">
        <f>"600889"</f>
        <v>600889</v>
      </c>
      <c r="C3370" t="s">
        <v>7087</v>
      </c>
      <c r="D3370" t="s">
        <v>1438</v>
      </c>
      <c r="E3370">
        <v>2091042424</v>
      </c>
      <c r="F3370">
        <v>2372986047</v>
      </c>
      <c r="G3370">
        <v>1955857738</v>
      </c>
      <c r="H3370">
        <v>2106544668</v>
      </c>
      <c r="I3370">
        <v>1812930414</v>
      </c>
      <c r="J3370">
        <v>2225624144</v>
      </c>
      <c r="K3370">
        <v>2092496775</v>
      </c>
      <c r="L3370">
        <v>2920973011</v>
      </c>
      <c r="M3370">
        <v>3370943995</v>
      </c>
      <c r="N3370">
        <v>3754532106</v>
      </c>
      <c r="O3370">
        <v>3864204399</v>
      </c>
      <c r="P3370">
        <v>77</v>
      </c>
      <c r="Q3370" t="s">
        <v>7088</v>
      </c>
    </row>
    <row r="3371" spans="1:17" x14ac:dyDescent="0.3">
      <c r="A3371" t="s">
        <v>17</v>
      </c>
      <c r="B3371" t="str">
        <f>"603327"</f>
        <v>603327</v>
      </c>
      <c r="C3371" t="s">
        <v>7089</v>
      </c>
      <c r="D3371" t="s">
        <v>283</v>
      </c>
      <c r="E3371">
        <v>2090422273</v>
      </c>
      <c r="F3371">
        <v>1776075945</v>
      </c>
      <c r="G3371">
        <v>1599162245</v>
      </c>
      <c r="H3371">
        <v>1169603909</v>
      </c>
      <c r="P3371">
        <v>347</v>
      </c>
      <c r="Q3371" t="s">
        <v>7090</v>
      </c>
    </row>
    <row r="3372" spans="1:17" x14ac:dyDescent="0.3">
      <c r="A3372" t="s">
        <v>17</v>
      </c>
      <c r="B3372" t="str">
        <f>"688568"</f>
        <v>688568</v>
      </c>
      <c r="C3372" t="s">
        <v>7091</v>
      </c>
      <c r="D3372" t="s">
        <v>700</v>
      </c>
      <c r="E3372">
        <v>2089452722</v>
      </c>
      <c r="F3372">
        <v>1611678883</v>
      </c>
      <c r="G3372">
        <v>607585603</v>
      </c>
      <c r="P3372">
        <v>98</v>
      </c>
      <c r="Q3372" t="s">
        <v>7092</v>
      </c>
    </row>
    <row r="3373" spans="1:17" x14ac:dyDescent="0.3">
      <c r="A3373" t="s">
        <v>17</v>
      </c>
      <c r="B3373" t="str">
        <f>"603810"</f>
        <v>603810</v>
      </c>
      <c r="C3373" t="s">
        <v>7093</v>
      </c>
      <c r="D3373" t="s">
        <v>819</v>
      </c>
      <c r="E3373">
        <v>2088600664</v>
      </c>
      <c r="F3373">
        <v>2077228616</v>
      </c>
      <c r="G3373">
        <v>1835458479</v>
      </c>
      <c r="H3373">
        <v>1655546812</v>
      </c>
      <c r="P3373">
        <v>79</v>
      </c>
      <c r="Q3373" t="s">
        <v>7094</v>
      </c>
    </row>
    <row r="3374" spans="1:17" x14ac:dyDescent="0.3">
      <c r="A3374" t="s">
        <v>47</v>
      </c>
      <c r="B3374" t="str">
        <f>"002117"</f>
        <v>002117</v>
      </c>
      <c r="C3374" t="s">
        <v>7095</v>
      </c>
      <c r="D3374" t="s">
        <v>6392</v>
      </c>
      <c r="E3374">
        <v>2088319714</v>
      </c>
      <c r="F3374">
        <v>2216735360</v>
      </c>
      <c r="G3374">
        <v>2104721576</v>
      </c>
      <c r="H3374">
        <v>2236228486</v>
      </c>
      <c r="I3374">
        <v>2052869642</v>
      </c>
      <c r="J3374">
        <v>2068680075</v>
      </c>
      <c r="K3374">
        <v>1924842272</v>
      </c>
      <c r="L3374">
        <v>1800821579</v>
      </c>
      <c r="M3374">
        <v>1578340108</v>
      </c>
      <c r="N3374">
        <v>1406658590</v>
      </c>
      <c r="O3374">
        <v>1323277566</v>
      </c>
      <c r="P3374">
        <v>392</v>
      </c>
      <c r="Q3374" t="s">
        <v>7096</v>
      </c>
    </row>
    <row r="3375" spans="1:17" x14ac:dyDescent="0.3">
      <c r="A3375" t="s">
        <v>47</v>
      </c>
      <c r="B3375" t="str">
        <f>"301108"</f>
        <v>301108</v>
      </c>
      <c r="C3375" t="s">
        <v>7097</v>
      </c>
      <c r="D3375" t="s">
        <v>2299</v>
      </c>
      <c r="E3375">
        <v>2087763153</v>
      </c>
      <c r="P3375">
        <v>24</v>
      </c>
      <c r="Q3375" t="s">
        <v>7098</v>
      </c>
    </row>
    <row r="3376" spans="1:17" x14ac:dyDescent="0.3">
      <c r="A3376" t="s">
        <v>47</v>
      </c>
      <c r="B3376" t="str">
        <f>"002962"</f>
        <v>002962</v>
      </c>
      <c r="C3376" t="s">
        <v>7099</v>
      </c>
      <c r="D3376" t="s">
        <v>1487</v>
      </c>
      <c r="E3376">
        <v>2083359137</v>
      </c>
      <c r="F3376">
        <v>2017560932</v>
      </c>
      <c r="G3376">
        <v>1838154958</v>
      </c>
      <c r="P3376">
        <v>137</v>
      </c>
      <c r="Q3376" t="s">
        <v>7100</v>
      </c>
    </row>
    <row r="3377" spans="1:17" x14ac:dyDescent="0.3">
      <c r="A3377" t="s">
        <v>47</v>
      </c>
      <c r="B3377" t="str">
        <f>"300367"</f>
        <v>300367</v>
      </c>
      <c r="C3377" t="s">
        <v>7101</v>
      </c>
      <c r="D3377" t="s">
        <v>523</v>
      </c>
      <c r="E3377">
        <v>2082815649</v>
      </c>
      <c r="F3377">
        <v>2944455176</v>
      </c>
      <c r="G3377">
        <v>3865744318</v>
      </c>
      <c r="H3377">
        <v>8164455704</v>
      </c>
      <c r="I3377">
        <v>6185976389</v>
      </c>
      <c r="J3377">
        <v>5547953974</v>
      </c>
      <c r="K3377">
        <v>3430400421</v>
      </c>
      <c r="L3377">
        <v>1564321831</v>
      </c>
      <c r="M3377">
        <v>1042868283</v>
      </c>
      <c r="P3377">
        <v>196</v>
      </c>
      <c r="Q3377" t="s">
        <v>7102</v>
      </c>
    </row>
    <row r="3378" spans="1:17" x14ac:dyDescent="0.3">
      <c r="A3378" t="s">
        <v>47</v>
      </c>
      <c r="B3378" t="str">
        <f>"301009"</f>
        <v>301009</v>
      </c>
      <c r="C3378" t="s">
        <v>7103</v>
      </c>
      <c r="D3378" t="s">
        <v>2299</v>
      </c>
      <c r="E3378">
        <v>2079145718</v>
      </c>
      <c r="F3378">
        <v>1339165081</v>
      </c>
      <c r="P3378">
        <v>59</v>
      </c>
      <c r="Q3378" t="s">
        <v>7104</v>
      </c>
    </row>
    <row r="3379" spans="1:17" x14ac:dyDescent="0.3">
      <c r="A3379" t="s">
        <v>47</v>
      </c>
      <c r="B3379" t="str">
        <f>"002694"</f>
        <v>002694</v>
      </c>
      <c r="C3379" t="s">
        <v>7105</v>
      </c>
      <c r="D3379" t="s">
        <v>2927</v>
      </c>
      <c r="E3379">
        <v>2079065006</v>
      </c>
      <c r="F3379">
        <v>2504111136</v>
      </c>
      <c r="G3379">
        <v>3032935594</v>
      </c>
      <c r="H3379">
        <v>2662811028</v>
      </c>
      <c r="I3379">
        <v>2622947047</v>
      </c>
      <c r="J3379">
        <v>2730966968</v>
      </c>
      <c r="K3379">
        <v>2100558278</v>
      </c>
      <c r="L3379">
        <v>2389760786</v>
      </c>
      <c r="M3379">
        <v>2116442128</v>
      </c>
      <c r="N3379">
        <v>1778844591</v>
      </c>
      <c r="P3379">
        <v>71</v>
      </c>
      <c r="Q3379" t="s">
        <v>7106</v>
      </c>
    </row>
    <row r="3380" spans="1:17" x14ac:dyDescent="0.3">
      <c r="A3380" t="s">
        <v>17</v>
      </c>
      <c r="B3380" t="str">
        <f>"605389"</f>
        <v>605389</v>
      </c>
      <c r="C3380" t="s">
        <v>7107</v>
      </c>
      <c r="D3380" t="s">
        <v>2395</v>
      </c>
      <c r="E3380">
        <v>2078128493</v>
      </c>
      <c r="F3380">
        <v>1997381965</v>
      </c>
      <c r="P3380">
        <v>64</v>
      </c>
      <c r="Q3380" t="s">
        <v>7108</v>
      </c>
    </row>
    <row r="3381" spans="1:17" x14ac:dyDescent="0.3">
      <c r="A3381" t="s">
        <v>47</v>
      </c>
      <c r="B3381" t="str">
        <f>"002098"</f>
        <v>002098</v>
      </c>
      <c r="C3381" t="s">
        <v>7109</v>
      </c>
      <c r="D3381" t="s">
        <v>3936</v>
      </c>
      <c r="E3381">
        <v>2077426274</v>
      </c>
      <c r="F3381">
        <v>2145402813</v>
      </c>
      <c r="G3381">
        <v>1958426304</v>
      </c>
      <c r="H3381">
        <v>2130497189</v>
      </c>
      <c r="I3381">
        <v>3296061528</v>
      </c>
      <c r="J3381">
        <v>1475885715</v>
      </c>
      <c r="K3381">
        <v>1427789128</v>
      </c>
      <c r="L3381">
        <v>1398700847</v>
      </c>
      <c r="M3381">
        <v>1310853085</v>
      </c>
      <c r="N3381">
        <v>1267668730</v>
      </c>
      <c r="O3381">
        <v>1354532978</v>
      </c>
      <c r="P3381">
        <v>111</v>
      </c>
      <c r="Q3381" t="s">
        <v>7110</v>
      </c>
    </row>
    <row r="3382" spans="1:17" x14ac:dyDescent="0.3">
      <c r="A3382" t="s">
        <v>17</v>
      </c>
      <c r="B3382" t="str">
        <f>"688617"</f>
        <v>688617</v>
      </c>
      <c r="C3382" t="s">
        <v>7111</v>
      </c>
      <c r="D3382" t="s">
        <v>1650</v>
      </c>
      <c r="E3382">
        <v>2075859067</v>
      </c>
      <c r="F3382">
        <v>1793755008</v>
      </c>
      <c r="P3382">
        <v>137</v>
      </c>
      <c r="Q3382" t="s">
        <v>7112</v>
      </c>
    </row>
    <row r="3383" spans="1:17" x14ac:dyDescent="0.3">
      <c r="A3383" t="s">
        <v>47</v>
      </c>
      <c r="B3383" t="str">
        <f>"002947"</f>
        <v>002947</v>
      </c>
      <c r="C3383" t="s">
        <v>7113</v>
      </c>
      <c r="D3383" t="s">
        <v>283</v>
      </c>
      <c r="E3383">
        <v>2075291735</v>
      </c>
      <c r="F3383">
        <v>1638235942</v>
      </c>
      <c r="G3383">
        <v>1339472058</v>
      </c>
      <c r="H3383">
        <v>1174359301</v>
      </c>
      <c r="J3383">
        <v>525386750</v>
      </c>
      <c r="P3383">
        <v>266</v>
      </c>
      <c r="Q3383" t="s">
        <v>7114</v>
      </c>
    </row>
    <row r="3384" spans="1:17" x14ac:dyDescent="0.3">
      <c r="A3384" t="s">
        <v>47</v>
      </c>
      <c r="B3384" t="str">
        <f>"002119"</f>
        <v>002119</v>
      </c>
      <c r="C3384" t="s">
        <v>7115</v>
      </c>
      <c r="D3384" t="s">
        <v>567</v>
      </c>
      <c r="E3384">
        <v>2072317710</v>
      </c>
      <c r="F3384">
        <v>1900870878</v>
      </c>
      <c r="G3384">
        <v>1803582209</v>
      </c>
      <c r="H3384">
        <v>1695085665</v>
      </c>
      <c r="I3384">
        <v>1650135045</v>
      </c>
      <c r="J3384">
        <v>1593149532</v>
      </c>
      <c r="K3384">
        <v>1470568605</v>
      </c>
      <c r="L3384">
        <v>1474142987</v>
      </c>
      <c r="M3384">
        <v>1579220057</v>
      </c>
      <c r="N3384">
        <v>1651000063</v>
      </c>
      <c r="O3384">
        <v>1649189606</v>
      </c>
      <c r="P3384">
        <v>214</v>
      </c>
      <c r="Q3384" t="s">
        <v>7116</v>
      </c>
    </row>
    <row r="3385" spans="1:17" x14ac:dyDescent="0.3">
      <c r="A3385" t="s">
        <v>17</v>
      </c>
      <c r="B3385" t="str">
        <f>"605081"</f>
        <v>605081</v>
      </c>
      <c r="C3385" t="s">
        <v>7117</v>
      </c>
      <c r="D3385" t="s">
        <v>520</v>
      </c>
      <c r="E3385">
        <v>2072279095</v>
      </c>
      <c r="F3385">
        <v>1978355383</v>
      </c>
      <c r="P3385">
        <v>30</v>
      </c>
      <c r="Q3385" t="s">
        <v>7118</v>
      </c>
    </row>
    <row r="3386" spans="1:17" x14ac:dyDescent="0.3">
      <c r="A3386" t="s">
        <v>17</v>
      </c>
      <c r="B3386" t="str">
        <f>"603630"</f>
        <v>603630</v>
      </c>
      <c r="C3386" t="s">
        <v>7119</v>
      </c>
      <c r="D3386" t="s">
        <v>2419</v>
      </c>
      <c r="E3386">
        <v>2072152104</v>
      </c>
      <c r="F3386">
        <v>2103675871</v>
      </c>
      <c r="G3386">
        <v>1945110937</v>
      </c>
      <c r="H3386">
        <v>2043412996</v>
      </c>
      <c r="I3386">
        <v>1904534138</v>
      </c>
      <c r="J3386">
        <v>1814553309</v>
      </c>
      <c r="P3386">
        <v>148</v>
      </c>
      <c r="Q3386" t="s">
        <v>7120</v>
      </c>
    </row>
    <row r="3387" spans="1:17" x14ac:dyDescent="0.3">
      <c r="A3387" t="s">
        <v>47</v>
      </c>
      <c r="B3387" t="str">
        <f>"301263"</f>
        <v>301263</v>
      </c>
      <c r="C3387" t="s">
        <v>7121</v>
      </c>
      <c r="E3387">
        <v>2072058906</v>
      </c>
      <c r="P3387">
        <v>5</v>
      </c>
      <c r="Q3387" t="s">
        <v>7122</v>
      </c>
    </row>
    <row r="3388" spans="1:17" x14ac:dyDescent="0.3">
      <c r="A3388" t="s">
        <v>17</v>
      </c>
      <c r="B3388" t="str">
        <f>"605056"</f>
        <v>605056</v>
      </c>
      <c r="C3388" t="s">
        <v>7123</v>
      </c>
      <c r="D3388" t="s">
        <v>3722</v>
      </c>
      <c r="E3388">
        <v>2071834457</v>
      </c>
      <c r="F3388">
        <v>1487968335</v>
      </c>
      <c r="P3388">
        <v>21</v>
      </c>
      <c r="Q3388" t="s">
        <v>7124</v>
      </c>
    </row>
    <row r="3389" spans="1:17" x14ac:dyDescent="0.3">
      <c r="A3389" t="s">
        <v>17</v>
      </c>
      <c r="B3389" t="str">
        <f>"605167"</f>
        <v>605167</v>
      </c>
      <c r="C3389" t="s">
        <v>7125</v>
      </c>
      <c r="D3389" t="s">
        <v>370</v>
      </c>
      <c r="E3389">
        <v>2071680776</v>
      </c>
      <c r="F3389">
        <v>1468785180</v>
      </c>
      <c r="P3389">
        <v>22</v>
      </c>
      <c r="Q3389" t="s">
        <v>7126</v>
      </c>
    </row>
    <row r="3390" spans="1:17" x14ac:dyDescent="0.3">
      <c r="A3390" t="s">
        <v>17</v>
      </c>
      <c r="B3390" t="str">
        <f>"603738"</f>
        <v>603738</v>
      </c>
      <c r="C3390" t="s">
        <v>7127</v>
      </c>
      <c r="D3390" t="s">
        <v>1808</v>
      </c>
      <c r="E3390">
        <v>2070872955</v>
      </c>
      <c r="F3390">
        <v>1429141739</v>
      </c>
      <c r="G3390">
        <v>1170235348</v>
      </c>
      <c r="H3390">
        <v>1185559879</v>
      </c>
      <c r="I3390">
        <v>1186877826</v>
      </c>
      <c r="J3390">
        <v>717193223</v>
      </c>
      <c r="P3390">
        <v>246</v>
      </c>
      <c r="Q3390" t="s">
        <v>7128</v>
      </c>
    </row>
    <row r="3391" spans="1:17" x14ac:dyDescent="0.3">
      <c r="A3391" t="s">
        <v>47</v>
      </c>
      <c r="B3391" t="str">
        <f>"002316"</f>
        <v>002316</v>
      </c>
      <c r="C3391" t="s">
        <v>7129</v>
      </c>
      <c r="D3391" t="s">
        <v>2663</v>
      </c>
      <c r="E3391">
        <v>2067918846</v>
      </c>
      <c r="F3391">
        <v>2472810202</v>
      </c>
      <c r="G3391">
        <v>2869900450</v>
      </c>
      <c r="H3391">
        <v>3077734167</v>
      </c>
      <c r="I3391">
        <v>2739347893</v>
      </c>
      <c r="J3391">
        <v>1865290729</v>
      </c>
      <c r="K3391">
        <v>1904648061</v>
      </c>
      <c r="L3391">
        <v>1786533301</v>
      </c>
      <c r="M3391">
        <v>1912328847</v>
      </c>
      <c r="N3391">
        <v>1762817326</v>
      </c>
      <c r="O3391">
        <v>1243283110</v>
      </c>
      <c r="P3391">
        <v>229</v>
      </c>
      <c r="Q3391" t="s">
        <v>7130</v>
      </c>
    </row>
    <row r="3392" spans="1:17" x14ac:dyDescent="0.3">
      <c r="A3392" t="s">
        <v>17</v>
      </c>
      <c r="B3392" t="str">
        <f>"688321"</f>
        <v>688321</v>
      </c>
      <c r="C3392" t="s">
        <v>7131</v>
      </c>
      <c r="D3392" t="s">
        <v>550</v>
      </c>
      <c r="E3392">
        <v>2067470850</v>
      </c>
      <c r="F3392">
        <v>1797651606</v>
      </c>
      <c r="G3392">
        <v>1661959689</v>
      </c>
      <c r="H3392">
        <v>768964094</v>
      </c>
      <c r="P3392">
        <v>157</v>
      </c>
      <c r="Q3392" t="s">
        <v>7132</v>
      </c>
    </row>
    <row r="3393" spans="1:17" x14ac:dyDescent="0.3">
      <c r="A3393" t="s">
        <v>47</v>
      </c>
      <c r="B3393" t="str">
        <f>"002150"</f>
        <v>002150</v>
      </c>
      <c r="C3393" t="s">
        <v>7133</v>
      </c>
      <c r="D3393" t="s">
        <v>401</v>
      </c>
      <c r="E3393">
        <v>2067301654</v>
      </c>
      <c r="F3393">
        <v>1905584540</v>
      </c>
      <c r="G3393">
        <v>1667237089</v>
      </c>
      <c r="H3393">
        <v>1576165100</v>
      </c>
      <c r="I3393">
        <v>1436872122</v>
      </c>
      <c r="J3393">
        <v>1380095273</v>
      </c>
      <c r="K3393">
        <v>892432594</v>
      </c>
      <c r="L3393">
        <v>896426688</v>
      </c>
      <c r="M3393">
        <v>906065642</v>
      </c>
      <c r="N3393">
        <v>867125632</v>
      </c>
      <c r="O3393">
        <v>850559790</v>
      </c>
      <c r="P3393">
        <v>103</v>
      </c>
      <c r="Q3393" t="s">
        <v>7134</v>
      </c>
    </row>
    <row r="3394" spans="1:17" x14ac:dyDescent="0.3">
      <c r="A3394" t="s">
        <v>17</v>
      </c>
      <c r="B3394" t="str">
        <f>"688766"</f>
        <v>688766</v>
      </c>
      <c r="C3394" t="s">
        <v>7135</v>
      </c>
      <c r="D3394" t="s">
        <v>967</v>
      </c>
      <c r="E3394">
        <v>2065684989</v>
      </c>
      <c r="G3394">
        <v>383713192</v>
      </c>
      <c r="P3394">
        <v>42</v>
      </c>
      <c r="Q3394" t="s">
        <v>7136</v>
      </c>
    </row>
    <row r="3395" spans="1:17" x14ac:dyDescent="0.3">
      <c r="A3395" t="s">
        <v>47</v>
      </c>
      <c r="B3395" t="str">
        <f>"300746"</f>
        <v>300746</v>
      </c>
      <c r="C3395" t="s">
        <v>7137</v>
      </c>
      <c r="D3395" t="s">
        <v>2178</v>
      </c>
      <c r="E3395">
        <v>2065598656</v>
      </c>
      <c r="F3395">
        <v>1959078187</v>
      </c>
      <c r="G3395">
        <v>1990969398</v>
      </c>
      <c r="H3395">
        <v>1118972023</v>
      </c>
      <c r="I3395">
        <v>846557582</v>
      </c>
      <c r="P3395">
        <v>66</v>
      </c>
      <c r="Q3395" t="s">
        <v>7138</v>
      </c>
    </row>
    <row r="3396" spans="1:17" x14ac:dyDescent="0.3">
      <c r="A3396" t="s">
        <v>47</v>
      </c>
      <c r="B3396" t="str">
        <f>"002144"</f>
        <v>002144</v>
      </c>
      <c r="C3396" t="s">
        <v>7139</v>
      </c>
      <c r="D3396" t="s">
        <v>3463</v>
      </c>
      <c r="E3396">
        <v>2061660283</v>
      </c>
      <c r="F3396">
        <v>1962747659</v>
      </c>
      <c r="G3396">
        <v>1919131514</v>
      </c>
      <c r="H3396">
        <v>1929559091</v>
      </c>
      <c r="I3396">
        <v>1993596429</v>
      </c>
      <c r="J3396">
        <v>2038629406</v>
      </c>
      <c r="K3396">
        <v>1981404182</v>
      </c>
      <c r="L3396">
        <v>2264801437</v>
      </c>
      <c r="M3396">
        <v>1868817124</v>
      </c>
      <c r="N3396">
        <v>1960668840</v>
      </c>
      <c r="O3396">
        <v>1453039197</v>
      </c>
      <c r="P3396">
        <v>115</v>
      </c>
      <c r="Q3396" t="s">
        <v>7140</v>
      </c>
    </row>
    <row r="3397" spans="1:17" x14ac:dyDescent="0.3">
      <c r="A3397" t="s">
        <v>17</v>
      </c>
      <c r="B3397" t="str">
        <f>"605228"</f>
        <v>605228</v>
      </c>
      <c r="C3397" t="s">
        <v>7141</v>
      </c>
      <c r="D3397" t="s">
        <v>416</v>
      </c>
      <c r="E3397">
        <v>2061346964</v>
      </c>
      <c r="F3397">
        <v>2111582690</v>
      </c>
      <c r="P3397">
        <v>30</v>
      </c>
      <c r="Q3397" t="s">
        <v>7142</v>
      </c>
    </row>
    <row r="3398" spans="1:17" x14ac:dyDescent="0.3">
      <c r="A3398" t="s">
        <v>47</v>
      </c>
      <c r="B3398" t="str">
        <f>"002232"</f>
        <v>002232</v>
      </c>
      <c r="C3398" t="s">
        <v>7143</v>
      </c>
      <c r="D3398" t="s">
        <v>700</v>
      </c>
      <c r="E3398">
        <v>2061090265</v>
      </c>
      <c r="F3398">
        <v>2218485188</v>
      </c>
      <c r="G3398">
        <v>1776688424</v>
      </c>
      <c r="H3398">
        <v>1906314522</v>
      </c>
      <c r="I3398">
        <v>1727012608</v>
      </c>
      <c r="J3398">
        <v>1781030226</v>
      </c>
      <c r="K3398">
        <v>1586278603</v>
      </c>
      <c r="L3398">
        <v>1544823934</v>
      </c>
      <c r="M3398">
        <v>1611947355</v>
      </c>
      <c r="N3398">
        <v>1545962658</v>
      </c>
      <c r="O3398">
        <v>1386110475</v>
      </c>
      <c r="P3398">
        <v>247</v>
      </c>
      <c r="Q3398" t="s">
        <v>7144</v>
      </c>
    </row>
    <row r="3399" spans="1:17" x14ac:dyDescent="0.3">
      <c r="A3399" t="s">
        <v>47</v>
      </c>
      <c r="B3399" t="str">
        <f>"002256"</f>
        <v>002256</v>
      </c>
      <c r="C3399" t="s">
        <v>7145</v>
      </c>
      <c r="D3399" t="s">
        <v>976</v>
      </c>
      <c r="E3399">
        <v>2060700934</v>
      </c>
      <c r="F3399">
        <v>2794421821</v>
      </c>
      <c r="G3399">
        <v>2697221924</v>
      </c>
      <c r="H3399">
        <v>3068098393</v>
      </c>
      <c r="I3399">
        <v>3897776999</v>
      </c>
      <c r="J3399">
        <v>3512795000</v>
      </c>
      <c r="K3399">
        <v>2123860336</v>
      </c>
      <c r="L3399">
        <v>1316657064</v>
      </c>
      <c r="M3399">
        <v>718366195</v>
      </c>
      <c r="N3399">
        <v>849874210</v>
      </c>
      <c r="O3399">
        <v>680439670</v>
      </c>
      <c r="P3399">
        <v>151</v>
      </c>
      <c r="Q3399" t="s">
        <v>7146</v>
      </c>
    </row>
    <row r="3400" spans="1:17" x14ac:dyDescent="0.3">
      <c r="A3400" t="s">
        <v>17</v>
      </c>
      <c r="B3400" t="str">
        <f>"600593"</f>
        <v>600593</v>
      </c>
      <c r="C3400" t="s">
        <v>7147</v>
      </c>
      <c r="D3400" t="s">
        <v>1942</v>
      </c>
      <c r="E3400">
        <v>2059757238</v>
      </c>
      <c r="F3400">
        <v>2110577804</v>
      </c>
      <c r="G3400">
        <v>2106815277</v>
      </c>
      <c r="H3400">
        <v>1797159466</v>
      </c>
      <c r="I3400">
        <v>1238945891</v>
      </c>
      <c r="J3400">
        <v>971477770</v>
      </c>
      <c r="K3400">
        <v>607446132</v>
      </c>
      <c r="L3400">
        <v>655687563</v>
      </c>
      <c r="M3400">
        <v>713976390</v>
      </c>
      <c r="N3400">
        <v>740178803</v>
      </c>
      <c r="O3400">
        <v>563789999</v>
      </c>
      <c r="P3400">
        <v>123</v>
      </c>
      <c r="Q3400" t="s">
        <v>7148</v>
      </c>
    </row>
    <row r="3401" spans="1:17" x14ac:dyDescent="0.3">
      <c r="A3401" t="s">
        <v>47</v>
      </c>
      <c r="B3401" t="str">
        <f>"300386"</f>
        <v>300386</v>
      </c>
      <c r="C3401" t="s">
        <v>7149</v>
      </c>
      <c r="D3401" t="s">
        <v>765</v>
      </c>
      <c r="E3401">
        <v>2059459136</v>
      </c>
      <c r="F3401">
        <v>2070354431</v>
      </c>
      <c r="G3401">
        <v>1982156407</v>
      </c>
      <c r="H3401">
        <v>1978381543</v>
      </c>
      <c r="I3401">
        <v>1931474111</v>
      </c>
      <c r="J3401">
        <v>1949270692</v>
      </c>
      <c r="K3401">
        <v>1714884081</v>
      </c>
      <c r="L3401">
        <v>1591842832</v>
      </c>
      <c r="M3401">
        <v>675044416</v>
      </c>
      <c r="P3401">
        <v>188</v>
      </c>
      <c r="Q3401" t="s">
        <v>7150</v>
      </c>
    </row>
    <row r="3402" spans="1:17" x14ac:dyDescent="0.3">
      <c r="A3402" t="s">
        <v>17</v>
      </c>
      <c r="B3402" t="str">
        <f>"603933"</f>
        <v>603933</v>
      </c>
      <c r="C3402" t="s">
        <v>7151</v>
      </c>
      <c r="D3402" t="s">
        <v>1609</v>
      </c>
      <c r="E3402">
        <v>2056492305</v>
      </c>
      <c r="F3402">
        <v>1692709673</v>
      </c>
      <c r="G3402">
        <v>1408147437</v>
      </c>
      <c r="H3402">
        <v>1514761252</v>
      </c>
      <c r="I3402">
        <v>1421177347</v>
      </c>
      <c r="J3402">
        <v>878651388</v>
      </c>
      <c r="P3402">
        <v>122</v>
      </c>
      <c r="Q3402" t="s">
        <v>7152</v>
      </c>
    </row>
    <row r="3403" spans="1:17" x14ac:dyDescent="0.3">
      <c r="A3403" t="s">
        <v>47</v>
      </c>
      <c r="B3403" t="str">
        <f>"301086"</f>
        <v>301086</v>
      </c>
      <c r="C3403" t="s">
        <v>7153</v>
      </c>
      <c r="D3403" t="s">
        <v>283</v>
      </c>
      <c r="E3403">
        <v>2053437120</v>
      </c>
      <c r="P3403">
        <v>28</v>
      </c>
      <c r="Q3403" t="s">
        <v>7154</v>
      </c>
    </row>
    <row r="3404" spans="1:17" x14ac:dyDescent="0.3">
      <c r="A3404" t="s">
        <v>17</v>
      </c>
      <c r="B3404" t="str">
        <f>"688270"</f>
        <v>688270</v>
      </c>
      <c r="C3404" t="s">
        <v>7155</v>
      </c>
      <c r="E3404">
        <v>2052056292</v>
      </c>
      <c r="P3404">
        <v>12</v>
      </c>
      <c r="Q3404" t="s">
        <v>7156</v>
      </c>
    </row>
    <row r="3405" spans="1:17" x14ac:dyDescent="0.3">
      <c r="A3405" t="s">
        <v>47</v>
      </c>
      <c r="B3405" t="str">
        <f>"301136"</f>
        <v>301136</v>
      </c>
      <c r="C3405" t="s">
        <v>7157</v>
      </c>
      <c r="D3405" t="s">
        <v>2178</v>
      </c>
      <c r="E3405">
        <v>2051893930</v>
      </c>
      <c r="P3405">
        <v>9</v>
      </c>
      <c r="Q3405" t="s">
        <v>7158</v>
      </c>
    </row>
    <row r="3406" spans="1:17" x14ac:dyDescent="0.3">
      <c r="A3406" t="s">
        <v>17</v>
      </c>
      <c r="B3406" t="str">
        <f>"603628"</f>
        <v>603628</v>
      </c>
      <c r="C3406" t="s">
        <v>7159</v>
      </c>
      <c r="D3406" t="s">
        <v>1555</v>
      </c>
      <c r="E3406">
        <v>2047820446</v>
      </c>
      <c r="F3406">
        <v>1966839548</v>
      </c>
      <c r="G3406">
        <v>1919260439</v>
      </c>
      <c r="H3406">
        <v>2662457689</v>
      </c>
      <c r="I3406">
        <v>2247212108</v>
      </c>
      <c r="J3406">
        <v>1696858551</v>
      </c>
      <c r="P3406">
        <v>80</v>
      </c>
      <c r="Q3406" t="s">
        <v>7160</v>
      </c>
    </row>
    <row r="3407" spans="1:17" x14ac:dyDescent="0.3">
      <c r="A3407" t="s">
        <v>17</v>
      </c>
      <c r="B3407" t="str">
        <f>"688178"</f>
        <v>688178</v>
      </c>
      <c r="C3407" t="s">
        <v>7161</v>
      </c>
      <c r="D3407" t="s">
        <v>520</v>
      </c>
      <c r="E3407">
        <v>2045286757</v>
      </c>
      <c r="F3407">
        <v>1693845889</v>
      </c>
      <c r="G3407">
        <v>1418645388</v>
      </c>
      <c r="P3407">
        <v>69</v>
      </c>
      <c r="Q3407" t="s">
        <v>7162</v>
      </c>
    </row>
    <row r="3408" spans="1:17" x14ac:dyDescent="0.3">
      <c r="A3408" t="s">
        <v>17</v>
      </c>
      <c r="B3408" t="str">
        <f>"603331"</f>
        <v>603331</v>
      </c>
      <c r="C3408" t="s">
        <v>7163</v>
      </c>
      <c r="D3408" t="s">
        <v>1433</v>
      </c>
      <c r="E3408">
        <v>2044763175</v>
      </c>
      <c r="F3408">
        <v>1918667717</v>
      </c>
      <c r="G3408">
        <v>1809042352</v>
      </c>
      <c r="H3408">
        <v>1147985003</v>
      </c>
      <c r="I3408">
        <v>1054232196</v>
      </c>
      <c r="J3408">
        <v>763093864</v>
      </c>
      <c r="P3408">
        <v>83</v>
      </c>
      <c r="Q3408" t="s">
        <v>7164</v>
      </c>
    </row>
    <row r="3409" spans="1:17" x14ac:dyDescent="0.3">
      <c r="A3409" t="s">
        <v>17</v>
      </c>
      <c r="B3409" t="str">
        <f>"603557"</f>
        <v>603557</v>
      </c>
      <c r="C3409" t="s">
        <v>7165</v>
      </c>
      <c r="D3409" t="s">
        <v>4276</v>
      </c>
      <c r="E3409">
        <v>2044377837</v>
      </c>
      <c r="F3409">
        <v>2949661766</v>
      </c>
      <c r="G3409">
        <v>2699009638</v>
      </c>
      <c r="H3409">
        <v>2466094236</v>
      </c>
      <c r="I3409">
        <v>1770972202</v>
      </c>
      <c r="P3409">
        <v>118</v>
      </c>
      <c r="Q3409" t="s">
        <v>7166</v>
      </c>
    </row>
    <row r="3410" spans="1:17" x14ac:dyDescent="0.3">
      <c r="A3410" t="s">
        <v>47</v>
      </c>
      <c r="B3410" t="str">
        <f>"002935"</f>
        <v>002935</v>
      </c>
      <c r="C3410" t="s">
        <v>7167</v>
      </c>
      <c r="D3410" t="s">
        <v>1385</v>
      </c>
      <c r="E3410">
        <v>2043337580</v>
      </c>
      <c r="F3410">
        <v>1848292383</v>
      </c>
      <c r="G3410">
        <v>1547830027</v>
      </c>
      <c r="H3410">
        <v>1477575473</v>
      </c>
      <c r="P3410">
        <v>203</v>
      </c>
      <c r="Q3410" t="s">
        <v>7168</v>
      </c>
    </row>
    <row r="3411" spans="1:17" x14ac:dyDescent="0.3">
      <c r="A3411" t="s">
        <v>47</v>
      </c>
      <c r="B3411" t="str">
        <f>"300460"</f>
        <v>300460</v>
      </c>
      <c r="C3411" t="s">
        <v>7169</v>
      </c>
      <c r="D3411" t="s">
        <v>1808</v>
      </c>
      <c r="E3411">
        <v>2041705917</v>
      </c>
      <c r="F3411">
        <v>1221364302</v>
      </c>
      <c r="G3411">
        <v>824283752</v>
      </c>
      <c r="H3411">
        <v>955514216</v>
      </c>
      <c r="I3411">
        <v>1071083645</v>
      </c>
      <c r="J3411">
        <v>908058051</v>
      </c>
      <c r="K3411">
        <v>788413955</v>
      </c>
      <c r="L3411">
        <v>662046624</v>
      </c>
      <c r="P3411">
        <v>154</v>
      </c>
      <c r="Q3411" t="s">
        <v>7170</v>
      </c>
    </row>
    <row r="3412" spans="1:17" x14ac:dyDescent="0.3">
      <c r="A3412" t="s">
        <v>17</v>
      </c>
      <c r="B3412" t="str">
        <f>"688357"</f>
        <v>688357</v>
      </c>
      <c r="C3412" t="s">
        <v>7171</v>
      </c>
      <c r="D3412" t="s">
        <v>1197</v>
      </c>
      <c r="E3412">
        <v>2041628197</v>
      </c>
      <c r="F3412">
        <v>1212918875</v>
      </c>
      <c r="G3412">
        <v>1154769328</v>
      </c>
      <c r="P3412">
        <v>157</v>
      </c>
      <c r="Q3412" t="s">
        <v>7172</v>
      </c>
    </row>
    <row r="3413" spans="1:17" x14ac:dyDescent="0.3">
      <c r="A3413" t="s">
        <v>17</v>
      </c>
      <c r="B3413" t="str">
        <f>"603042"</f>
        <v>603042</v>
      </c>
      <c r="C3413" t="s">
        <v>7173</v>
      </c>
      <c r="D3413" t="s">
        <v>828</v>
      </c>
      <c r="E3413">
        <v>2040880331</v>
      </c>
      <c r="F3413">
        <v>1812609158</v>
      </c>
      <c r="G3413">
        <v>2241016739</v>
      </c>
      <c r="H3413">
        <v>2192273485</v>
      </c>
      <c r="I3413">
        <v>1529072086</v>
      </c>
      <c r="J3413">
        <v>1124513000</v>
      </c>
      <c r="P3413">
        <v>122</v>
      </c>
      <c r="Q3413" t="s">
        <v>7174</v>
      </c>
    </row>
    <row r="3414" spans="1:17" x14ac:dyDescent="0.3">
      <c r="A3414" t="s">
        <v>47</v>
      </c>
      <c r="B3414" t="str">
        <f>"301137"</f>
        <v>301137</v>
      </c>
      <c r="C3414" t="s">
        <v>7175</v>
      </c>
      <c r="E3414">
        <v>2038481160</v>
      </c>
      <c r="P3414">
        <v>3</v>
      </c>
      <c r="Q3414" t="s">
        <v>7176</v>
      </c>
    </row>
    <row r="3415" spans="1:17" x14ac:dyDescent="0.3">
      <c r="A3415" t="s">
        <v>17</v>
      </c>
      <c r="B3415" t="str">
        <f>"688175"</f>
        <v>688175</v>
      </c>
      <c r="C3415" t="s">
        <v>7177</v>
      </c>
      <c r="E3415">
        <v>2038441472</v>
      </c>
      <c r="P3415">
        <v>3</v>
      </c>
      <c r="Q3415" t="s">
        <v>7178</v>
      </c>
    </row>
    <row r="3416" spans="1:17" x14ac:dyDescent="0.3">
      <c r="A3416" t="s">
        <v>47</v>
      </c>
      <c r="B3416" t="str">
        <f>"003040"</f>
        <v>003040</v>
      </c>
      <c r="C3416" t="s">
        <v>7179</v>
      </c>
      <c r="D3416" t="s">
        <v>962</v>
      </c>
      <c r="E3416">
        <v>2037667326</v>
      </c>
      <c r="F3416">
        <v>2005873853</v>
      </c>
      <c r="P3416">
        <v>61</v>
      </c>
      <c r="Q3416" t="s">
        <v>7180</v>
      </c>
    </row>
    <row r="3417" spans="1:17" x14ac:dyDescent="0.3">
      <c r="A3417" t="s">
        <v>17</v>
      </c>
      <c r="B3417" t="str">
        <f>"603527"</f>
        <v>603527</v>
      </c>
      <c r="C3417" t="s">
        <v>7181</v>
      </c>
      <c r="D3417" t="s">
        <v>301</v>
      </c>
      <c r="E3417">
        <v>2035864514</v>
      </c>
      <c r="F3417">
        <v>1582916062</v>
      </c>
      <c r="G3417">
        <v>1282075829</v>
      </c>
      <c r="H3417">
        <v>1131481036</v>
      </c>
      <c r="I3417">
        <v>1148552016</v>
      </c>
      <c r="P3417">
        <v>53</v>
      </c>
      <c r="Q3417" t="s">
        <v>7182</v>
      </c>
    </row>
    <row r="3418" spans="1:17" x14ac:dyDescent="0.3">
      <c r="A3418" t="s">
        <v>47</v>
      </c>
      <c r="B3418" t="str">
        <f>"300877"</f>
        <v>300877</v>
      </c>
      <c r="C3418" t="s">
        <v>7183</v>
      </c>
      <c r="D3418" t="s">
        <v>3463</v>
      </c>
      <c r="E3418">
        <v>2034428151</v>
      </c>
      <c r="F3418">
        <v>1816082791</v>
      </c>
      <c r="P3418">
        <v>75</v>
      </c>
      <c r="Q3418" t="s">
        <v>7184</v>
      </c>
    </row>
    <row r="3419" spans="1:17" x14ac:dyDescent="0.3">
      <c r="A3419" t="s">
        <v>17</v>
      </c>
      <c r="B3419" t="str">
        <f>"603896"</f>
        <v>603896</v>
      </c>
      <c r="C3419" t="s">
        <v>7185</v>
      </c>
      <c r="D3419" t="s">
        <v>695</v>
      </c>
      <c r="E3419">
        <v>2033191329</v>
      </c>
      <c r="F3419">
        <v>1807889051</v>
      </c>
      <c r="G3419">
        <v>1388129089</v>
      </c>
      <c r="H3419">
        <v>1248246143</v>
      </c>
      <c r="I3419">
        <v>987542922</v>
      </c>
      <c r="J3419">
        <v>603557158</v>
      </c>
      <c r="P3419">
        <v>230</v>
      </c>
      <c r="Q3419" t="s">
        <v>7186</v>
      </c>
    </row>
    <row r="3420" spans="1:17" x14ac:dyDescent="0.3">
      <c r="A3420" t="s">
        <v>47</v>
      </c>
      <c r="B3420" t="str">
        <f>"300160"</f>
        <v>300160</v>
      </c>
      <c r="C3420" t="s">
        <v>7187</v>
      </c>
      <c r="D3420" t="s">
        <v>1511</v>
      </c>
      <c r="E3420">
        <v>2032616344</v>
      </c>
      <c r="F3420">
        <v>1811382798</v>
      </c>
      <c r="G3420">
        <v>1720391539</v>
      </c>
      <c r="H3420">
        <v>1702269685</v>
      </c>
      <c r="I3420">
        <v>2236151706</v>
      </c>
      <c r="J3420">
        <v>1993859706</v>
      </c>
      <c r="K3420">
        <v>1684235249</v>
      </c>
      <c r="L3420">
        <v>1395658412</v>
      </c>
      <c r="M3420">
        <v>1392798226</v>
      </c>
      <c r="N3420">
        <v>1394501499</v>
      </c>
      <c r="O3420">
        <v>1316881728</v>
      </c>
      <c r="P3420">
        <v>150</v>
      </c>
      <c r="Q3420" t="s">
        <v>7188</v>
      </c>
    </row>
    <row r="3421" spans="1:17" x14ac:dyDescent="0.3">
      <c r="A3421" t="s">
        <v>17</v>
      </c>
      <c r="B3421" t="str">
        <f>"688560"</f>
        <v>688560</v>
      </c>
      <c r="C3421" t="s">
        <v>7189</v>
      </c>
      <c r="D3421" t="s">
        <v>1555</v>
      </c>
      <c r="E3421">
        <v>2028546135</v>
      </c>
      <c r="F3421">
        <v>1811067954</v>
      </c>
      <c r="P3421">
        <v>38</v>
      </c>
      <c r="Q3421" t="s">
        <v>7190</v>
      </c>
    </row>
    <row r="3422" spans="1:17" x14ac:dyDescent="0.3">
      <c r="A3422" t="s">
        <v>47</v>
      </c>
      <c r="B3422" t="str">
        <f>"002992"</f>
        <v>002992</v>
      </c>
      <c r="C3422" t="s">
        <v>7191</v>
      </c>
      <c r="D3422" t="s">
        <v>181</v>
      </c>
      <c r="E3422">
        <v>2027725572</v>
      </c>
      <c r="F3422">
        <v>2528918552</v>
      </c>
      <c r="G3422">
        <v>1895626355</v>
      </c>
      <c r="P3422">
        <v>51</v>
      </c>
      <c r="Q3422" t="s">
        <v>7192</v>
      </c>
    </row>
    <row r="3423" spans="1:17" x14ac:dyDescent="0.3">
      <c r="A3423" t="s">
        <v>47</v>
      </c>
      <c r="B3423" t="str">
        <f>"300842"</f>
        <v>300842</v>
      </c>
      <c r="C3423" t="s">
        <v>7193</v>
      </c>
      <c r="D3423" t="s">
        <v>1555</v>
      </c>
      <c r="E3423">
        <v>2024301405</v>
      </c>
      <c r="F3423">
        <v>1940302461</v>
      </c>
      <c r="G3423">
        <v>1040698193</v>
      </c>
      <c r="P3423">
        <v>130</v>
      </c>
      <c r="Q3423" t="s">
        <v>7194</v>
      </c>
    </row>
    <row r="3424" spans="1:17" x14ac:dyDescent="0.3">
      <c r="A3424" t="s">
        <v>17</v>
      </c>
      <c r="B3424" t="str">
        <f>"603929"</f>
        <v>603929</v>
      </c>
      <c r="C3424" t="s">
        <v>7195</v>
      </c>
      <c r="D3424" t="s">
        <v>152</v>
      </c>
      <c r="E3424">
        <v>2024252057</v>
      </c>
      <c r="F3424">
        <v>1879335931</v>
      </c>
      <c r="G3424">
        <v>1828902505</v>
      </c>
      <c r="H3424">
        <v>1819176204</v>
      </c>
      <c r="I3424">
        <v>1755894383</v>
      </c>
      <c r="J3424">
        <v>1461669724</v>
      </c>
      <c r="P3424">
        <v>109</v>
      </c>
      <c r="Q3424" t="s">
        <v>7196</v>
      </c>
    </row>
    <row r="3425" spans="1:17" x14ac:dyDescent="0.3">
      <c r="A3425" t="s">
        <v>17</v>
      </c>
      <c r="B3425" t="str">
        <f>"605399"</f>
        <v>605399</v>
      </c>
      <c r="C3425" t="s">
        <v>7197</v>
      </c>
      <c r="D3425" t="s">
        <v>1833</v>
      </c>
      <c r="E3425">
        <v>2022909685</v>
      </c>
      <c r="F3425">
        <v>1316549856</v>
      </c>
      <c r="G3425">
        <v>562695119</v>
      </c>
      <c r="P3425">
        <v>126</v>
      </c>
      <c r="Q3425" t="s">
        <v>7198</v>
      </c>
    </row>
    <row r="3426" spans="1:17" x14ac:dyDescent="0.3">
      <c r="A3426" t="s">
        <v>47</v>
      </c>
      <c r="B3426" t="str">
        <f>"300694"</f>
        <v>300694</v>
      </c>
      <c r="C3426" t="s">
        <v>7199</v>
      </c>
      <c r="D3426" t="s">
        <v>274</v>
      </c>
      <c r="E3426">
        <v>2022462342</v>
      </c>
      <c r="F3426">
        <v>1995436523</v>
      </c>
      <c r="G3426">
        <v>1934066723</v>
      </c>
      <c r="H3426">
        <v>2057130591</v>
      </c>
      <c r="P3426">
        <v>74</v>
      </c>
      <c r="Q3426" t="s">
        <v>7200</v>
      </c>
    </row>
    <row r="3427" spans="1:17" x14ac:dyDescent="0.3">
      <c r="A3427" t="s">
        <v>47</v>
      </c>
      <c r="B3427" t="str">
        <f>"300757"</f>
        <v>300757</v>
      </c>
      <c r="C3427" t="s">
        <v>7201</v>
      </c>
      <c r="D3427" t="s">
        <v>4037</v>
      </c>
      <c r="E3427">
        <v>2022071032</v>
      </c>
      <c r="F3427">
        <v>1910601879</v>
      </c>
      <c r="G3427">
        <v>1471204200</v>
      </c>
      <c r="H3427">
        <v>1320311682</v>
      </c>
      <c r="P3427">
        <v>76</v>
      </c>
      <c r="Q3427" t="s">
        <v>7202</v>
      </c>
    </row>
    <row r="3428" spans="1:17" x14ac:dyDescent="0.3">
      <c r="A3428" t="s">
        <v>17</v>
      </c>
      <c r="B3428" t="str">
        <f>"688085"</f>
        <v>688085</v>
      </c>
      <c r="C3428" t="s">
        <v>7203</v>
      </c>
      <c r="D3428" t="s">
        <v>1650</v>
      </c>
      <c r="E3428">
        <v>2015142849</v>
      </c>
      <c r="F3428">
        <v>1708290335</v>
      </c>
      <c r="G3428">
        <v>550769465</v>
      </c>
      <c r="P3428">
        <v>197</v>
      </c>
      <c r="Q3428" t="s">
        <v>7204</v>
      </c>
    </row>
    <row r="3429" spans="1:17" x14ac:dyDescent="0.3">
      <c r="A3429" t="s">
        <v>47</v>
      </c>
      <c r="B3429" t="str">
        <f>"002878"</f>
        <v>002878</v>
      </c>
      <c r="C3429" t="s">
        <v>7205</v>
      </c>
      <c r="D3429" t="s">
        <v>4441</v>
      </c>
      <c r="E3429">
        <v>2015100979</v>
      </c>
      <c r="F3429">
        <v>1353259868</v>
      </c>
      <c r="G3429">
        <v>1208871268</v>
      </c>
      <c r="H3429">
        <v>1034785642</v>
      </c>
      <c r="I3429">
        <v>731264620</v>
      </c>
      <c r="J3429">
        <v>381567100</v>
      </c>
      <c r="P3429">
        <v>345</v>
      </c>
      <c r="Q3429" t="s">
        <v>7206</v>
      </c>
    </row>
    <row r="3430" spans="1:17" x14ac:dyDescent="0.3">
      <c r="A3430" t="s">
        <v>17</v>
      </c>
      <c r="B3430" t="str">
        <f>"600493"</f>
        <v>600493</v>
      </c>
      <c r="C3430" t="s">
        <v>7207</v>
      </c>
      <c r="D3430" t="s">
        <v>1682</v>
      </c>
      <c r="E3430">
        <v>2014160425</v>
      </c>
      <c r="F3430">
        <v>1980270128</v>
      </c>
      <c r="G3430">
        <v>1682680280</v>
      </c>
      <c r="H3430">
        <v>1398309723</v>
      </c>
      <c r="I3430">
        <v>1070873296</v>
      </c>
      <c r="J3430">
        <v>955547858</v>
      </c>
      <c r="K3430">
        <v>972872438</v>
      </c>
      <c r="L3430">
        <v>1030735119</v>
      </c>
      <c r="M3430">
        <v>1202381661</v>
      </c>
      <c r="N3430">
        <v>1247833042</v>
      </c>
      <c r="O3430">
        <v>1221286448</v>
      </c>
      <c r="P3430">
        <v>80</v>
      </c>
      <c r="Q3430" t="s">
        <v>7208</v>
      </c>
    </row>
    <row r="3431" spans="1:17" x14ac:dyDescent="0.3">
      <c r="A3431" t="s">
        <v>17</v>
      </c>
      <c r="B3431" t="str">
        <f>"603178"</f>
        <v>603178</v>
      </c>
      <c r="C3431" t="s">
        <v>7209</v>
      </c>
      <c r="D3431" t="s">
        <v>274</v>
      </c>
      <c r="E3431">
        <v>2013210080</v>
      </c>
      <c r="F3431">
        <v>1936146678</v>
      </c>
      <c r="G3431">
        <v>1898178106</v>
      </c>
      <c r="H3431">
        <v>2094203055</v>
      </c>
      <c r="I3431">
        <v>2023366917</v>
      </c>
      <c r="J3431">
        <v>1908227108</v>
      </c>
      <c r="P3431">
        <v>80</v>
      </c>
      <c r="Q3431" t="s">
        <v>7210</v>
      </c>
    </row>
    <row r="3432" spans="1:17" x14ac:dyDescent="0.3">
      <c r="A3432" t="s">
        <v>17</v>
      </c>
      <c r="B3432" t="str">
        <f>"603080"</f>
        <v>603080</v>
      </c>
      <c r="C3432" t="s">
        <v>7211</v>
      </c>
      <c r="D3432" t="s">
        <v>476</v>
      </c>
      <c r="E3432">
        <v>2010974856</v>
      </c>
      <c r="F3432">
        <v>2052437043</v>
      </c>
      <c r="G3432">
        <v>1588922965</v>
      </c>
      <c r="H3432">
        <v>1383489398</v>
      </c>
      <c r="I3432">
        <v>1082987236</v>
      </c>
      <c r="P3432">
        <v>93</v>
      </c>
      <c r="Q3432" t="s">
        <v>7212</v>
      </c>
    </row>
    <row r="3433" spans="1:17" x14ac:dyDescent="0.3">
      <c r="A3433" t="s">
        <v>47</v>
      </c>
      <c r="B3433" t="str">
        <f>"301150"</f>
        <v>301150</v>
      </c>
      <c r="C3433" t="s">
        <v>7213</v>
      </c>
      <c r="E3433">
        <v>2009790923</v>
      </c>
      <c r="P3433">
        <v>7</v>
      </c>
      <c r="Q3433" t="s">
        <v>7214</v>
      </c>
    </row>
    <row r="3434" spans="1:17" x14ac:dyDescent="0.3">
      <c r="A3434" t="s">
        <v>47</v>
      </c>
      <c r="B3434" t="str">
        <f>"002912"</f>
        <v>002912</v>
      </c>
      <c r="C3434" t="s">
        <v>7215</v>
      </c>
      <c r="D3434" t="s">
        <v>765</v>
      </c>
      <c r="E3434">
        <v>2007316661</v>
      </c>
      <c r="F3434">
        <v>2291390496</v>
      </c>
      <c r="G3434">
        <v>2088743063</v>
      </c>
      <c r="H3434">
        <v>2022869500</v>
      </c>
      <c r="I3434">
        <v>1581666882</v>
      </c>
      <c r="P3434">
        <v>586</v>
      </c>
      <c r="Q3434" t="s">
        <v>7216</v>
      </c>
    </row>
    <row r="3435" spans="1:17" x14ac:dyDescent="0.3">
      <c r="A3435" t="s">
        <v>47</v>
      </c>
      <c r="B3435" t="str">
        <f>"002728"</f>
        <v>002728</v>
      </c>
      <c r="C3435" t="s">
        <v>7217</v>
      </c>
      <c r="D3435" t="s">
        <v>695</v>
      </c>
      <c r="E3435">
        <v>2005314284</v>
      </c>
      <c r="F3435">
        <v>2021690083</v>
      </c>
      <c r="G3435">
        <v>2352331021</v>
      </c>
      <c r="H3435">
        <v>2195895942</v>
      </c>
      <c r="I3435">
        <v>1903879151</v>
      </c>
      <c r="J3435">
        <v>1583971471</v>
      </c>
      <c r="K3435">
        <v>1575337998</v>
      </c>
      <c r="L3435">
        <v>851990146</v>
      </c>
      <c r="M3435">
        <v>435761100</v>
      </c>
      <c r="P3435">
        <v>286</v>
      </c>
      <c r="Q3435" t="s">
        <v>7218</v>
      </c>
    </row>
    <row r="3436" spans="1:17" x14ac:dyDescent="0.3">
      <c r="A3436" t="s">
        <v>17</v>
      </c>
      <c r="B3436" t="str">
        <f>"603045"</f>
        <v>603045</v>
      </c>
      <c r="C3436" t="s">
        <v>7219</v>
      </c>
      <c r="D3436" t="s">
        <v>2432</v>
      </c>
      <c r="E3436">
        <v>2004423510</v>
      </c>
      <c r="F3436">
        <v>2048642829</v>
      </c>
      <c r="G3436">
        <v>1466068162</v>
      </c>
      <c r="H3436">
        <v>1354989938</v>
      </c>
      <c r="I3436">
        <v>1140155215</v>
      </c>
      <c r="P3436">
        <v>54</v>
      </c>
      <c r="Q3436" t="s">
        <v>7220</v>
      </c>
    </row>
    <row r="3437" spans="1:17" x14ac:dyDescent="0.3">
      <c r="A3437" t="s">
        <v>47</v>
      </c>
      <c r="B3437" t="str">
        <f>"301036"</f>
        <v>301036</v>
      </c>
      <c r="C3437" t="s">
        <v>7221</v>
      </c>
      <c r="D3437" t="s">
        <v>5419</v>
      </c>
      <c r="E3437">
        <v>2001677505</v>
      </c>
      <c r="F3437">
        <v>1774211065</v>
      </c>
      <c r="P3437">
        <v>20</v>
      </c>
      <c r="Q3437" t="s">
        <v>7222</v>
      </c>
    </row>
    <row r="3438" spans="1:17" x14ac:dyDescent="0.3">
      <c r="A3438" t="s">
        <v>17</v>
      </c>
      <c r="B3438" t="str">
        <f>"603530"</f>
        <v>603530</v>
      </c>
      <c r="C3438" t="s">
        <v>7223</v>
      </c>
      <c r="D3438" t="s">
        <v>1616</v>
      </c>
      <c r="E3438">
        <v>2001359822</v>
      </c>
      <c r="F3438">
        <v>1326079172</v>
      </c>
      <c r="G3438">
        <v>1362496233</v>
      </c>
      <c r="P3438">
        <v>88</v>
      </c>
      <c r="Q3438" t="s">
        <v>7224</v>
      </c>
    </row>
    <row r="3439" spans="1:17" x14ac:dyDescent="0.3">
      <c r="A3439" t="s">
        <v>47</v>
      </c>
      <c r="B3439" t="str">
        <f>"300084"</f>
        <v>300084</v>
      </c>
      <c r="C3439" t="s">
        <v>7225</v>
      </c>
      <c r="D3439" t="s">
        <v>607</v>
      </c>
      <c r="E3439">
        <v>2001151090</v>
      </c>
      <c r="F3439">
        <v>2262038422</v>
      </c>
      <c r="G3439">
        <v>3061224320</v>
      </c>
      <c r="H3439">
        <v>3074664299</v>
      </c>
      <c r="I3439">
        <v>2922811030</v>
      </c>
      <c r="J3439">
        <v>2479544670</v>
      </c>
      <c r="K3439">
        <v>1701255250</v>
      </c>
      <c r="L3439">
        <v>1639892084</v>
      </c>
      <c r="M3439">
        <v>912935673</v>
      </c>
      <c r="N3439">
        <v>818962747</v>
      </c>
      <c r="O3439">
        <v>668140187</v>
      </c>
      <c r="P3439">
        <v>69</v>
      </c>
      <c r="Q3439" t="s">
        <v>7226</v>
      </c>
    </row>
    <row r="3440" spans="1:17" x14ac:dyDescent="0.3">
      <c r="A3440" t="s">
        <v>17</v>
      </c>
      <c r="B3440" t="str">
        <f>"688377"</f>
        <v>688377</v>
      </c>
      <c r="C3440" t="s">
        <v>7227</v>
      </c>
      <c r="D3440" t="s">
        <v>607</v>
      </c>
      <c r="E3440">
        <v>1999274943</v>
      </c>
      <c r="F3440">
        <v>1852119274</v>
      </c>
      <c r="G3440">
        <v>1223830114</v>
      </c>
      <c r="P3440">
        <v>52</v>
      </c>
      <c r="Q3440" t="s">
        <v>7228</v>
      </c>
    </row>
    <row r="3441" spans="1:17" x14ac:dyDescent="0.3">
      <c r="A3441" t="s">
        <v>47</v>
      </c>
      <c r="B3441" t="str">
        <f>"002679"</f>
        <v>002679</v>
      </c>
      <c r="C3441" t="s">
        <v>7229</v>
      </c>
      <c r="D3441" t="s">
        <v>4907</v>
      </c>
      <c r="E3441">
        <v>1998815203</v>
      </c>
      <c r="F3441">
        <v>1781112321</v>
      </c>
      <c r="G3441">
        <v>1896400380</v>
      </c>
      <c r="H3441">
        <v>1650315573</v>
      </c>
      <c r="I3441">
        <v>1647900530</v>
      </c>
      <c r="J3441">
        <v>1639151809</v>
      </c>
      <c r="K3441">
        <v>1640446143</v>
      </c>
      <c r="L3441">
        <v>1507589654</v>
      </c>
      <c r="M3441">
        <v>1362764832</v>
      </c>
      <c r="N3441">
        <v>955666489</v>
      </c>
      <c r="O3441">
        <v>365307591</v>
      </c>
      <c r="P3441">
        <v>95</v>
      </c>
      <c r="Q3441" t="s">
        <v>7230</v>
      </c>
    </row>
    <row r="3442" spans="1:17" x14ac:dyDescent="0.3">
      <c r="A3442" t="s">
        <v>47</v>
      </c>
      <c r="B3442" t="str">
        <f>"002749"</f>
        <v>002749</v>
      </c>
      <c r="C3442" t="s">
        <v>7231</v>
      </c>
      <c r="D3442" t="s">
        <v>819</v>
      </c>
      <c r="E3442">
        <v>1996117006</v>
      </c>
      <c r="F3442">
        <v>1835916206</v>
      </c>
      <c r="G3442">
        <v>1388773755</v>
      </c>
      <c r="H3442">
        <v>1151694802</v>
      </c>
      <c r="I3442">
        <v>1024396909</v>
      </c>
      <c r="J3442">
        <v>1019251129</v>
      </c>
      <c r="K3442">
        <v>926570429</v>
      </c>
      <c r="L3442">
        <v>884588456</v>
      </c>
      <c r="P3442">
        <v>9783</v>
      </c>
      <c r="Q3442" t="s">
        <v>7232</v>
      </c>
    </row>
    <row r="3443" spans="1:17" x14ac:dyDescent="0.3">
      <c r="A3443" t="s">
        <v>47</v>
      </c>
      <c r="B3443" t="str">
        <f>"000890"</f>
        <v>000890</v>
      </c>
      <c r="C3443" t="s">
        <v>7233</v>
      </c>
      <c r="D3443" t="s">
        <v>401</v>
      </c>
      <c r="E3443">
        <v>1995858543</v>
      </c>
      <c r="F3443">
        <v>866725194</v>
      </c>
      <c r="G3443">
        <v>3860017787</v>
      </c>
      <c r="H3443">
        <v>7486857854</v>
      </c>
      <c r="I3443">
        <v>10397288277</v>
      </c>
      <c r="J3443">
        <v>10050644894</v>
      </c>
      <c r="K3443">
        <v>2955584977</v>
      </c>
      <c r="L3443">
        <v>2984101771</v>
      </c>
      <c r="M3443">
        <v>3336927798</v>
      </c>
      <c r="N3443">
        <v>3105277416</v>
      </c>
      <c r="O3443">
        <v>3395159454</v>
      </c>
      <c r="P3443">
        <v>133</v>
      </c>
      <c r="Q3443" t="s">
        <v>7234</v>
      </c>
    </row>
    <row r="3444" spans="1:17" x14ac:dyDescent="0.3">
      <c r="A3444" t="s">
        <v>47</v>
      </c>
      <c r="B3444" t="str">
        <f>"301258"</f>
        <v>301258</v>
      </c>
      <c r="C3444" t="s">
        <v>7235</v>
      </c>
      <c r="E3444">
        <v>1995766347</v>
      </c>
      <c r="P3444">
        <v>4</v>
      </c>
      <c r="Q3444" t="s">
        <v>7236</v>
      </c>
    </row>
    <row r="3445" spans="1:17" x14ac:dyDescent="0.3">
      <c r="A3445" t="s">
        <v>47</v>
      </c>
      <c r="B3445" t="str">
        <f>"300780"</f>
        <v>300780</v>
      </c>
      <c r="C3445" t="s">
        <v>7237</v>
      </c>
      <c r="D3445" t="s">
        <v>401</v>
      </c>
      <c r="E3445">
        <v>1993539157</v>
      </c>
      <c r="F3445">
        <v>1519036868</v>
      </c>
      <c r="G3445">
        <v>1219359369</v>
      </c>
      <c r="H3445">
        <v>848311124</v>
      </c>
      <c r="J3445">
        <v>669115788</v>
      </c>
      <c r="P3445">
        <v>56</v>
      </c>
      <c r="Q3445" t="s">
        <v>7238</v>
      </c>
    </row>
    <row r="3446" spans="1:17" x14ac:dyDescent="0.3">
      <c r="A3446" t="s">
        <v>47</v>
      </c>
      <c r="B3446" t="str">
        <f>"002689"</f>
        <v>002689</v>
      </c>
      <c r="C3446" t="s">
        <v>7239</v>
      </c>
      <c r="D3446" t="s">
        <v>1092</v>
      </c>
      <c r="E3446">
        <v>1992862418</v>
      </c>
      <c r="F3446">
        <v>2067149227</v>
      </c>
      <c r="G3446">
        <v>2070453732</v>
      </c>
      <c r="H3446">
        <v>2337516639</v>
      </c>
      <c r="I3446">
        <v>2495303069</v>
      </c>
      <c r="J3446">
        <v>2399137840</v>
      </c>
      <c r="K3446">
        <v>2504036688</v>
      </c>
      <c r="L3446">
        <v>2636292810</v>
      </c>
      <c r="M3446">
        <v>2653624814</v>
      </c>
      <c r="N3446">
        <v>2487795802</v>
      </c>
      <c r="P3446">
        <v>87</v>
      </c>
      <c r="Q3446" t="s">
        <v>7240</v>
      </c>
    </row>
    <row r="3447" spans="1:17" x14ac:dyDescent="0.3">
      <c r="A3447" t="s">
        <v>17</v>
      </c>
      <c r="B3447" t="str">
        <f>"603912"</f>
        <v>603912</v>
      </c>
      <c r="C3447" t="s">
        <v>7241</v>
      </c>
      <c r="D3447" t="s">
        <v>2730</v>
      </c>
      <c r="E3447">
        <v>1991423968</v>
      </c>
      <c r="F3447">
        <v>1648813243</v>
      </c>
      <c r="G3447">
        <v>1349815367</v>
      </c>
      <c r="H3447">
        <v>1142006926</v>
      </c>
      <c r="I3447">
        <v>931261182</v>
      </c>
      <c r="P3447">
        <v>286</v>
      </c>
      <c r="Q3447" t="s">
        <v>7242</v>
      </c>
    </row>
    <row r="3448" spans="1:17" x14ac:dyDescent="0.3">
      <c r="A3448" t="s">
        <v>17</v>
      </c>
      <c r="B3448" t="str">
        <f>"688308"</f>
        <v>688308</v>
      </c>
      <c r="C3448" t="s">
        <v>7243</v>
      </c>
      <c r="D3448" t="s">
        <v>401</v>
      </c>
      <c r="E3448">
        <v>1991400089</v>
      </c>
      <c r="F3448">
        <v>1674795414</v>
      </c>
      <c r="P3448">
        <v>91</v>
      </c>
      <c r="Q3448" t="s">
        <v>7244</v>
      </c>
    </row>
    <row r="3449" spans="1:17" x14ac:dyDescent="0.3">
      <c r="A3449" t="s">
        <v>17</v>
      </c>
      <c r="B3449" t="str">
        <f>"688558"</f>
        <v>688558</v>
      </c>
      <c r="C3449" t="s">
        <v>7245</v>
      </c>
      <c r="D3449" t="s">
        <v>3186</v>
      </c>
      <c r="E3449">
        <v>1991016733</v>
      </c>
      <c r="F3449">
        <v>1609053649</v>
      </c>
      <c r="G3449">
        <v>748683626</v>
      </c>
      <c r="P3449">
        <v>95</v>
      </c>
      <c r="Q3449" t="s">
        <v>7246</v>
      </c>
    </row>
    <row r="3450" spans="1:17" x14ac:dyDescent="0.3">
      <c r="A3450" t="s">
        <v>47</v>
      </c>
      <c r="B3450" t="str">
        <f>"300004"</f>
        <v>300004</v>
      </c>
      <c r="C3450" t="s">
        <v>7247</v>
      </c>
      <c r="D3450" t="s">
        <v>1973</v>
      </c>
      <c r="E3450">
        <v>1989236084</v>
      </c>
      <c r="F3450">
        <v>2981283291</v>
      </c>
      <c r="G3450">
        <v>2732702068</v>
      </c>
      <c r="H3450">
        <v>2891112044</v>
      </c>
      <c r="I3450">
        <v>3814455959</v>
      </c>
      <c r="J3450">
        <v>3717868358</v>
      </c>
      <c r="K3450">
        <v>3647784467</v>
      </c>
      <c r="L3450">
        <v>3672364017</v>
      </c>
      <c r="M3450">
        <v>1203859643</v>
      </c>
      <c r="N3450">
        <v>1128506036</v>
      </c>
      <c r="O3450">
        <v>1094120884</v>
      </c>
      <c r="P3450">
        <v>84</v>
      </c>
      <c r="Q3450" t="s">
        <v>7248</v>
      </c>
    </row>
    <row r="3451" spans="1:17" x14ac:dyDescent="0.3">
      <c r="A3451" t="s">
        <v>47</v>
      </c>
      <c r="B3451" t="str">
        <f>"301027"</f>
        <v>301027</v>
      </c>
      <c r="C3451" t="s">
        <v>7249</v>
      </c>
      <c r="D3451" t="s">
        <v>2178</v>
      </c>
      <c r="E3451">
        <v>1987923363</v>
      </c>
      <c r="F3451">
        <v>1078497409</v>
      </c>
      <c r="P3451">
        <v>25</v>
      </c>
      <c r="Q3451" t="s">
        <v>7250</v>
      </c>
    </row>
    <row r="3452" spans="1:17" x14ac:dyDescent="0.3">
      <c r="A3452" t="s">
        <v>47</v>
      </c>
      <c r="B3452" t="str">
        <f>"300151"</f>
        <v>300151</v>
      </c>
      <c r="C3452" t="s">
        <v>7251</v>
      </c>
      <c r="D3452" t="s">
        <v>1973</v>
      </c>
      <c r="E3452">
        <v>1985944710</v>
      </c>
      <c r="F3452">
        <v>1361997931</v>
      </c>
      <c r="G3452">
        <v>1082693895</v>
      </c>
      <c r="H3452">
        <v>1022012848</v>
      </c>
      <c r="I3452">
        <v>954313194</v>
      </c>
      <c r="J3452">
        <v>972406423</v>
      </c>
      <c r="K3452">
        <v>952179235</v>
      </c>
      <c r="L3452">
        <v>937513494</v>
      </c>
      <c r="M3452">
        <v>939341449</v>
      </c>
      <c r="N3452">
        <v>819656395</v>
      </c>
      <c r="O3452">
        <v>813788281</v>
      </c>
      <c r="P3452">
        <v>155</v>
      </c>
      <c r="Q3452" t="s">
        <v>7252</v>
      </c>
    </row>
    <row r="3453" spans="1:17" x14ac:dyDescent="0.3">
      <c r="A3453" t="s">
        <v>47</v>
      </c>
      <c r="B3453" t="str">
        <f>"300925"</f>
        <v>300925</v>
      </c>
      <c r="C3453" t="s">
        <v>7253</v>
      </c>
      <c r="D3453" t="s">
        <v>1859</v>
      </c>
      <c r="E3453">
        <v>1984285752</v>
      </c>
      <c r="F3453">
        <v>1544498179</v>
      </c>
      <c r="P3453">
        <v>72</v>
      </c>
      <c r="Q3453" t="s">
        <v>7254</v>
      </c>
    </row>
    <row r="3454" spans="1:17" x14ac:dyDescent="0.3">
      <c r="A3454" t="s">
        <v>17</v>
      </c>
      <c r="B3454" t="str">
        <f>"603976"</f>
        <v>603976</v>
      </c>
      <c r="C3454" t="s">
        <v>7255</v>
      </c>
      <c r="D3454" t="s">
        <v>1650</v>
      </c>
      <c r="E3454">
        <v>1982528939</v>
      </c>
      <c r="F3454">
        <v>1328573399</v>
      </c>
      <c r="G3454">
        <v>1298883959</v>
      </c>
      <c r="H3454">
        <v>1174287775</v>
      </c>
      <c r="I3454">
        <v>1075164020</v>
      </c>
      <c r="J3454">
        <v>655552600</v>
      </c>
      <c r="P3454">
        <v>216</v>
      </c>
      <c r="Q3454" t="s">
        <v>7256</v>
      </c>
    </row>
    <row r="3455" spans="1:17" x14ac:dyDescent="0.3">
      <c r="A3455" t="s">
        <v>47</v>
      </c>
      <c r="B3455" t="str">
        <f>"300494"</f>
        <v>300494</v>
      </c>
      <c r="C3455" t="s">
        <v>7257</v>
      </c>
      <c r="D3455" t="s">
        <v>1032</v>
      </c>
      <c r="E3455">
        <v>1978572619</v>
      </c>
      <c r="F3455">
        <v>1444355259</v>
      </c>
      <c r="G3455">
        <v>1581520546</v>
      </c>
      <c r="H3455">
        <v>1118628617</v>
      </c>
      <c r="I3455">
        <v>1035949044</v>
      </c>
      <c r="J3455">
        <v>974974443</v>
      </c>
      <c r="K3455">
        <v>846914971</v>
      </c>
      <c r="L3455">
        <v>310346760</v>
      </c>
      <c r="P3455">
        <v>134</v>
      </c>
      <c r="Q3455" t="s">
        <v>7258</v>
      </c>
    </row>
    <row r="3456" spans="1:17" x14ac:dyDescent="0.3">
      <c r="A3456" t="s">
        <v>47</v>
      </c>
      <c r="B3456" t="str">
        <f>"001206"</f>
        <v>001206</v>
      </c>
      <c r="C3456" t="s">
        <v>7259</v>
      </c>
      <c r="D3456" t="s">
        <v>2299</v>
      </c>
      <c r="E3456">
        <v>1978119855</v>
      </c>
      <c r="F3456">
        <v>935041987</v>
      </c>
      <c r="P3456">
        <v>53</v>
      </c>
      <c r="Q3456" t="s">
        <v>7260</v>
      </c>
    </row>
    <row r="3457" spans="1:17" x14ac:dyDescent="0.3">
      <c r="A3457" t="s">
        <v>47</v>
      </c>
      <c r="B3457" t="str">
        <f>"002979"</f>
        <v>002979</v>
      </c>
      <c r="C3457" t="s">
        <v>7261</v>
      </c>
      <c r="D3457" t="s">
        <v>2592</v>
      </c>
      <c r="E3457">
        <v>1975541266</v>
      </c>
      <c r="F3457">
        <v>1604106732</v>
      </c>
      <c r="G3457">
        <v>836567208</v>
      </c>
      <c r="P3457">
        <v>196</v>
      </c>
      <c r="Q3457" t="s">
        <v>7262</v>
      </c>
    </row>
    <row r="3458" spans="1:17" x14ac:dyDescent="0.3">
      <c r="A3458" t="s">
        <v>47</v>
      </c>
      <c r="B3458" t="str">
        <f>"002923"</f>
        <v>002923</v>
      </c>
      <c r="C3458" t="s">
        <v>7263</v>
      </c>
      <c r="D3458" t="s">
        <v>550</v>
      </c>
      <c r="E3458">
        <v>1975466546</v>
      </c>
      <c r="F3458">
        <v>1625348354</v>
      </c>
      <c r="G3458">
        <v>1428111324</v>
      </c>
      <c r="H3458">
        <v>1224803039</v>
      </c>
      <c r="I3458">
        <v>1048457891</v>
      </c>
      <c r="P3458">
        <v>165</v>
      </c>
      <c r="Q3458" t="s">
        <v>7264</v>
      </c>
    </row>
    <row r="3459" spans="1:17" x14ac:dyDescent="0.3">
      <c r="A3459" t="s">
        <v>17</v>
      </c>
      <c r="B3459" t="str">
        <f>"603633"</f>
        <v>603633</v>
      </c>
      <c r="C3459" t="s">
        <v>7265</v>
      </c>
      <c r="D3459" t="s">
        <v>283</v>
      </c>
      <c r="E3459">
        <v>1975078619</v>
      </c>
      <c r="F3459">
        <v>1772090772</v>
      </c>
      <c r="G3459">
        <v>1360363478</v>
      </c>
      <c r="H3459">
        <v>1247665517</v>
      </c>
      <c r="I3459">
        <v>1105230348</v>
      </c>
      <c r="J3459">
        <v>1028747746</v>
      </c>
      <c r="P3459">
        <v>90</v>
      </c>
      <c r="Q3459" t="s">
        <v>7266</v>
      </c>
    </row>
    <row r="3460" spans="1:17" x14ac:dyDescent="0.3">
      <c r="A3460" t="s">
        <v>17</v>
      </c>
      <c r="B3460" t="str">
        <f>"600202"</f>
        <v>600202</v>
      </c>
      <c r="C3460" t="s">
        <v>7267</v>
      </c>
      <c r="D3460" t="s">
        <v>2181</v>
      </c>
      <c r="E3460">
        <v>1974416079</v>
      </c>
      <c r="F3460">
        <v>2324780525</v>
      </c>
      <c r="G3460">
        <v>2040944447</v>
      </c>
      <c r="H3460">
        <v>1820858646</v>
      </c>
      <c r="I3460">
        <v>1675604104</v>
      </c>
      <c r="J3460">
        <v>1753342039</v>
      </c>
      <c r="K3460">
        <v>2426607625</v>
      </c>
      <c r="L3460">
        <v>2838111419</v>
      </c>
      <c r="M3460">
        <v>2643200166</v>
      </c>
      <c r="N3460">
        <v>2875769952</v>
      </c>
      <c r="O3460">
        <v>2885048986</v>
      </c>
      <c r="P3460">
        <v>76</v>
      </c>
      <c r="Q3460" t="s">
        <v>7268</v>
      </c>
    </row>
    <row r="3461" spans="1:17" x14ac:dyDescent="0.3">
      <c r="A3461" t="s">
        <v>47</v>
      </c>
      <c r="B3461" t="str">
        <f>"300357"</f>
        <v>300357</v>
      </c>
      <c r="C3461" t="s">
        <v>7269</v>
      </c>
      <c r="D3461" t="s">
        <v>1480</v>
      </c>
      <c r="E3461">
        <v>1972265389</v>
      </c>
      <c r="F3461">
        <v>1690191869</v>
      </c>
      <c r="G3461">
        <v>1451910688</v>
      </c>
      <c r="H3461">
        <v>1248239739</v>
      </c>
      <c r="I3461">
        <v>903274522</v>
      </c>
      <c r="J3461">
        <v>728835887</v>
      </c>
      <c r="K3461">
        <v>639603339</v>
      </c>
      <c r="L3461">
        <v>505319270</v>
      </c>
      <c r="M3461">
        <v>475857345</v>
      </c>
      <c r="P3461">
        <v>31270</v>
      </c>
      <c r="Q3461" t="s">
        <v>7270</v>
      </c>
    </row>
    <row r="3462" spans="1:17" x14ac:dyDescent="0.3">
      <c r="A3462" t="s">
        <v>47</v>
      </c>
      <c r="B3462" t="str">
        <f>"300410"</f>
        <v>300410</v>
      </c>
      <c r="C3462" t="s">
        <v>7271</v>
      </c>
      <c r="D3462" t="s">
        <v>3722</v>
      </c>
      <c r="E3462">
        <v>1971351280</v>
      </c>
      <c r="F3462">
        <v>2047736067</v>
      </c>
      <c r="G3462">
        <v>2380809738</v>
      </c>
      <c r="H3462">
        <v>3093269689</v>
      </c>
      <c r="I3462">
        <v>2909227622</v>
      </c>
      <c r="J3462">
        <v>2466032403</v>
      </c>
      <c r="K3462">
        <v>730786910</v>
      </c>
      <c r="L3462">
        <v>481874560</v>
      </c>
      <c r="P3462">
        <v>215</v>
      </c>
      <c r="Q3462" t="s">
        <v>7272</v>
      </c>
    </row>
    <row r="3463" spans="1:17" x14ac:dyDescent="0.3">
      <c r="A3463" t="s">
        <v>17</v>
      </c>
      <c r="B3463" t="str">
        <f>"600560"</f>
        <v>600560</v>
      </c>
      <c r="C3463" t="s">
        <v>7273</v>
      </c>
      <c r="D3463" t="s">
        <v>607</v>
      </c>
      <c r="E3463">
        <v>1971201870</v>
      </c>
      <c r="F3463">
        <v>1897030862</v>
      </c>
      <c r="G3463">
        <v>1649131256</v>
      </c>
      <c r="H3463">
        <v>1677904880</v>
      </c>
      <c r="I3463">
        <v>1683599053</v>
      </c>
      <c r="J3463">
        <v>1713761982</v>
      </c>
      <c r="K3463">
        <v>1810711808</v>
      </c>
      <c r="L3463">
        <v>1887322001</v>
      </c>
      <c r="M3463">
        <v>1867173319</v>
      </c>
      <c r="N3463">
        <v>2046329482</v>
      </c>
      <c r="O3463">
        <v>2072259406</v>
      </c>
      <c r="P3463">
        <v>78</v>
      </c>
      <c r="Q3463" t="s">
        <v>7274</v>
      </c>
    </row>
    <row r="3464" spans="1:17" x14ac:dyDescent="0.3">
      <c r="A3464" t="s">
        <v>17</v>
      </c>
      <c r="B3464" t="str">
        <f>"688699"</f>
        <v>688699</v>
      </c>
      <c r="C3464" t="s">
        <v>7275</v>
      </c>
      <c r="D3464" t="s">
        <v>2795</v>
      </c>
      <c r="E3464">
        <v>1970612480</v>
      </c>
      <c r="F3464">
        <v>1267843567</v>
      </c>
      <c r="P3464">
        <v>140</v>
      </c>
      <c r="Q3464" t="s">
        <v>7276</v>
      </c>
    </row>
    <row r="3465" spans="1:17" x14ac:dyDescent="0.3">
      <c r="A3465" t="s">
        <v>17</v>
      </c>
      <c r="B3465" t="str">
        <f>"603038"</f>
        <v>603038</v>
      </c>
      <c r="C3465" t="s">
        <v>7277</v>
      </c>
      <c r="D3465" t="s">
        <v>1418</v>
      </c>
      <c r="E3465">
        <v>1970055207</v>
      </c>
      <c r="F3465">
        <v>1587144551</v>
      </c>
      <c r="G3465">
        <v>1354777849</v>
      </c>
      <c r="H3465">
        <v>1208977899</v>
      </c>
      <c r="I3465">
        <v>1121084286</v>
      </c>
      <c r="J3465">
        <v>1064153255</v>
      </c>
      <c r="P3465">
        <v>70</v>
      </c>
      <c r="Q3465" t="s">
        <v>7278</v>
      </c>
    </row>
    <row r="3466" spans="1:17" x14ac:dyDescent="0.3">
      <c r="A3466" t="s">
        <v>17</v>
      </c>
      <c r="B3466" t="str">
        <f>"605098"</f>
        <v>605098</v>
      </c>
      <c r="C3466" t="s">
        <v>7279</v>
      </c>
      <c r="D3466" t="s">
        <v>2954</v>
      </c>
      <c r="E3466">
        <v>1970052371</v>
      </c>
      <c r="F3466">
        <v>1213605207</v>
      </c>
      <c r="P3466">
        <v>53</v>
      </c>
      <c r="Q3466" t="s">
        <v>7280</v>
      </c>
    </row>
    <row r="3467" spans="1:17" x14ac:dyDescent="0.3">
      <c r="A3467" t="s">
        <v>47</v>
      </c>
      <c r="B3467" t="str">
        <f>"002730"</f>
        <v>002730</v>
      </c>
      <c r="C3467" t="s">
        <v>7281</v>
      </c>
      <c r="D3467" t="s">
        <v>607</v>
      </c>
      <c r="E3467">
        <v>1969071009</v>
      </c>
      <c r="F3467">
        <v>1387534357</v>
      </c>
      <c r="G3467">
        <v>1543048958</v>
      </c>
      <c r="H3467">
        <v>1785972348</v>
      </c>
      <c r="I3467">
        <v>1566531262</v>
      </c>
      <c r="J3467">
        <v>1427017610</v>
      </c>
      <c r="K3467">
        <v>1217727110</v>
      </c>
      <c r="L3467">
        <v>1118572799</v>
      </c>
      <c r="P3467">
        <v>82</v>
      </c>
      <c r="Q3467" t="s">
        <v>7282</v>
      </c>
    </row>
    <row r="3468" spans="1:17" x14ac:dyDescent="0.3">
      <c r="A3468" t="s">
        <v>47</v>
      </c>
      <c r="B3468" t="str">
        <f>"002578"</f>
        <v>002578</v>
      </c>
      <c r="C3468" t="s">
        <v>7283</v>
      </c>
      <c r="D3468" t="s">
        <v>346</v>
      </c>
      <c r="E3468">
        <v>1968115691</v>
      </c>
      <c r="F3468">
        <v>1763623158</v>
      </c>
      <c r="G3468">
        <v>1663120101</v>
      </c>
      <c r="H3468">
        <v>1721268137</v>
      </c>
      <c r="I3468">
        <v>1692482187</v>
      </c>
      <c r="J3468">
        <v>1688227781</v>
      </c>
      <c r="K3468">
        <v>1271419374</v>
      </c>
      <c r="L3468">
        <v>1236952582</v>
      </c>
      <c r="M3468">
        <v>1280166595</v>
      </c>
      <c r="N3468">
        <v>1170771701</v>
      </c>
      <c r="O3468">
        <v>1071697350</v>
      </c>
      <c r="P3468">
        <v>91</v>
      </c>
      <c r="Q3468" t="s">
        <v>7284</v>
      </c>
    </row>
    <row r="3469" spans="1:17" x14ac:dyDescent="0.3">
      <c r="A3469" t="s">
        <v>47</v>
      </c>
      <c r="B3469" t="str">
        <f>"300636"</f>
        <v>300636</v>
      </c>
      <c r="C3469" t="s">
        <v>7285</v>
      </c>
      <c r="D3469" t="s">
        <v>1112</v>
      </c>
      <c r="E3469">
        <v>1965140973</v>
      </c>
      <c r="F3469">
        <v>1466755143</v>
      </c>
      <c r="G3469">
        <v>1250657179</v>
      </c>
      <c r="H3469">
        <v>835756955</v>
      </c>
      <c r="I3469">
        <v>725018616</v>
      </c>
      <c r="J3469">
        <v>704708844</v>
      </c>
      <c r="P3469">
        <v>136</v>
      </c>
      <c r="Q3469" t="s">
        <v>7286</v>
      </c>
    </row>
    <row r="3470" spans="1:17" x14ac:dyDescent="0.3">
      <c r="A3470" t="s">
        <v>17</v>
      </c>
      <c r="B3470" t="str">
        <f>"603677"</f>
        <v>603677</v>
      </c>
      <c r="C3470" t="s">
        <v>7287</v>
      </c>
      <c r="D3470" t="s">
        <v>1511</v>
      </c>
      <c r="E3470">
        <v>1964878333</v>
      </c>
      <c r="F3470">
        <v>1892334641</v>
      </c>
      <c r="G3470">
        <v>1723140980</v>
      </c>
      <c r="H3470">
        <v>1881396168</v>
      </c>
      <c r="I3470">
        <v>1450336903</v>
      </c>
      <c r="J3470">
        <v>1219084477</v>
      </c>
      <c r="P3470">
        <v>124</v>
      </c>
      <c r="Q3470" t="s">
        <v>7288</v>
      </c>
    </row>
    <row r="3471" spans="1:17" x14ac:dyDescent="0.3">
      <c r="A3471" t="s">
        <v>47</v>
      </c>
      <c r="B3471" t="str">
        <f>"300176"</f>
        <v>300176</v>
      </c>
      <c r="C3471" t="s">
        <v>7289</v>
      </c>
      <c r="D3471" t="s">
        <v>274</v>
      </c>
      <c r="E3471">
        <v>1963366661</v>
      </c>
      <c r="F3471">
        <v>1978314664</v>
      </c>
      <c r="G3471">
        <v>2114948831</v>
      </c>
      <c r="H3471">
        <v>2806779963</v>
      </c>
      <c r="I3471">
        <v>2748476932</v>
      </c>
      <c r="J3471">
        <v>1788008992</v>
      </c>
      <c r="K3471">
        <v>1910868452</v>
      </c>
      <c r="L3471">
        <v>1840079369</v>
      </c>
      <c r="M3471">
        <v>1589914136</v>
      </c>
      <c r="N3471">
        <v>1135667105</v>
      </c>
      <c r="O3471">
        <v>833285632</v>
      </c>
      <c r="P3471">
        <v>151</v>
      </c>
      <c r="Q3471" t="s">
        <v>7290</v>
      </c>
    </row>
    <row r="3472" spans="1:17" x14ac:dyDescent="0.3">
      <c r="A3472" t="s">
        <v>17</v>
      </c>
      <c r="B3472" t="str">
        <f>"688590"</f>
        <v>688590</v>
      </c>
      <c r="C3472" t="s">
        <v>7291</v>
      </c>
      <c r="D3472" t="s">
        <v>1859</v>
      </c>
      <c r="E3472">
        <v>1957092566</v>
      </c>
      <c r="F3472">
        <v>1972941988</v>
      </c>
      <c r="P3472">
        <v>29</v>
      </c>
      <c r="Q3472" t="s">
        <v>7292</v>
      </c>
    </row>
    <row r="3473" spans="1:17" x14ac:dyDescent="0.3">
      <c r="A3473" t="s">
        <v>47</v>
      </c>
      <c r="B3473" t="str">
        <f>"300863"</f>
        <v>300863</v>
      </c>
      <c r="C3473" t="s">
        <v>7293</v>
      </c>
      <c r="D3473" t="s">
        <v>836</v>
      </c>
      <c r="E3473">
        <v>1955555050</v>
      </c>
      <c r="F3473">
        <v>1311879133</v>
      </c>
      <c r="P3473">
        <v>75</v>
      </c>
      <c r="Q3473" t="s">
        <v>7294</v>
      </c>
    </row>
    <row r="3474" spans="1:17" x14ac:dyDescent="0.3">
      <c r="A3474" t="s">
        <v>47</v>
      </c>
      <c r="B3474" t="str">
        <f>"300696"</f>
        <v>300696</v>
      </c>
      <c r="C3474" t="s">
        <v>7295</v>
      </c>
      <c r="D3474" t="s">
        <v>570</v>
      </c>
      <c r="E3474">
        <v>1955245504</v>
      </c>
      <c r="F3474">
        <v>1128487926</v>
      </c>
      <c r="G3474">
        <v>966924215</v>
      </c>
      <c r="H3474">
        <v>844833742</v>
      </c>
      <c r="I3474">
        <v>771421856</v>
      </c>
      <c r="J3474">
        <v>351720792</v>
      </c>
      <c r="P3474">
        <v>222</v>
      </c>
      <c r="Q3474" t="s">
        <v>7296</v>
      </c>
    </row>
    <row r="3475" spans="1:17" x14ac:dyDescent="0.3">
      <c r="A3475" t="s">
        <v>47</v>
      </c>
      <c r="B3475" t="str">
        <f>"300970"</f>
        <v>300970</v>
      </c>
      <c r="C3475" t="s">
        <v>7297</v>
      </c>
      <c r="D3475" t="s">
        <v>3621</v>
      </c>
      <c r="E3475">
        <v>1950254097</v>
      </c>
      <c r="F3475">
        <v>1160536056</v>
      </c>
      <c r="P3475">
        <v>25</v>
      </c>
      <c r="Q3475" t="s">
        <v>7298</v>
      </c>
    </row>
    <row r="3476" spans="1:17" x14ac:dyDescent="0.3">
      <c r="A3476" t="s">
        <v>17</v>
      </c>
      <c r="B3476" t="str">
        <f>"603351"</f>
        <v>603351</v>
      </c>
      <c r="C3476" t="s">
        <v>7299</v>
      </c>
      <c r="D3476" t="s">
        <v>1112</v>
      </c>
      <c r="E3476">
        <v>1948551369</v>
      </c>
      <c r="F3476">
        <v>1692772461</v>
      </c>
      <c r="G3476">
        <v>1481408056</v>
      </c>
      <c r="H3476">
        <v>1386181301</v>
      </c>
      <c r="P3476">
        <v>87</v>
      </c>
      <c r="Q3476" t="s">
        <v>7300</v>
      </c>
    </row>
    <row r="3477" spans="1:17" x14ac:dyDescent="0.3">
      <c r="A3477" t="s">
        <v>47</v>
      </c>
      <c r="B3477" t="str">
        <f>"300809"</f>
        <v>300809</v>
      </c>
      <c r="C3477" t="s">
        <v>7301</v>
      </c>
      <c r="D3477" t="s">
        <v>3186</v>
      </c>
      <c r="E3477">
        <v>1948034961</v>
      </c>
      <c r="F3477">
        <v>1885477574</v>
      </c>
      <c r="G3477">
        <v>1685456669</v>
      </c>
      <c r="P3477">
        <v>110</v>
      </c>
      <c r="Q3477" t="s">
        <v>7302</v>
      </c>
    </row>
    <row r="3478" spans="1:17" x14ac:dyDescent="0.3">
      <c r="A3478" t="s">
        <v>47</v>
      </c>
      <c r="B3478" t="str">
        <f>"300912"</f>
        <v>300912</v>
      </c>
      <c r="C3478" t="s">
        <v>7303</v>
      </c>
      <c r="D3478" t="s">
        <v>1815</v>
      </c>
      <c r="E3478">
        <v>1944653737</v>
      </c>
      <c r="F3478">
        <v>1819315297</v>
      </c>
      <c r="P3478">
        <v>39</v>
      </c>
      <c r="Q3478" t="s">
        <v>7304</v>
      </c>
    </row>
    <row r="3479" spans="1:17" x14ac:dyDescent="0.3">
      <c r="A3479" t="s">
        <v>47</v>
      </c>
      <c r="B3479" t="str">
        <f>"002893"</f>
        <v>002893</v>
      </c>
      <c r="C3479" t="s">
        <v>7305</v>
      </c>
      <c r="D3479" t="s">
        <v>1293</v>
      </c>
      <c r="E3479">
        <v>1943652990</v>
      </c>
      <c r="F3479">
        <v>2090498272</v>
      </c>
      <c r="G3479">
        <v>1877572963</v>
      </c>
      <c r="H3479">
        <v>1534286860</v>
      </c>
      <c r="I3479">
        <v>1476689465</v>
      </c>
      <c r="J3479">
        <v>1175843171</v>
      </c>
      <c r="P3479">
        <v>92</v>
      </c>
      <c r="Q3479" t="s">
        <v>7306</v>
      </c>
    </row>
    <row r="3480" spans="1:17" x14ac:dyDescent="0.3">
      <c r="A3480" t="s">
        <v>17</v>
      </c>
      <c r="B3480" t="str">
        <f>"688265"</f>
        <v>688265</v>
      </c>
      <c r="C3480" t="s">
        <v>7307</v>
      </c>
      <c r="D3480" t="s">
        <v>777</v>
      </c>
      <c r="E3480">
        <v>1942015807</v>
      </c>
      <c r="P3480">
        <v>17</v>
      </c>
      <c r="Q3480" t="s">
        <v>7308</v>
      </c>
    </row>
    <row r="3481" spans="1:17" x14ac:dyDescent="0.3">
      <c r="A3481" t="s">
        <v>17</v>
      </c>
      <c r="B3481" t="str">
        <f>"688027"</f>
        <v>688027</v>
      </c>
      <c r="C3481" t="s">
        <v>7309</v>
      </c>
      <c r="D3481" t="s">
        <v>962</v>
      </c>
      <c r="E3481">
        <v>1941487054</v>
      </c>
      <c r="F3481">
        <v>1900883707</v>
      </c>
      <c r="G3481">
        <v>1208143237</v>
      </c>
      <c r="P3481">
        <v>98</v>
      </c>
      <c r="Q3481" t="s">
        <v>7310</v>
      </c>
    </row>
    <row r="3482" spans="1:17" x14ac:dyDescent="0.3">
      <c r="A3482" t="s">
        <v>17</v>
      </c>
      <c r="B3482" t="str">
        <f>"603229"</f>
        <v>603229</v>
      </c>
      <c r="C3482" t="s">
        <v>7311</v>
      </c>
      <c r="D3482" t="s">
        <v>1112</v>
      </c>
      <c r="E3482">
        <v>1941315157</v>
      </c>
      <c r="F3482">
        <v>1382342793</v>
      </c>
      <c r="G3482">
        <v>854019257</v>
      </c>
      <c r="H3482">
        <v>818015066</v>
      </c>
      <c r="I3482">
        <v>743100215</v>
      </c>
      <c r="J3482">
        <v>467532205</v>
      </c>
      <c r="P3482">
        <v>164</v>
      </c>
      <c r="Q3482" t="s">
        <v>7312</v>
      </c>
    </row>
    <row r="3483" spans="1:17" x14ac:dyDescent="0.3">
      <c r="A3483" t="s">
        <v>47</v>
      </c>
      <c r="B3483" t="str">
        <f>"300926"</f>
        <v>300926</v>
      </c>
      <c r="C3483" t="s">
        <v>7313</v>
      </c>
      <c r="D3483" t="s">
        <v>1815</v>
      </c>
      <c r="E3483">
        <v>1940710350</v>
      </c>
      <c r="F3483">
        <v>1473223180</v>
      </c>
      <c r="P3483">
        <v>45</v>
      </c>
      <c r="Q3483" t="s">
        <v>7314</v>
      </c>
    </row>
    <row r="3484" spans="1:17" x14ac:dyDescent="0.3">
      <c r="A3484" t="s">
        <v>47</v>
      </c>
      <c r="B3484" t="str">
        <f>"300684"</f>
        <v>300684</v>
      </c>
      <c r="C3484" t="s">
        <v>7315</v>
      </c>
      <c r="D3484" t="s">
        <v>283</v>
      </c>
      <c r="E3484">
        <v>1940147280</v>
      </c>
      <c r="F3484">
        <v>1989199558</v>
      </c>
      <c r="G3484">
        <v>1043467760</v>
      </c>
      <c r="H3484">
        <v>854680814</v>
      </c>
      <c r="I3484">
        <v>766096832</v>
      </c>
      <c r="P3484">
        <v>348</v>
      </c>
      <c r="Q3484" t="s">
        <v>7316</v>
      </c>
    </row>
    <row r="3485" spans="1:17" x14ac:dyDescent="0.3">
      <c r="A3485" t="s">
        <v>17</v>
      </c>
      <c r="B3485" t="str">
        <f>"605286"</f>
        <v>605286</v>
      </c>
      <c r="C3485" t="s">
        <v>7317</v>
      </c>
      <c r="D3485" t="s">
        <v>1092</v>
      </c>
      <c r="E3485">
        <v>1939657493</v>
      </c>
      <c r="F3485">
        <v>1711052178</v>
      </c>
      <c r="P3485">
        <v>27</v>
      </c>
      <c r="Q3485" t="s">
        <v>7318</v>
      </c>
    </row>
    <row r="3486" spans="1:17" x14ac:dyDescent="0.3">
      <c r="A3486" t="s">
        <v>47</v>
      </c>
      <c r="B3486" t="str">
        <f>"002494"</f>
        <v>002494</v>
      </c>
      <c r="C3486" t="s">
        <v>7319</v>
      </c>
      <c r="D3486" t="s">
        <v>628</v>
      </c>
      <c r="E3486">
        <v>1938725805</v>
      </c>
      <c r="F3486">
        <v>2096621350</v>
      </c>
      <c r="G3486">
        <v>2557097638</v>
      </c>
      <c r="H3486">
        <v>2504646598</v>
      </c>
      <c r="I3486">
        <v>2662422593</v>
      </c>
      <c r="J3486">
        <v>2474267173</v>
      </c>
      <c r="K3486">
        <v>2424768762</v>
      </c>
      <c r="L3486">
        <v>2054990921</v>
      </c>
      <c r="M3486">
        <v>2122593473</v>
      </c>
      <c r="N3486">
        <v>1116577801</v>
      </c>
      <c r="O3486">
        <v>1014634148</v>
      </c>
      <c r="P3486">
        <v>81</v>
      </c>
      <c r="Q3486" t="s">
        <v>7320</v>
      </c>
    </row>
    <row r="3487" spans="1:17" x14ac:dyDescent="0.3">
      <c r="A3487" t="s">
        <v>47</v>
      </c>
      <c r="B3487" t="str">
        <f>"300548"</f>
        <v>300548</v>
      </c>
      <c r="C3487" t="s">
        <v>7321</v>
      </c>
      <c r="D3487" t="s">
        <v>367</v>
      </c>
      <c r="E3487">
        <v>1937175675</v>
      </c>
      <c r="F3487">
        <v>1697937374</v>
      </c>
      <c r="G3487">
        <v>774427162</v>
      </c>
      <c r="H3487">
        <v>725547564</v>
      </c>
      <c r="I3487">
        <v>697112868</v>
      </c>
      <c r="J3487">
        <v>659960773</v>
      </c>
      <c r="P3487">
        <v>289</v>
      </c>
      <c r="Q3487" t="s">
        <v>7322</v>
      </c>
    </row>
    <row r="3488" spans="1:17" x14ac:dyDescent="0.3">
      <c r="A3488" t="s">
        <v>17</v>
      </c>
      <c r="B3488" t="str">
        <f>"603390"</f>
        <v>603390</v>
      </c>
      <c r="C3488" t="s">
        <v>7323</v>
      </c>
      <c r="D3488" t="s">
        <v>836</v>
      </c>
      <c r="E3488">
        <v>1936092677</v>
      </c>
      <c r="F3488">
        <v>2068059855</v>
      </c>
      <c r="G3488">
        <v>2061459523</v>
      </c>
      <c r="H3488">
        <v>1218623605</v>
      </c>
      <c r="I3488">
        <v>961093487</v>
      </c>
      <c r="P3488">
        <v>89</v>
      </c>
      <c r="Q3488" t="s">
        <v>7324</v>
      </c>
    </row>
    <row r="3489" spans="1:17" x14ac:dyDescent="0.3">
      <c r="A3489" t="s">
        <v>17</v>
      </c>
      <c r="B3489" t="str">
        <f>"603800"</f>
        <v>603800</v>
      </c>
      <c r="C3489" t="s">
        <v>7325</v>
      </c>
      <c r="D3489" t="s">
        <v>607</v>
      </c>
      <c r="E3489">
        <v>1935090590</v>
      </c>
      <c r="F3489">
        <v>1693128195</v>
      </c>
      <c r="G3489">
        <v>1745007974</v>
      </c>
      <c r="H3489">
        <v>1818620290</v>
      </c>
      <c r="I3489">
        <v>1527081547</v>
      </c>
      <c r="J3489">
        <v>1303501169</v>
      </c>
      <c r="K3489">
        <v>1201743826</v>
      </c>
      <c r="L3489">
        <v>900909000</v>
      </c>
      <c r="P3489">
        <v>75</v>
      </c>
      <c r="Q3489" t="s">
        <v>7326</v>
      </c>
    </row>
    <row r="3490" spans="1:17" x14ac:dyDescent="0.3">
      <c r="A3490" t="s">
        <v>17</v>
      </c>
      <c r="B3490" t="str">
        <f>"603767"</f>
        <v>603767</v>
      </c>
      <c r="C3490" t="s">
        <v>7327</v>
      </c>
      <c r="D3490" t="s">
        <v>274</v>
      </c>
      <c r="E3490">
        <v>1934317732</v>
      </c>
      <c r="F3490">
        <v>1969932830</v>
      </c>
      <c r="G3490">
        <v>1856704849</v>
      </c>
      <c r="H3490">
        <v>1829168824</v>
      </c>
      <c r="I3490">
        <v>1810699832</v>
      </c>
      <c r="J3490">
        <v>1147704002</v>
      </c>
      <c r="P3490">
        <v>80</v>
      </c>
      <c r="Q3490" t="s">
        <v>7328</v>
      </c>
    </row>
    <row r="3491" spans="1:17" x14ac:dyDescent="0.3">
      <c r="A3491" t="s">
        <v>47</v>
      </c>
      <c r="B3491" t="str">
        <f>"002806"</f>
        <v>002806</v>
      </c>
      <c r="C3491" t="s">
        <v>7329</v>
      </c>
      <c r="D3491" t="s">
        <v>346</v>
      </c>
      <c r="E3491">
        <v>1933832784</v>
      </c>
      <c r="F3491">
        <v>1731312650</v>
      </c>
      <c r="G3491">
        <v>1947656472</v>
      </c>
      <c r="H3491">
        <v>1791283458</v>
      </c>
      <c r="I3491">
        <v>678237830</v>
      </c>
      <c r="J3491">
        <v>559651109</v>
      </c>
      <c r="K3491">
        <v>446537380</v>
      </c>
      <c r="P3491">
        <v>100</v>
      </c>
      <c r="Q3491" t="s">
        <v>7330</v>
      </c>
    </row>
    <row r="3492" spans="1:17" x14ac:dyDescent="0.3">
      <c r="A3492" t="s">
        <v>47</v>
      </c>
      <c r="B3492" t="str">
        <f>"002492"</f>
        <v>002492</v>
      </c>
      <c r="C3492" t="s">
        <v>7331</v>
      </c>
      <c r="D3492" t="s">
        <v>1477</v>
      </c>
      <c r="E3492">
        <v>1931704165</v>
      </c>
      <c r="F3492">
        <v>1795700455</v>
      </c>
      <c r="G3492">
        <v>1700992236</v>
      </c>
      <c r="H3492">
        <v>1612589460</v>
      </c>
      <c r="I3492">
        <v>1536595332</v>
      </c>
      <c r="J3492">
        <v>1554801489</v>
      </c>
      <c r="K3492">
        <v>1463977006</v>
      </c>
      <c r="L3492">
        <v>1232824934</v>
      </c>
      <c r="M3492">
        <v>1102814462</v>
      </c>
      <c r="N3492">
        <v>956443532</v>
      </c>
      <c r="O3492">
        <v>989018353</v>
      </c>
      <c r="P3492">
        <v>94</v>
      </c>
      <c r="Q3492" t="s">
        <v>7332</v>
      </c>
    </row>
    <row r="3493" spans="1:17" x14ac:dyDescent="0.3">
      <c r="A3493" t="s">
        <v>47</v>
      </c>
      <c r="B3493" t="str">
        <f>"300148"</f>
        <v>300148</v>
      </c>
      <c r="C3493" t="s">
        <v>7333</v>
      </c>
      <c r="D3493" t="s">
        <v>1032</v>
      </c>
      <c r="E3493">
        <v>1931380589</v>
      </c>
      <c r="F3493">
        <v>2921180378</v>
      </c>
      <c r="G3493">
        <v>3993373593</v>
      </c>
      <c r="H3493">
        <v>3974243766</v>
      </c>
      <c r="I3493">
        <v>4776606529</v>
      </c>
      <c r="J3493">
        <v>4960273839</v>
      </c>
      <c r="K3493">
        <v>2059803773</v>
      </c>
      <c r="L3493">
        <v>1939448990</v>
      </c>
      <c r="M3493">
        <v>642355818</v>
      </c>
      <c r="N3493">
        <v>604061932</v>
      </c>
      <c r="O3493">
        <v>592151589</v>
      </c>
      <c r="P3493">
        <v>99</v>
      </c>
      <c r="Q3493" t="s">
        <v>7334</v>
      </c>
    </row>
    <row r="3494" spans="1:17" x14ac:dyDescent="0.3">
      <c r="A3494" t="s">
        <v>17</v>
      </c>
      <c r="B3494" t="str">
        <f>"688679"</f>
        <v>688679</v>
      </c>
      <c r="C3494" t="s">
        <v>7335</v>
      </c>
      <c r="D3494" t="s">
        <v>1310</v>
      </c>
      <c r="E3494">
        <v>1931100438</v>
      </c>
      <c r="F3494">
        <v>1704397865</v>
      </c>
      <c r="P3494">
        <v>31</v>
      </c>
      <c r="Q3494" t="s">
        <v>7336</v>
      </c>
    </row>
    <row r="3495" spans="1:17" x14ac:dyDescent="0.3">
      <c r="A3495" t="s">
        <v>47</v>
      </c>
      <c r="B3495" t="str">
        <f>"300022"</f>
        <v>300022</v>
      </c>
      <c r="C3495" t="s">
        <v>7337</v>
      </c>
      <c r="D3495" t="s">
        <v>1904</v>
      </c>
      <c r="E3495">
        <v>1930180019</v>
      </c>
      <c r="F3495">
        <v>2034942382</v>
      </c>
      <c r="G3495">
        <v>2146990318</v>
      </c>
      <c r="H3495">
        <v>2232346227</v>
      </c>
      <c r="I3495">
        <v>2308225835</v>
      </c>
      <c r="J3495">
        <v>2681513429</v>
      </c>
      <c r="K3495">
        <v>2678797212</v>
      </c>
      <c r="L3495">
        <v>2814197431</v>
      </c>
      <c r="M3495">
        <v>3924260817</v>
      </c>
      <c r="N3495">
        <v>4023171152</v>
      </c>
      <c r="O3495">
        <v>3920903171</v>
      </c>
      <c r="P3495">
        <v>63</v>
      </c>
      <c r="Q3495" t="s">
        <v>7338</v>
      </c>
    </row>
    <row r="3496" spans="1:17" x14ac:dyDescent="0.3">
      <c r="A3496" t="s">
        <v>47</v>
      </c>
      <c r="B3496" t="str">
        <f>"000023"</f>
        <v>000023</v>
      </c>
      <c r="C3496" t="s">
        <v>7339</v>
      </c>
      <c r="D3496" t="s">
        <v>1318</v>
      </c>
      <c r="E3496">
        <v>1926339730</v>
      </c>
      <c r="F3496">
        <v>2180877812</v>
      </c>
      <c r="G3496">
        <v>2362945922</v>
      </c>
      <c r="H3496">
        <v>2245323459</v>
      </c>
      <c r="I3496">
        <v>1841840898</v>
      </c>
      <c r="J3496">
        <v>1517530646</v>
      </c>
      <c r="K3496">
        <v>1482498860</v>
      </c>
      <c r="L3496">
        <v>1403703304</v>
      </c>
      <c r="M3496">
        <v>1322678268</v>
      </c>
      <c r="N3496">
        <v>1123066320</v>
      </c>
      <c r="O3496">
        <v>1041950389</v>
      </c>
      <c r="P3496">
        <v>78</v>
      </c>
      <c r="Q3496" t="s">
        <v>7340</v>
      </c>
    </row>
    <row r="3497" spans="1:17" x14ac:dyDescent="0.3">
      <c r="A3497" t="s">
        <v>47</v>
      </c>
      <c r="B3497" t="str">
        <f>"002885"</f>
        <v>002885</v>
      </c>
      <c r="C3497" t="s">
        <v>7341</v>
      </c>
      <c r="D3497" t="s">
        <v>283</v>
      </c>
      <c r="E3497">
        <v>1923702097</v>
      </c>
      <c r="F3497">
        <v>1636984626</v>
      </c>
      <c r="G3497">
        <v>1394592589</v>
      </c>
      <c r="H3497">
        <v>1374394177</v>
      </c>
      <c r="I3497">
        <v>1372619094</v>
      </c>
      <c r="J3497">
        <v>685107224</v>
      </c>
      <c r="P3497">
        <v>199</v>
      </c>
      <c r="Q3497" t="s">
        <v>7342</v>
      </c>
    </row>
    <row r="3498" spans="1:17" x14ac:dyDescent="0.3">
      <c r="A3498" t="s">
        <v>17</v>
      </c>
      <c r="B3498" t="str">
        <f>"603289"</f>
        <v>603289</v>
      </c>
      <c r="C3498" t="s">
        <v>7343</v>
      </c>
      <c r="D3498" t="s">
        <v>1973</v>
      </c>
      <c r="E3498">
        <v>1919549334</v>
      </c>
      <c r="F3498">
        <v>1746060681</v>
      </c>
      <c r="G3498">
        <v>1412212800</v>
      </c>
      <c r="H3498">
        <v>1313629575</v>
      </c>
      <c r="I3498">
        <v>1321747770</v>
      </c>
      <c r="P3498">
        <v>115</v>
      </c>
      <c r="Q3498" t="s">
        <v>7344</v>
      </c>
    </row>
    <row r="3499" spans="1:17" x14ac:dyDescent="0.3">
      <c r="A3499" t="s">
        <v>17</v>
      </c>
      <c r="B3499" t="str">
        <f>"688799"</f>
        <v>688799</v>
      </c>
      <c r="C3499" t="s">
        <v>7345</v>
      </c>
      <c r="D3499" t="s">
        <v>550</v>
      </c>
      <c r="E3499">
        <v>1919243494</v>
      </c>
      <c r="F3499">
        <v>966933342</v>
      </c>
      <c r="P3499">
        <v>35</v>
      </c>
      <c r="Q3499" t="s">
        <v>7346</v>
      </c>
    </row>
    <row r="3500" spans="1:17" x14ac:dyDescent="0.3">
      <c r="A3500" t="s">
        <v>47</v>
      </c>
      <c r="B3500" t="str">
        <f>"002137"</f>
        <v>002137</v>
      </c>
      <c r="C3500" t="s">
        <v>7347</v>
      </c>
      <c r="D3500" t="s">
        <v>1824</v>
      </c>
      <c r="E3500">
        <v>1919044393</v>
      </c>
      <c r="F3500">
        <v>1936985235</v>
      </c>
      <c r="G3500">
        <v>1848088946</v>
      </c>
      <c r="H3500">
        <v>1665519337</v>
      </c>
      <c r="I3500">
        <v>2097127569</v>
      </c>
      <c r="J3500">
        <v>1895196068</v>
      </c>
      <c r="K3500">
        <v>1819019846</v>
      </c>
      <c r="L3500">
        <v>650976329</v>
      </c>
      <c r="M3500">
        <v>738902954</v>
      </c>
      <c r="N3500">
        <v>856192903</v>
      </c>
      <c r="O3500">
        <v>1094800216</v>
      </c>
      <c r="P3500">
        <v>148</v>
      </c>
      <c r="Q3500" t="s">
        <v>7348</v>
      </c>
    </row>
    <row r="3501" spans="1:17" x14ac:dyDescent="0.3">
      <c r="A3501" t="s">
        <v>17</v>
      </c>
      <c r="B3501" t="str">
        <f>"605151"</f>
        <v>605151</v>
      </c>
      <c r="C3501" t="s">
        <v>7349</v>
      </c>
      <c r="D3501" t="s">
        <v>3522</v>
      </c>
      <c r="E3501">
        <v>1918680408</v>
      </c>
      <c r="F3501">
        <v>1758332388</v>
      </c>
      <c r="P3501">
        <v>55</v>
      </c>
      <c r="Q3501" t="s">
        <v>7350</v>
      </c>
    </row>
    <row r="3502" spans="1:17" x14ac:dyDescent="0.3">
      <c r="A3502" t="s">
        <v>47</v>
      </c>
      <c r="B3502" t="str">
        <f>"000558"</f>
        <v>000558</v>
      </c>
      <c r="C3502" t="s">
        <v>7351</v>
      </c>
      <c r="D3502" t="s">
        <v>76</v>
      </c>
      <c r="E3502">
        <v>1918429035</v>
      </c>
      <c r="F3502">
        <v>2132991167</v>
      </c>
      <c r="G3502">
        <v>2353961258</v>
      </c>
      <c r="H3502">
        <v>2687311433</v>
      </c>
      <c r="I3502">
        <v>2563118359</v>
      </c>
      <c r="J3502">
        <v>2467769905</v>
      </c>
      <c r="K3502">
        <v>2606245837</v>
      </c>
      <c r="L3502">
        <v>4526128492</v>
      </c>
      <c r="M3502">
        <v>6289659303</v>
      </c>
      <c r="N3502">
        <v>5804603377</v>
      </c>
      <c r="O3502">
        <v>4832681691</v>
      </c>
      <c r="P3502">
        <v>118</v>
      </c>
      <c r="Q3502" t="s">
        <v>7352</v>
      </c>
    </row>
    <row r="3503" spans="1:17" x14ac:dyDescent="0.3">
      <c r="A3503" t="s">
        <v>47</v>
      </c>
      <c r="B3503" t="str">
        <f>"002576"</f>
        <v>002576</v>
      </c>
      <c r="C3503" t="s">
        <v>7353</v>
      </c>
      <c r="D3503" t="s">
        <v>1594</v>
      </c>
      <c r="E3503">
        <v>1916286103</v>
      </c>
      <c r="F3503">
        <v>1531673419</v>
      </c>
      <c r="G3503">
        <v>1298898948</v>
      </c>
      <c r="H3503">
        <v>1158801240</v>
      </c>
      <c r="I3503">
        <v>1101702038</v>
      </c>
      <c r="J3503">
        <v>990590639</v>
      </c>
      <c r="K3503">
        <v>1098947676</v>
      </c>
      <c r="L3503">
        <v>1163292511</v>
      </c>
      <c r="M3503">
        <v>1163546169</v>
      </c>
      <c r="N3503">
        <v>1087524660</v>
      </c>
      <c r="O3503">
        <v>1116227156</v>
      </c>
      <c r="P3503">
        <v>123</v>
      </c>
      <c r="Q3503" t="s">
        <v>7354</v>
      </c>
    </row>
    <row r="3504" spans="1:17" x14ac:dyDescent="0.3">
      <c r="A3504" t="s">
        <v>17</v>
      </c>
      <c r="B3504" t="str">
        <f>"688282"</f>
        <v>688282</v>
      </c>
      <c r="C3504" t="s">
        <v>7355</v>
      </c>
      <c r="E3504">
        <v>1914570398</v>
      </c>
      <c r="P3504">
        <v>3</v>
      </c>
      <c r="Q3504" t="s">
        <v>7356</v>
      </c>
    </row>
    <row r="3505" spans="1:17" x14ac:dyDescent="0.3">
      <c r="A3505" t="s">
        <v>17</v>
      </c>
      <c r="B3505" t="str">
        <f>"600624"</f>
        <v>600624</v>
      </c>
      <c r="C3505" t="s">
        <v>7357</v>
      </c>
      <c r="D3505" t="s">
        <v>550</v>
      </c>
      <c r="E3505">
        <v>1913885415</v>
      </c>
      <c r="F3505">
        <v>2113691834</v>
      </c>
      <c r="G3505">
        <v>2141521269</v>
      </c>
      <c r="H3505">
        <v>2279620395</v>
      </c>
      <c r="I3505">
        <v>2458901553</v>
      </c>
      <c r="J3505">
        <v>2270526835</v>
      </c>
      <c r="K3505">
        <v>1839346898</v>
      </c>
      <c r="L3505">
        <v>1649945660</v>
      </c>
      <c r="M3505">
        <v>1501764732</v>
      </c>
      <c r="N3505">
        <v>1485693125</v>
      </c>
      <c r="O3505">
        <v>1396117717</v>
      </c>
      <c r="P3505">
        <v>122</v>
      </c>
      <c r="Q3505" t="s">
        <v>7358</v>
      </c>
    </row>
    <row r="3506" spans="1:17" x14ac:dyDescent="0.3">
      <c r="A3506" t="s">
        <v>47</v>
      </c>
      <c r="B3506" t="str">
        <f>"300509"</f>
        <v>300509</v>
      </c>
      <c r="C3506" t="s">
        <v>7359</v>
      </c>
      <c r="D3506" t="s">
        <v>3237</v>
      </c>
      <c r="E3506">
        <v>1913467707</v>
      </c>
      <c r="F3506">
        <v>1640650005</v>
      </c>
      <c r="G3506">
        <v>1489205930</v>
      </c>
      <c r="H3506">
        <v>1337554611</v>
      </c>
      <c r="I3506">
        <v>1268646226</v>
      </c>
      <c r="J3506">
        <v>1112856940</v>
      </c>
      <c r="K3506">
        <v>866187124</v>
      </c>
      <c r="P3506">
        <v>64</v>
      </c>
      <c r="Q3506" t="s">
        <v>7360</v>
      </c>
    </row>
    <row r="3507" spans="1:17" x14ac:dyDescent="0.3">
      <c r="A3507" t="s">
        <v>47</v>
      </c>
      <c r="B3507" t="str">
        <f>"300814"</f>
        <v>300814</v>
      </c>
      <c r="C3507" t="s">
        <v>7361</v>
      </c>
      <c r="D3507" t="s">
        <v>1115</v>
      </c>
      <c r="E3507">
        <v>1911049158</v>
      </c>
      <c r="F3507">
        <v>1171117214</v>
      </c>
      <c r="P3507">
        <v>14</v>
      </c>
      <c r="Q3507" t="s">
        <v>7362</v>
      </c>
    </row>
    <row r="3508" spans="1:17" x14ac:dyDescent="0.3">
      <c r="A3508" t="s">
        <v>47</v>
      </c>
      <c r="B3508" t="str">
        <f>"300994"</f>
        <v>300994</v>
      </c>
      <c r="C3508" t="s">
        <v>7363</v>
      </c>
      <c r="D3508" t="s">
        <v>2210</v>
      </c>
      <c r="E3508">
        <v>1909245075</v>
      </c>
      <c r="F3508">
        <v>1126053626</v>
      </c>
      <c r="P3508">
        <v>21</v>
      </c>
      <c r="Q3508" t="s">
        <v>7364</v>
      </c>
    </row>
    <row r="3509" spans="1:17" x14ac:dyDescent="0.3">
      <c r="A3509" t="s">
        <v>47</v>
      </c>
      <c r="B3509" t="str">
        <f>"300578"</f>
        <v>300578</v>
      </c>
      <c r="C3509" t="s">
        <v>7365</v>
      </c>
      <c r="D3509" t="s">
        <v>3761</v>
      </c>
      <c r="E3509">
        <v>1908486167</v>
      </c>
      <c r="F3509">
        <v>1701276989</v>
      </c>
      <c r="G3509">
        <v>1466962364</v>
      </c>
      <c r="H3509">
        <v>1496573971</v>
      </c>
      <c r="I3509">
        <v>363173321</v>
      </c>
      <c r="J3509">
        <v>317506417</v>
      </c>
      <c r="P3509">
        <v>305</v>
      </c>
      <c r="Q3509" t="s">
        <v>7366</v>
      </c>
    </row>
    <row r="3510" spans="1:17" x14ac:dyDescent="0.3">
      <c r="A3510" t="s">
        <v>17</v>
      </c>
      <c r="B3510" t="str">
        <f>"605080"</f>
        <v>605080</v>
      </c>
      <c r="C3510" t="s">
        <v>7367</v>
      </c>
      <c r="D3510" t="s">
        <v>4263</v>
      </c>
      <c r="E3510">
        <v>1907080888</v>
      </c>
      <c r="F3510">
        <v>926178116</v>
      </c>
      <c r="P3510">
        <v>47</v>
      </c>
      <c r="Q3510" t="s">
        <v>7368</v>
      </c>
    </row>
    <row r="3511" spans="1:17" x14ac:dyDescent="0.3">
      <c r="A3511" t="s">
        <v>47</v>
      </c>
      <c r="B3511" t="str">
        <f>"300818"</f>
        <v>300818</v>
      </c>
      <c r="C3511" t="s">
        <v>7369</v>
      </c>
      <c r="D3511" t="s">
        <v>2646</v>
      </c>
      <c r="E3511">
        <v>1906849382</v>
      </c>
      <c r="F3511">
        <v>1747847423</v>
      </c>
      <c r="G3511">
        <v>1036898079</v>
      </c>
      <c r="P3511">
        <v>92</v>
      </c>
      <c r="Q3511" t="s">
        <v>7370</v>
      </c>
    </row>
    <row r="3512" spans="1:17" x14ac:dyDescent="0.3">
      <c r="A3512" t="s">
        <v>17</v>
      </c>
      <c r="B3512" t="str">
        <f>"603703"</f>
        <v>603703</v>
      </c>
      <c r="C3512" t="s">
        <v>7371</v>
      </c>
      <c r="D3512" t="s">
        <v>862</v>
      </c>
      <c r="E3512">
        <v>1905594085</v>
      </c>
      <c r="F3512">
        <v>1791944256</v>
      </c>
      <c r="G3512">
        <v>1386538842</v>
      </c>
      <c r="H3512">
        <v>1267273492</v>
      </c>
      <c r="I3512">
        <v>1077095217</v>
      </c>
      <c r="J3512">
        <v>1163718382</v>
      </c>
      <c r="K3512">
        <v>727886638</v>
      </c>
      <c r="P3512">
        <v>78</v>
      </c>
      <c r="Q3512" t="s">
        <v>7372</v>
      </c>
    </row>
    <row r="3513" spans="1:17" x14ac:dyDescent="0.3">
      <c r="A3513" t="s">
        <v>47</v>
      </c>
      <c r="B3513" t="str">
        <f>"002748"</f>
        <v>002748</v>
      </c>
      <c r="C3513" t="s">
        <v>7373</v>
      </c>
      <c r="D3513" t="s">
        <v>625</v>
      </c>
      <c r="E3513">
        <v>1905427729</v>
      </c>
      <c r="F3513">
        <v>1818601036</v>
      </c>
      <c r="G3513">
        <v>1900716695</v>
      </c>
      <c r="H3513">
        <v>1588286296</v>
      </c>
      <c r="I3513">
        <v>1368915956</v>
      </c>
      <c r="J3513">
        <v>1304764012</v>
      </c>
      <c r="K3513">
        <v>1068771472</v>
      </c>
      <c r="L3513">
        <v>1296118843</v>
      </c>
      <c r="P3513">
        <v>77</v>
      </c>
      <c r="Q3513" t="s">
        <v>7374</v>
      </c>
    </row>
    <row r="3514" spans="1:17" x14ac:dyDescent="0.3">
      <c r="A3514" t="s">
        <v>17</v>
      </c>
      <c r="B3514" t="str">
        <f>"688150"</f>
        <v>688150</v>
      </c>
      <c r="C3514" t="s">
        <v>7375</v>
      </c>
      <c r="E3514">
        <v>1904616618</v>
      </c>
      <c r="P3514">
        <v>4</v>
      </c>
      <c r="Q3514" t="s">
        <v>7376</v>
      </c>
    </row>
    <row r="3515" spans="1:17" x14ac:dyDescent="0.3">
      <c r="A3515" t="s">
        <v>17</v>
      </c>
      <c r="B3515" t="str">
        <f>"603069"</f>
        <v>603069</v>
      </c>
      <c r="C3515" t="s">
        <v>7377</v>
      </c>
      <c r="D3515" t="s">
        <v>1773</v>
      </c>
      <c r="E3515">
        <v>1903839525</v>
      </c>
      <c r="F3515">
        <v>1898249740</v>
      </c>
      <c r="G3515">
        <v>1995268331</v>
      </c>
      <c r="H3515">
        <v>2056799902</v>
      </c>
      <c r="I3515">
        <v>1909292199</v>
      </c>
      <c r="J3515">
        <v>1793870017</v>
      </c>
      <c r="K3515">
        <v>1483800600</v>
      </c>
      <c r="P3515">
        <v>98</v>
      </c>
      <c r="Q3515" t="s">
        <v>7378</v>
      </c>
    </row>
    <row r="3516" spans="1:17" x14ac:dyDescent="0.3">
      <c r="A3516" t="s">
        <v>47</v>
      </c>
      <c r="B3516" t="str">
        <f>"300564"</f>
        <v>300564</v>
      </c>
      <c r="C3516" t="s">
        <v>7379</v>
      </c>
      <c r="D3516" t="s">
        <v>2178</v>
      </c>
      <c r="E3516">
        <v>1901373660</v>
      </c>
      <c r="F3516">
        <v>1699090660</v>
      </c>
      <c r="G3516">
        <v>1478259867</v>
      </c>
      <c r="P3516">
        <v>211</v>
      </c>
      <c r="Q3516" t="s">
        <v>7380</v>
      </c>
    </row>
    <row r="3517" spans="1:17" x14ac:dyDescent="0.3">
      <c r="A3517" t="s">
        <v>47</v>
      </c>
      <c r="B3517" t="str">
        <f>"003020"</f>
        <v>003020</v>
      </c>
      <c r="C3517" t="s">
        <v>7381</v>
      </c>
      <c r="D3517" t="s">
        <v>550</v>
      </c>
      <c r="E3517">
        <v>1899968984</v>
      </c>
      <c r="F3517">
        <v>1659458755</v>
      </c>
      <c r="P3517">
        <v>78</v>
      </c>
      <c r="Q3517" t="s">
        <v>7382</v>
      </c>
    </row>
    <row r="3518" spans="1:17" x14ac:dyDescent="0.3">
      <c r="A3518" t="s">
        <v>47</v>
      </c>
      <c r="B3518" t="str">
        <f>"002909"</f>
        <v>002909</v>
      </c>
      <c r="C3518" t="s">
        <v>7383</v>
      </c>
      <c r="D3518" t="s">
        <v>1833</v>
      </c>
      <c r="E3518">
        <v>1899878849</v>
      </c>
      <c r="F3518">
        <v>1696260325</v>
      </c>
      <c r="G3518">
        <v>1006510533</v>
      </c>
      <c r="H3518">
        <v>815875915</v>
      </c>
      <c r="I3518">
        <v>799688907</v>
      </c>
      <c r="P3518">
        <v>87</v>
      </c>
      <c r="Q3518" t="s">
        <v>7384</v>
      </c>
    </row>
    <row r="3519" spans="1:17" x14ac:dyDescent="0.3">
      <c r="A3519" t="s">
        <v>47</v>
      </c>
      <c r="B3519" t="str">
        <f>"003009"</f>
        <v>003009</v>
      </c>
      <c r="C3519" t="s">
        <v>7385</v>
      </c>
      <c r="D3519" t="s">
        <v>1180</v>
      </c>
      <c r="E3519">
        <v>1898862324</v>
      </c>
      <c r="F3519">
        <v>1704521134</v>
      </c>
      <c r="P3519">
        <v>105</v>
      </c>
      <c r="Q3519" t="s">
        <v>7386</v>
      </c>
    </row>
    <row r="3520" spans="1:17" x14ac:dyDescent="0.3">
      <c r="A3520" t="s">
        <v>47</v>
      </c>
      <c r="B3520" t="str">
        <f>"300891"</f>
        <v>300891</v>
      </c>
      <c r="C3520" t="s">
        <v>7387</v>
      </c>
      <c r="D3520" t="s">
        <v>851</v>
      </c>
      <c r="E3520">
        <v>1898517561</v>
      </c>
      <c r="F3520">
        <v>1506282828</v>
      </c>
      <c r="P3520">
        <v>59</v>
      </c>
      <c r="Q3520" t="s">
        <v>7388</v>
      </c>
    </row>
    <row r="3521" spans="1:17" x14ac:dyDescent="0.3">
      <c r="A3521" t="s">
        <v>47</v>
      </c>
      <c r="B3521" t="str">
        <f>"001207"</f>
        <v>001207</v>
      </c>
      <c r="C3521" t="s">
        <v>7389</v>
      </c>
      <c r="D3521" t="s">
        <v>3283</v>
      </c>
      <c r="E3521">
        <v>1898284824</v>
      </c>
      <c r="F3521">
        <v>1218761162</v>
      </c>
      <c r="P3521">
        <v>25</v>
      </c>
      <c r="Q3521" t="s">
        <v>7390</v>
      </c>
    </row>
    <row r="3522" spans="1:17" x14ac:dyDescent="0.3">
      <c r="A3522" t="s">
        <v>17</v>
      </c>
      <c r="B3522" t="str">
        <f>"603330"</f>
        <v>603330</v>
      </c>
      <c r="C3522" t="s">
        <v>7391</v>
      </c>
      <c r="D3522" t="s">
        <v>3077</v>
      </c>
      <c r="E3522">
        <v>1897048210</v>
      </c>
      <c r="F3522">
        <v>1763527727</v>
      </c>
      <c r="G3522">
        <v>1045739734</v>
      </c>
      <c r="H3522">
        <v>1011000045</v>
      </c>
      <c r="I3522">
        <v>852022273</v>
      </c>
      <c r="J3522">
        <v>672643575</v>
      </c>
      <c r="P3522">
        <v>136</v>
      </c>
      <c r="Q3522" t="s">
        <v>7392</v>
      </c>
    </row>
    <row r="3523" spans="1:17" x14ac:dyDescent="0.3">
      <c r="A3523" t="s">
        <v>17</v>
      </c>
      <c r="B3523" t="str">
        <f>"688016"</f>
        <v>688016</v>
      </c>
      <c r="C3523" t="s">
        <v>7393</v>
      </c>
      <c r="D3523" t="s">
        <v>1650</v>
      </c>
      <c r="E3523">
        <v>1895828912</v>
      </c>
      <c r="F3523">
        <v>1535717953</v>
      </c>
      <c r="G3523">
        <v>1225196911</v>
      </c>
      <c r="H3523">
        <v>324871000</v>
      </c>
      <c r="P3523">
        <v>551</v>
      </c>
      <c r="Q3523" t="s">
        <v>7394</v>
      </c>
    </row>
    <row r="3524" spans="1:17" x14ac:dyDescent="0.3">
      <c r="A3524" t="s">
        <v>47</v>
      </c>
      <c r="B3524" t="str">
        <f>"301193"</f>
        <v>301193</v>
      </c>
      <c r="C3524" t="s">
        <v>7395</v>
      </c>
      <c r="D3524" t="s">
        <v>2016</v>
      </c>
      <c r="E3524">
        <v>1895099825</v>
      </c>
      <c r="P3524">
        <v>15</v>
      </c>
      <c r="Q3524" t="s">
        <v>7396</v>
      </c>
    </row>
    <row r="3525" spans="1:17" x14ac:dyDescent="0.3">
      <c r="A3525" t="s">
        <v>47</v>
      </c>
      <c r="B3525" t="str">
        <f>"300341"</f>
        <v>300341</v>
      </c>
      <c r="C3525" t="s">
        <v>7397</v>
      </c>
      <c r="D3525" t="s">
        <v>459</v>
      </c>
      <c r="E3525">
        <v>1894750085</v>
      </c>
      <c r="F3525">
        <v>1717687623</v>
      </c>
      <c r="G3525">
        <v>1624400209</v>
      </c>
      <c r="H3525">
        <v>1450788656</v>
      </c>
      <c r="I3525">
        <v>1314957483</v>
      </c>
      <c r="J3525">
        <v>1145175232</v>
      </c>
      <c r="K3525">
        <v>1044921987</v>
      </c>
      <c r="L3525">
        <v>630396057</v>
      </c>
      <c r="M3525">
        <v>588655005</v>
      </c>
      <c r="N3525">
        <v>546021384</v>
      </c>
      <c r="P3525">
        <v>142</v>
      </c>
      <c r="Q3525" t="s">
        <v>7398</v>
      </c>
    </row>
    <row r="3526" spans="1:17" x14ac:dyDescent="0.3">
      <c r="A3526" t="s">
        <v>47</v>
      </c>
      <c r="B3526" t="str">
        <f>"000025"</f>
        <v>000025</v>
      </c>
      <c r="C3526" t="s">
        <v>7399</v>
      </c>
      <c r="D3526" t="s">
        <v>462</v>
      </c>
      <c r="E3526">
        <v>1892239710</v>
      </c>
      <c r="F3526">
        <v>1736552809</v>
      </c>
      <c r="G3526">
        <v>1635904163</v>
      </c>
      <c r="H3526">
        <v>1654362252</v>
      </c>
      <c r="I3526">
        <v>1407251616</v>
      </c>
      <c r="J3526">
        <v>1178813571</v>
      </c>
      <c r="K3526">
        <v>1146134011</v>
      </c>
      <c r="L3526">
        <v>1423276241</v>
      </c>
      <c r="M3526">
        <v>735383296</v>
      </c>
      <c r="N3526">
        <v>630434380</v>
      </c>
      <c r="O3526">
        <v>583848155</v>
      </c>
      <c r="P3526">
        <v>140</v>
      </c>
      <c r="Q3526" t="s">
        <v>7400</v>
      </c>
    </row>
    <row r="3527" spans="1:17" x14ac:dyDescent="0.3">
      <c r="A3527" t="s">
        <v>17</v>
      </c>
      <c r="B3527" t="str">
        <f>"603321"</f>
        <v>603321</v>
      </c>
      <c r="C3527" t="s">
        <v>7401</v>
      </c>
      <c r="D3527" t="s">
        <v>1092</v>
      </c>
      <c r="E3527">
        <v>1892042710</v>
      </c>
      <c r="F3527">
        <v>1842026329</v>
      </c>
      <c r="G3527">
        <v>1526475250</v>
      </c>
      <c r="H3527">
        <v>1456701075</v>
      </c>
      <c r="I3527">
        <v>1493582919</v>
      </c>
      <c r="P3527">
        <v>59</v>
      </c>
      <c r="Q3527" t="s">
        <v>7402</v>
      </c>
    </row>
    <row r="3528" spans="1:17" x14ac:dyDescent="0.3">
      <c r="A3528" t="s">
        <v>17</v>
      </c>
      <c r="B3528" t="str">
        <f>"688020"</f>
        <v>688020</v>
      </c>
      <c r="C3528" t="s">
        <v>7403</v>
      </c>
      <c r="D3528" t="s">
        <v>1115</v>
      </c>
      <c r="E3528">
        <v>1891810731</v>
      </c>
      <c r="F3528">
        <v>1789112369</v>
      </c>
      <c r="G3528">
        <v>1602628890</v>
      </c>
      <c r="H3528">
        <v>483531900</v>
      </c>
      <c r="P3528">
        <v>253</v>
      </c>
      <c r="Q3528" t="s">
        <v>7404</v>
      </c>
    </row>
    <row r="3529" spans="1:17" x14ac:dyDescent="0.3">
      <c r="A3529" t="s">
        <v>17</v>
      </c>
      <c r="B3529" t="str">
        <f>"605259"</f>
        <v>605259</v>
      </c>
      <c r="C3529" t="s">
        <v>7405</v>
      </c>
      <c r="D3529" t="s">
        <v>1973</v>
      </c>
      <c r="E3529">
        <v>1891165079</v>
      </c>
      <c r="F3529">
        <v>1266457195</v>
      </c>
      <c r="P3529">
        <v>17</v>
      </c>
      <c r="Q3529" t="s">
        <v>7406</v>
      </c>
    </row>
    <row r="3530" spans="1:17" x14ac:dyDescent="0.3">
      <c r="A3530" t="s">
        <v>17</v>
      </c>
      <c r="B3530" t="str">
        <f>"688039"</f>
        <v>688039</v>
      </c>
      <c r="C3530" t="s">
        <v>7407</v>
      </c>
      <c r="D3530" t="s">
        <v>700</v>
      </c>
      <c r="E3530">
        <v>1890406610</v>
      </c>
      <c r="F3530">
        <v>1572186509</v>
      </c>
      <c r="G3530">
        <v>1474766061</v>
      </c>
      <c r="P3530">
        <v>155</v>
      </c>
      <c r="Q3530" t="s">
        <v>7408</v>
      </c>
    </row>
    <row r="3531" spans="1:17" x14ac:dyDescent="0.3">
      <c r="A3531" t="s">
        <v>47</v>
      </c>
      <c r="B3531" t="str">
        <f>"300856"</f>
        <v>300856</v>
      </c>
      <c r="C3531" t="s">
        <v>7409</v>
      </c>
      <c r="D3531" t="s">
        <v>2302</v>
      </c>
      <c r="E3531">
        <v>1888533357</v>
      </c>
      <c r="F3531">
        <v>1708217820</v>
      </c>
      <c r="G3531">
        <v>1024545400</v>
      </c>
      <c r="P3531">
        <v>131</v>
      </c>
      <c r="Q3531" t="s">
        <v>7410</v>
      </c>
    </row>
    <row r="3532" spans="1:17" x14ac:dyDescent="0.3">
      <c r="A3532" t="s">
        <v>47</v>
      </c>
      <c r="B3532" t="str">
        <f>"300590"</f>
        <v>300590</v>
      </c>
      <c r="C3532" t="s">
        <v>7411</v>
      </c>
      <c r="D3532" t="s">
        <v>962</v>
      </c>
      <c r="E3532">
        <v>1886686232</v>
      </c>
      <c r="F3532">
        <v>1331954896</v>
      </c>
      <c r="G3532">
        <v>1178935058</v>
      </c>
      <c r="H3532">
        <v>1060606690</v>
      </c>
      <c r="I3532">
        <v>852791881</v>
      </c>
      <c r="J3532">
        <v>797231611</v>
      </c>
      <c r="P3532">
        <v>410</v>
      </c>
      <c r="Q3532" t="s">
        <v>7412</v>
      </c>
    </row>
    <row r="3533" spans="1:17" x14ac:dyDescent="0.3">
      <c r="A3533" t="s">
        <v>17</v>
      </c>
      <c r="B3533" t="str">
        <f>"603928"</f>
        <v>603928</v>
      </c>
      <c r="C3533" t="s">
        <v>7413</v>
      </c>
      <c r="D3533" t="s">
        <v>2290</v>
      </c>
      <c r="E3533">
        <v>1886429862</v>
      </c>
      <c r="F3533">
        <v>1707432108</v>
      </c>
      <c r="G3533">
        <v>1534271692</v>
      </c>
      <c r="H3533">
        <v>1601661278</v>
      </c>
      <c r="I3533">
        <v>1407590463</v>
      </c>
      <c r="J3533">
        <v>1229595347</v>
      </c>
      <c r="P3533">
        <v>102</v>
      </c>
      <c r="Q3533" t="s">
        <v>7414</v>
      </c>
    </row>
    <row r="3534" spans="1:17" x14ac:dyDescent="0.3">
      <c r="A3534" t="s">
        <v>17</v>
      </c>
      <c r="B3534" t="str">
        <f>"688268"</f>
        <v>688268</v>
      </c>
      <c r="C3534" t="s">
        <v>7415</v>
      </c>
      <c r="D3534" t="s">
        <v>3050</v>
      </c>
      <c r="E3534">
        <v>1882950037</v>
      </c>
      <c r="F3534">
        <v>1559772391</v>
      </c>
      <c r="G3534">
        <v>1383110812</v>
      </c>
      <c r="P3534">
        <v>184</v>
      </c>
      <c r="Q3534" t="s">
        <v>7416</v>
      </c>
    </row>
    <row r="3535" spans="1:17" x14ac:dyDescent="0.3">
      <c r="A3535" t="s">
        <v>47</v>
      </c>
      <c r="B3535" t="str">
        <f>"002860"</f>
        <v>002860</v>
      </c>
      <c r="C3535" t="s">
        <v>7417</v>
      </c>
      <c r="D3535" t="s">
        <v>1511</v>
      </c>
      <c r="E3535">
        <v>1882641604</v>
      </c>
      <c r="F3535">
        <v>1851030584</v>
      </c>
      <c r="G3535">
        <v>1481353232</v>
      </c>
      <c r="H3535">
        <v>1203738593</v>
      </c>
      <c r="I3535">
        <v>812314187</v>
      </c>
      <c r="J3535">
        <v>413232020</v>
      </c>
      <c r="P3535">
        <v>249</v>
      </c>
      <c r="Q3535" t="s">
        <v>7418</v>
      </c>
    </row>
    <row r="3536" spans="1:17" x14ac:dyDescent="0.3">
      <c r="A3536" t="s">
        <v>17</v>
      </c>
      <c r="B3536" t="str">
        <f>"688789"</f>
        <v>688789</v>
      </c>
      <c r="C3536" t="s">
        <v>7419</v>
      </c>
      <c r="D3536" t="s">
        <v>2603</v>
      </c>
      <c r="E3536">
        <v>1882612536</v>
      </c>
      <c r="F3536">
        <v>1121640217</v>
      </c>
      <c r="P3536">
        <v>43</v>
      </c>
      <c r="Q3536" t="s">
        <v>7420</v>
      </c>
    </row>
    <row r="3537" spans="1:17" x14ac:dyDescent="0.3">
      <c r="A3537" t="s">
        <v>17</v>
      </c>
      <c r="B3537" t="str">
        <f>"600250"</f>
        <v>600250</v>
      </c>
      <c r="C3537" t="s">
        <v>7421</v>
      </c>
      <c r="D3537" t="s">
        <v>768</v>
      </c>
      <c r="E3537">
        <v>1881191706</v>
      </c>
      <c r="F3537">
        <v>2234625379</v>
      </c>
      <c r="G3537">
        <v>2375191350</v>
      </c>
      <c r="H3537">
        <v>1753503142</v>
      </c>
      <c r="I3537">
        <v>1745911444</v>
      </c>
      <c r="J3537">
        <v>1608796236</v>
      </c>
      <c r="K3537">
        <v>1731679824</v>
      </c>
      <c r="L3537">
        <v>1850756927</v>
      </c>
      <c r="M3537">
        <v>2665669755</v>
      </c>
      <c r="N3537">
        <v>2957908159</v>
      </c>
      <c r="O3537">
        <v>2980584896</v>
      </c>
      <c r="P3537">
        <v>70</v>
      </c>
      <c r="Q3537" t="s">
        <v>7422</v>
      </c>
    </row>
    <row r="3538" spans="1:17" x14ac:dyDescent="0.3">
      <c r="A3538" t="s">
        <v>17</v>
      </c>
      <c r="B3538" t="str">
        <f>"605289"</f>
        <v>605289</v>
      </c>
      <c r="C3538" t="s">
        <v>7423</v>
      </c>
      <c r="D3538" t="s">
        <v>152</v>
      </c>
      <c r="E3538">
        <v>1880241339</v>
      </c>
      <c r="F3538">
        <v>1135999133</v>
      </c>
      <c r="P3538">
        <v>29</v>
      </c>
      <c r="Q3538" t="s">
        <v>7424</v>
      </c>
    </row>
    <row r="3539" spans="1:17" x14ac:dyDescent="0.3">
      <c r="A3539" t="s">
        <v>47</v>
      </c>
      <c r="B3539" t="str">
        <f>"300680"</f>
        <v>300680</v>
      </c>
      <c r="C3539" t="s">
        <v>7425</v>
      </c>
      <c r="D3539" t="s">
        <v>274</v>
      </c>
      <c r="E3539">
        <v>1880162957</v>
      </c>
      <c r="F3539">
        <v>1476036887</v>
      </c>
      <c r="G3539">
        <v>1023899552</v>
      </c>
      <c r="H3539">
        <v>886393902</v>
      </c>
      <c r="I3539">
        <v>456566402</v>
      </c>
      <c r="J3539">
        <v>345374779</v>
      </c>
      <c r="P3539">
        <v>114</v>
      </c>
      <c r="Q3539" t="s">
        <v>7426</v>
      </c>
    </row>
    <row r="3540" spans="1:17" x14ac:dyDescent="0.3">
      <c r="A3540" t="s">
        <v>17</v>
      </c>
      <c r="B3540" t="str">
        <f>"600353"</f>
        <v>600353</v>
      </c>
      <c r="C3540" t="s">
        <v>7427</v>
      </c>
      <c r="D3540" t="s">
        <v>1609</v>
      </c>
      <c r="E3540">
        <v>1879898432</v>
      </c>
      <c r="F3540">
        <v>1593387021</v>
      </c>
      <c r="G3540">
        <v>1849067595</v>
      </c>
      <c r="H3540">
        <v>1742098020</v>
      </c>
      <c r="I3540">
        <v>1732814651</v>
      </c>
      <c r="J3540">
        <v>1638177481</v>
      </c>
      <c r="K3540">
        <v>1497508634</v>
      </c>
      <c r="L3540">
        <v>1257902400</v>
      </c>
      <c r="M3540">
        <v>1144139594</v>
      </c>
      <c r="N3540">
        <v>1113467360</v>
      </c>
      <c r="O3540">
        <v>914148725</v>
      </c>
      <c r="P3540">
        <v>141</v>
      </c>
      <c r="Q3540" t="s">
        <v>7428</v>
      </c>
    </row>
    <row r="3541" spans="1:17" x14ac:dyDescent="0.3">
      <c r="A3541" t="s">
        <v>47</v>
      </c>
      <c r="B3541" t="str">
        <f>"300472"</f>
        <v>300472</v>
      </c>
      <c r="C3541" t="s">
        <v>7429</v>
      </c>
      <c r="D3541" t="s">
        <v>1973</v>
      </c>
      <c r="E3541">
        <v>1878816538</v>
      </c>
      <c r="F3541">
        <v>1874556476</v>
      </c>
      <c r="G3541">
        <v>1574666967</v>
      </c>
      <c r="H3541">
        <v>1509710669</v>
      </c>
      <c r="I3541">
        <v>1823816737</v>
      </c>
      <c r="J3541">
        <v>592772108</v>
      </c>
      <c r="K3541">
        <v>482417598</v>
      </c>
      <c r="L3541">
        <v>317297036</v>
      </c>
      <c r="P3541">
        <v>78</v>
      </c>
      <c r="Q3541" t="s">
        <v>7430</v>
      </c>
    </row>
    <row r="3542" spans="1:17" x14ac:dyDescent="0.3">
      <c r="A3542" t="s">
        <v>47</v>
      </c>
      <c r="B3542" t="str">
        <f>"301235"</f>
        <v>301235</v>
      </c>
      <c r="C3542" t="s">
        <v>7431</v>
      </c>
      <c r="E3542">
        <v>1877707010</v>
      </c>
      <c r="P3542">
        <v>11</v>
      </c>
      <c r="Q3542" t="s">
        <v>7432</v>
      </c>
    </row>
    <row r="3543" spans="1:17" x14ac:dyDescent="0.3">
      <c r="A3543" t="s">
        <v>17</v>
      </c>
      <c r="B3543" t="str">
        <f>"688360"</f>
        <v>688360</v>
      </c>
      <c r="C3543" t="s">
        <v>7433</v>
      </c>
      <c r="D3543" t="s">
        <v>1433</v>
      </c>
      <c r="E3543">
        <v>1875299213</v>
      </c>
      <c r="F3543">
        <v>1837247127</v>
      </c>
      <c r="G3543">
        <v>742348383</v>
      </c>
      <c r="P3543">
        <v>84</v>
      </c>
      <c r="Q3543" t="s">
        <v>7434</v>
      </c>
    </row>
    <row r="3544" spans="1:17" x14ac:dyDescent="0.3">
      <c r="A3544" t="s">
        <v>17</v>
      </c>
      <c r="B3544" t="str">
        <f>"688678"</f>
        <v>688678</v>
      </c>
      <c r="C3544" t="s">
        <v>7435</v>
      </c>
      <c r="D3544" t="s">
        <v>283</v>
      </c>
      <c r="E3544">
        <v>1874661211</v>
      </c>
      <c r="F3544">
        <v>1736441124</v>
      </c>
      <c r="P3544">
        <v>29</v>
      </c>
      <c r="Q3544" t="s">
        <v>7436</v>
      </c>
    </row>
    <row r="3545" spans="1:17" x14ac:dyDescent="0.3">
      <c r="A3545" t="s">
        <v>47</v>
      </c>
      <c r="B3545" t="str">
        <f>"003019"</f>
        <v>003019</v>
      </c>
      <c r="C3545" t="s">
        <v>7437</v>
      </c>
      <c r="D3545" t="s">
        <v>181</v>
      </c>
      <c r="E3545">
        <v>1873962729</v>
      </c>
      <c r="F3545">
        <v>1534658187</v>
      </c>
      <c r="P3545">
        <v>62</v>
      </c>
      <c r="Q3545" t="s">
        <v>7438</v>
      </c>
    </row>
    <row r="3546" spans="1:17" x14ac:dyDescent="0.3">
      <c r="A3546" t="s">
        <v>17</v>
      </c>
      <c r="B3546" t="str">
        <f>"603189"</f>
        <v>603189</v>
      </c>
      <c r="C3546" t="s">
        <v>7439</v>
      </c>
      <c r="D3546" t="s">
        <v>1859</v>
      </c>
      <c r="E3546">
        <v>1872671844</v>
      </c>
      <c r="F3546">
        <v>1055129443</v>
      </c>
      <c r="G3546">
        <v>999019934</v>
      </c>
      <c r="H3546">
        <v>902015056</v>
      </c>
      <c r="I3546">
        <v>848445412</v>
      </c>
      <c r="J3546">
        <v>822103389</v>
      </c>
      <c r="P3546">
        <v>166</v>
      </c>
      <c r="Q3546" t="s">
        <v>7440</v>
      </c>
    </row>
    <row r="3547" spans="1:17" x14ac:dyDescent="0.3">
      <c r="A3547" t="s">
        <v>17</v>
      </c>
      <c r="B3547" t="str">
        <f>"688202"</f>
        <v>688202</v>
      </c>
      <c r="C3547" t="s">
        <v>7441</v>
      </c>
      <c r="D3547" t="s">
        <v>777</v>
      </c>
      <c r="E3547">
        <v>1872150004</v>
      </c>
      <c r="F3547">
        <v>1456002298</v>
      </c>
      <c r="G3547">
        <v>1142494650</v>
      </c>
      <c r="P3547">
        <v>382</v>
      </c>
      <c r="Q3547" t="s">
        <v>7442</v>
      </c>
    </row>
    <row r="3548" spans="1:17" x14ac:dyDescent="0.3">
      <c r="A3548" t="s">
        <v>17</v>
      </c>
      <c r="B3548" t="str">
        <f>"603429"</f>
        <v>603429</v>
      </c>
      <c r="C3548" t="s">
        <v>7443</v>
      </c>
      <c r="D3548" t="s">
        <v>1842</v>
      </c>
      <c r="E3548">
        <v>1869035328</v>
      </c>
      <c r="F3548">
        <v>1673220643</v>
      </c>
      <c r="G3548">
        <v>1764267632</v>
      </c>
      <c r="H3548">
        <v>1085051587</v>
      </c>
      <c r="I3548">
        <v>874363695</v>
      </c>
      <c r="J3548">
        <v>562284390</v>
      </c>
      <c r="P3548">
        <v>368</v>
      </c>
      <c r="Q3548" t="s">
        <v>7444</v>
      </c>
    </row>
    <row r="3549" spans="1:17" x14ac:dyDescent="0.3">
      <c r="A3549" t="s">
        <v>47</v>
      </c>
      <c r="B3549" t="str">
        <f>"000576"</f>
        <v>000576</v>
      </c>
      <c r="C3549" t="s">
        <v>7445</v>
      </c>
      <c r="D3549" t="s">
        <v>1344</v>
      </c>
      <c r="E3549">
        <v>1868318765</v>
      </c>
      <c r="F3549">
        <v>1989930446</v>
      </c>
      <c r="G3549">
        <v>1586190935</v>
      </c>
      <c r="H3549">
        <v>1519709281</v>
      </c>
      <c r="I3549">
        <v>1075406680</v>
      </c>
      <c r="J3549">
        <v>1694338392</v>
      </c>
      <c r="K3549">
        <v>1962413711</v>
      </c>
      <c r="L3549">
        <v>1624595090</v>
      </c>
      <c r="M3549">
        <v>1473788271</v>
      </c>
      <c r="N3549">
        <v>907741215</v>
      </c>
      <c r="O3549">
        <v>823577266</v>
      </c>
      <c r="P3549">
        <v>161</v>
      </c>
      <c r="Q3549" t="s">
        <v>7446</v>
      </c>
    </row>
    <row r="3550" spans="1:17" x14ac:dyDescent="0.3">
      <c r="A3550" t="s">
        <v>47</v>
      </c>
      <c r="B3550" t="str">
        <f>"300221"</f>
        <v>300221</v>
      </c>
      <c r="C3550" t="s">
        <v>7447</v>
      </c>
      <c r="D3550" t="s">
        <v>833</v>
      </c>
      <c r="E3550">
        <v>1868039765</v>
      </c>
      <c r="F3550">
        <v>1706436567</v>
      </c>
      <c r="G3550">
        <v>1342141948</v>
      </c>
      <c r="H3550">
        <v>2278694440</v>
      </c>
      <c r="I3550">
        <v>3526949102</v>
      </c>
      <c r="J3550">
        <v>3254131207</v>
      </c>
      <c r="K3550">
        <v>1360563672</v>
      </c>
      <c r="L3550">
        <v>1259576357</v>
      </c>
      <c r="M3550">
        <v>1032504666</v>
      </c>
      <c r="N3550">
        <v>983339974</v>
      </c>
      <c r="O3550">
        <v>977670187</v>
      </c>
      <c r="P3550">
        <v>173</v>
      </c>
      <c r="Q3550" t="s">
        <v>7448</v>
      </c>
    </row>
    <row r="3551" spans="1:17" x14ac:dyDescent="0.3">
      <c r="A3551" t="s">
        <v>17</v>
      </c>
      <c r="B3551" t="str">
        <f>"688173"</f>
        <v>688173</v>
      </c>
      <c r="C3551" t="s">
        <v>7449</v>
      </c>
      <c r="E3551">
        <v>1867813976</v>
      </c>
      <c r="P3551">
        <v>11</v>
      </c>
      <c r="Q3551" t="s">
        <v>7450</v>
      </c>
    </row>
    <row r="3552" spans="1:17" x14ac:dyDescent="0.3">
      <c r="A3552" t="s">
        <v>17</v>
      </c>
      <c r="B3552" t="str">
        <f>"603221"</f>
        <v>603221</v>
      </c>
      <c r="C3552" t="s">
        <v>7451</v>
      </c>
      <c r="D3552" t="s">
        <v>2406</v>
      </c>
      <c r="E3552">
        <v>1867015571</v>
      </c>
      <c r="F3552">
        <v>1700126434</v>
      </c>
      <c r="G3552">
        <v>1665257988</v>
      </c>
      <c r="P3552">
        <v>79</v>
      </c>
      <c r="Q3552" t="s">
        <v>7452</v>
      </c>
    </row>
    <row r="3553" spans="1:17" x14ac:dyDescent="0.3">
      <c r="A3553" t="s">
        <v>17</v>
      </c>
      <c r="B3553" t="str">
        <f>"600080"</f>
        <v>600080</v>
      </c>
      <c r="C3553" t="s">
        <v>7453</v>
      </c>
      <c r="D3553" t="s">
        <v>695</v>
      </c>
      <c r="E3553">
        <v>1865565961</v>
      </c>
      <c r="F3553">
        <v>1907798228</v>
      </c>
      <c r="G3553">
        <v>1932214844</v>
      </c>
      <c r="H3553">
        <v>1969060141</v>
      </c>
      <c r="I3553">
        <v>2039506241</v>
      </c>
      <c r="J3553">
        <v>1419174856</v>
      </c>
      <c r="K3553">
        <v>1258246972</v>
      </c>
      <c r="L3553">
        <v>1268789165</v>
      </c>
      <c r="M3553">
        <v>1186490193</v>
      </c>
      <c r="N3553">
        <v>1117142517</v>
      </c>
      <c r="O3553">
        <v>1068737336</v>
      </c>
      <c r="P3553">
        <v>97</v>
      </c>
      <c r="Q3553" t="s">
        <v>7454</v>
      </c>
    </row>
    <row r="3554" spans="1:17" x14ac:dyDescent="0.3">
      <c r="A3554" t="s">
        <v>17</v>
      </c>
      <c r="B3554" t="str">
        <f>"688079"</f>
        <v>688079</v>
      </c>
      <c r="C3554" t="s">
        <v>7455</v>
      </c>
      <c r="D3554" t="s">
        <v>1487</v>
      </c>
      <c r="E3554">
        <v>1865507507</v>
      </c>
      <c r="F3554">
        <v>1934578822</v>
      </c>
      <c r="P3554">
        <v>36</v>
      </c>
      <c r="Q3554" t="s">
        <v>7456</v>
      </c>
    </row>
    <row r="3555" spans="1:17" x14ac:dyDescent="0.3">
      <c r="A3555" t="s">
        <v>47</v>
      </c>
      <c r="B3555" t="str">
        <f>"300659"</f>
        <v>300659</v>
      </c>
      <c r="C3555" t="s">
        <v>7457</v>
      </c>
      <c r="D3555" t="s">
        <v>765</v>
      </c>
      <c r="E3555">
        <v>1864102443</v>
      </c>
      <c r="F3555">
        <v>1837377218</v>
      </c>
      <c r="G3555">
        <v>660275324</v>
      </c>
      <c r="H3555">
        <v>553038000</v>
      </c>
      <c r="I3555">
        <v>492881448</v>
      </c>
      <c r="J3555">
        <v>186590153</v>
      </c>
      <c r="P3555">
        <v>272</v>
      </c>
      <c r="Q3555" t="s">
        <v>7458</v>
      </c>
    </row>
    <row r="3556" spans="1:17" x14ac:dyDescent="0.3">
      <c r="A3556" t="s">
        <v>17</v>
      </c>
      <c r="B3556" t="str">
        <f>"688585"</f>
        <v>688585</v>
      </c>
      <c r="C3556" t="s">
        <v>7459</v>
      </c>
      <c r="D3556" t="s">
        <v>2290</v>
      </c>
      <c r="E3556">
        <v>1863274661</v>
      </c>
      <c r="F3556">
        <v>1936652664</v>
      </c>
      <c r="P3556">
        <v>26</v>
      </c>
      <c r="Q3556" t="s">
        <v>7460</v>
      </c>
    </row>
    <row r="3557" spans="1:17" x14ac:dyDescent="0.3">
      <c r="A3557" t="s">
        <v>17</v>
      </c>
      <c r="B3557" t="str">
        <f>"688663"</f>
        <v>688663</v>
      </c>
      <c r="C3557" t="s">
        <v>7461</v>
      </c>
      <c r="D3557" t="s">
        <v>562</v>
      </c>
      <c r="E3557">
        <v>1860707440</v>
      </c>
      <c r="F3557">
        <v>1184665026</v>
      </c>
      <c r="P3557">
        <v>32</v>
      </c>
      <c r="Q3557" t="s">
        <v>7462</v>
      </c>
    </row>
    <row r="3558" spans="1:17" x14ac:dyDescent="0.3">
      <c r="A3558" t="s">
        <v>47</v>
      </c>
      <c r="B3558" t="str">
        <f>"002420"</f>
        <v>002420</v>
      </c>
      <c r="C3558" t="s">
        <v>7463</v>
      </c>
      <c r="D3558" t="s">
        <v>1511</v>
      </c>
      <c r="E3558">
        <v>1858774849</v>
      </c>
      <c r="F3558">
        <v>2204611896</v>
      </c>
      <c r="G3558">
        <v>1973686628</v>
      </c>
      <c r="H3558">
        <v>2398066337</v>
      </c>
      <c r="I3558">
        <v>3817269263</v>
      </c>
      <c r="J3558">
        <v>4194081371</v>
      </c>
      <c r="K3558">
        <v>4067893321</v>
      </c>
      <c r="L3558">
        <v>3520130729</v>
      </c>
      <c r="M3558">
        <v>3254888523</v>
      </c>
      <c r="N3558">
        <v>3093040957</v>
      </c>
      <c r="O3558">
        <v>3267433165</v>
      </c>
      <c r="P3558">
        <v>82</v>
      </c>
      <c r="Q3558" t="s">
        <v>7464</v>
      </c>
    </row>
    <row r="3559" spans="1:17" x14ac:dyDescent="0.3">
      <c r="A3559" t="s">
        <v>47</v>
      </c>
      <c r="B3559" t="str">
        <f>"002687"</f>
        <v>002687</v>
      </c>
      <c r="C3559" t="s">
        <v>7465</v>
      </c>
      <c r="D3559" t="s">
        <v>628</v>
      </c>
      <c r="E3559">
        <v>1854272249</v>
      </c>
      <c r="F3559">
        <v>1593444593</v>
      </c>
      <c r="G3559">
        <v>1505084912</v>
      </c>
      <c r="H3559">
        <v>1471095571</v>
      </c>
      <c r="I3559">
        <v>1373376822</v>
      </c>
      <c r="J3559">
        <v>1350817295</v>
      </c>
      <c r="K3559">
        <v>1325158648</v>
      </c>
      <c r="L3559">
        <v>1326129538</v>
      </c>
      <c r="M3559">
        <v>1129241285</v>
      </c>
      <c r="N3559">
        <v>1104221509</v>
      </c>
      <c r="O3559">
        <v>628514259</v>
      </c>
      <c r="P3559">
        <v>127</v>
      </c>
      <c r="Q3559" t="s">
        <v>7466</v>
      </c>
    </row>
    <row r="3560" spans="1:17" x14ac:dyDescent="0.3">
      <c r="A3560" t="s">
        <v>47</v>
      </c>
      <c r="B3560" t="str">
        <f>"300350"</f>
        <v>300350</v>
      </c>
      <c r="C3560" t="s">
        <v>7467</v>
      </c>
      <c r="D3560" t="s">
        <v>939</v>
      </c>
      <c r="E3560">
        <v>1854043614</v>
      </c>
      <c r="F3560">
        <v>1554770590</v>
      </c>
      <c r="G3560">
        <v>1447042035</v>
      </c>
      <c r="H3560">
        <v>2161448969</v>
      </c>
      <c r="I3560">
        <v>2881384007</v>
      </c>
      <c r="J3560">
        <v>2568775142</v>
      </c>
      <c r="K3560">
        <v>2083396831</v>
      </c>
      <c r="L3560">
        <v>866285781</v>
      </c>
      <c r="M3560">
        <v>649237864</v>
      </c>
      <c r="N3560">
        <v>591804260</v>
      </c>
      <c r="P3560">
        <v>106</v>
      </c>
      <c r="Q3560" t="s">
        <v>7468</v>
      </c>
    </row>
    <row r="3561" spans="1:17" x14ac:dyDescent="0.3">
      <c r="A3561" t="s">
        <v>17</v>
      </c>
      <c r="B3561" t="str">
        <f>"603232"</f>
        <v>603232</v>
      </c>
      <c r="C3561" t="s">
        <v>7469</v>
      </c>
      <c r="D3561" t="s">
        <v>1859</v>
      </c>
      <c r="E3561">
        <v>1853668283</v>
      </c>
      <c r="F3561">
        <v>1633131094</v>
      </c>
      <c r="G3561">
        <v>815788002</v>
      </c>
      <c r="H3561">
        <v>702899752</v>
      </c>
      <c r="I3561">
        <v>645440955</v>
      </c>
      <c r="J3561">
        <v>332873426</v>
      </c>
      <c r="P3561">
        <v>159</v>
      </c>
      <c r="Q3561" t="s">
        <v>7470</v>
      </c>
    </row>
    <row r="3562" spans="1:17" x14ac:dyDescent="0.3">
      <c r="A3562" t="s">
        <v>17</v>
      </c>
      <c r="B3562" t="str">
        <f>"688369"</f>
        <v>688369</v>
      </c>
      <c r="C3562" t="s">
        <v>7471</v>
      </c>
      <c r="D3562" t="s">
        <v>1010</v>
      </c>
      <c r="E3562">
        <v>1853582731</v>
      </c>
      <c r="F3562">
        <v>1716087145</v>
      </c>
      <c r="G3562">
        <v>1565154084</v>
      </c>
      <c r="P3562">
        <v>168</v>
      </c>
      <c r="Q3562" t="s">
        <v>7472</v>
      </c>
    </row>
    <row r="3563" spans="1:17" x14ac:dyDescent="0.3">
      <c r="A3563" t="s">
        <v>47</v>
      </c>
      <c r="B3563" t="str">
        <f>"300756"</f>
        <v>300756</v>
      </c>
      <c r="C3563" t="s">
        <v>7473</v>
      </c>
      <c r="D3563" t="s">
        <v>4263</v>
      </c>
      <c r="E3563">
        <v>1852709592</v>
      </c>
      <c r="F3563">
        <v>1832636421</v>
      </c>
      <c r="G3563">
        <v>1686644504</v>
      </c>
      <c r="H3563">
        <v>1706028156</v>
      </c>
      <c r="J3563">
        <v>940659285</v>
      </c>
      <c r="P3563">
        <v>76</v>
      </c>
      <c r="Q3563" t="s">
        <v>7474</v>
      </c>
    </row>
    <row r="3564" spans="1:17" x14ac:dyDescent="0.3">
      <c r="A3564" t="s">
        <v>17</v>
      </c>
      <c r="B3564" t="str">
        <f>"600589"</f>
        <v>600589</v>
      </c>
      <c r="C3564" t="s">
        <v>7475</v>
      </c>
      <c r="D3564" t="s">
        <v>3077</v>
      </c>
      <c r="E3564">
        <v>1852228055</v>
      </c>
      <c r="F3564">
        <v>3202135425</v>
      </c>
      <c r="G3564">
        <v>4697968263</v>
      </c>
      <c r="H3564">
        <v>5480683619</v>
      </c>
      <c r="I3564">
        <v>5152788080</v>
      </c>
      <c r="J3564">
        <v>5321706746</v>
      </c>
      <c r="K3564">
        <v>5124266889</v>
      </c>
      <c r="L3564">
        <v>3773939210</v>
      </c>
      <c r="M3564">
        <v>3456109664</v>
      </c>
      <c r="N3564">
        <v>3534201020</v>
      </c>
      <c r="O3564">
        <v>2896865222</v>
      </c>
      <c r="P3564">
        <v>74</v>
      </c>
      <c r="Q3564" t="s">
        <v>7476</v>
      </c>
    </row>
    <row r="3565" spans="1:17" x14ac:dyDescent="0.3">
      <c r="A3565" t="s">
        <v>17</v>
      </c>
      <c r="B3565" t="str">
        <f>"603356"</f>
        <v>603356</v>
      </c>
      <c r="C3565" t="s">
        <v>7477</v>
      </c>
      <c r="D3565" t="s">
        <v>1092</v>
      </c>
      <c r="E3565">
        <v>1845637307</v>
      </c>
      <c r="F3565">
        <v>1747049754</v>
      </c>
      <c r="G3565">
        <v>1338247985</v>
      </c>
      <c r="H3565">
        <v>1010818097</v>
      </c>
      <c r="I3565">
        <v>793438953</v>
      </c>
      <c r="P3565">
        <v>65</v>
      </c>
      <c r="Q3565" t="s">
        <v>7478</v>
      </c>
    </row>
    <row r="3566" spans="1:17" x14ac:dyDescent="0.3">
      <c r="A3566" t="s">
        <v>17</v>
      </c>
      <c r="B3566" t="str">
        <f>"603937"</f>
        <v>603937</v>
      </c>
      <c r="C3566" t="s">
        <v>7479</v>
      </c>
      <c r="D3566" t="s">
        <v>346</v>
      </c>
      <c r="E3566">
        <v>1845463766</v>
      </c>
      <c r="F3566">
        <v>1776134889</v>
      </c>
      <c r="G3566">
        <v>1716108775</v>
      </c>
      <c r="H3566">
        <v>1470411309</v>
      </c>
      <c r="I3566">
        <v>1490929820</v>
      </c>
      <c r="P3566">
        <v>61</v>
      </c>
      <c r="Q3566" t="s">
        <v>7480</v>
      </c>
    </row>
    <row r="3567" spans="1:17" x14ac:dyDescent="0.3">
      <c r="A3567" t="s">
        <v>47</v>
      </c>
      <c r="B3567" t="str">
        <f>"002998"</f>
        <v>002998</v>
      </c>
      <c r="C3567" t="s">
        <v>7481</v>
      </c>
      <c r="D3567" t="s">
        <v>970</v>
      </c>
      <c r="E3567">
        <v>1844721455</v>
      </c>
      <c r="F3567">
        <v>1578238991</v>
      </c>
      <c r="P3567">
        <v>36</v>
      </c>
      <c r="Q3567" t="s">
        <v>7482</v>
      </c>
    </row>
    <row r="3568" spans="1:17" x14ac:dyDescent="0.3">
      <c r="A3568" t="s">
        <v>17</v>
      </c>
      <c r="B3568" t="str">
        <f>"688216"</f>
        <v>688216</v>
      </c>
      <c r="C3568" t="s">
        <v>7483</v>
      </c>
      <c r="D3568" t="s">
        <v>1109</v>
      </c>
      <c r="E3568">
        <v>1843685568</v>
      </c>
      <c r="F3568">
        <v>1122349656</v>
      </c>
      <c r="P3568">
        <v>26</v>
      </c>
      <c r="Q3568" t="s">
        <v>7484</v>
      </c>
    </row>
    <row r="3569" spans="1:17" x14ac:dyDescent="0.3">
      <c r="A3569" t="s">
        <v>17</v>
      </c>
      <c r="B3569" t="str">
        <f>"603360"</f>
        <v>603360</v>
      </c>
      <c r="C3569" t="s">
        <v>7485</v>
      </c>
      <c r="D3569" t="s">
        <v>819</v>
      </c>
      <c r="E3569">
        <v>1843367714</v>
      </c>
      <c r="F3569">
        <v>1520021841</v>
      </c>
      <c r="G3569">
        <v>1303153052</v>
      </c>
      <c r="H3569">
        <v>985072288</v>
      </c>
      <c r="I3569">
        <v>802551486</v>
      </c>
      <c r="J3569">
        <v>833934961</v>
      </c>
      <c r="P3569">
        <v>402</v>
      </c>
      <c r="Q3569" t="s">
        <v>7486</v>
      </c>
    </row>
    <row r="3570" spans="1:17" x14ac:dyDescent="0.3">
      <c r="A3570" t="s">
        <v>47</v>
      </c>
      <c r="B3570" t="str">
        <f>"300530"</f>
        <v>300530</v>
      </c>
      <c r="C3570" t="s">
        <v>7487</v>
      </c>
      <c r="D3570" t="s">
        <v>710</v>
      </c>
      <c r="E3570">
        <v>1842517767</v>
      </c>
      <c r="F3570">
        <v>1196705392</v>
      </c>
      <c r="G3570">
        <v>1204926162</v>
      </c>
      <c r="H3570">
        <v>562884093</v>
      </c>
      <c r="I3570">
        <v>547070629</v>
      </c>
      <c r="J3570">
        <v>521032834</v>
      </c>
      <c r="K3570">
        <v>283892100</v>
      </c>
      <c r="P3570">
        <v>64</v>
      </c>
      <c r="Q3570" t="s">
        <v>7488</v>
      </c>
    </row>
    <row r="3571" spans="1:17" x14ac:dyDescent="0.3">
      <c r="A3571" t="s">
        <v>17</v>
      </c>
      <c r="B3571" t="str">
        <f>"688350"</f>
        <v>688350</v>
      </c>
      <c r="C3571" t="s">
        <v>7489</v>
      </c>
      <c r="D3571" t="s">
        <v>710</v>
      </c>
      <c r="E3571">
        <v>1841127366</v>
      </c>
      <c r="F3571">
        <v>1740357781</v>
      </c>
      <c r="P3571">
        <v>34</v>
      </c>
      <c r="Q3571" t="s">
        <v>7490</v>
      </c>
    </row>
    <row r="3572" spans="1:17" x14ac:dyDescent="0.3">
      <c r="A3572" t="s">
        <v>47</v>
      </c>
      <c r="B3572" t="str">
        <f>"002829"</f>
        <v>002829</v>
      </c>
      <c r="C3572" t="s">
        <v>7491</v>
      </c>
      <c r="D3572" t="s">
        <v>1180</v>
      </c>
      <c r="E3572">
        <v>1839731084</v>
      </c>
      <c r="F3572">
        <v>1646296556</v>
      </c>
      <c r="G3572">
        <v>1483544419</v>
      </c>
      <c r="H3572">
        <v>1615606471</v>
      </c>
      <c r="I3572">
        <v>1669462404</v>
      </c>
      <c r="J3572">
        <v>834826960</v>
      </c>
      <c r="P3572">
        <v>132</v>
      </c>
      <c r="Q3572" t="s">
        <v>7492</v>
      </c>
    </row>
    <row r="3573" spans="1:17" x14ac:dyDescent="0.3">
      <c r="A3573" t="s">
        <v>17</v>
      </c>
      <c r="B3573" t="str">
        <f>"603139"</f>
        <v>603139</v>
      </c>
      <c r="C3573" t="s">
        <v>7493</v>
      </c>
      <c r="D3573" t="s">
        <v>695</v>
      </c>
      <c r="E3573">
        <v>1838053086</v>
      </c>
      <c r="F3573">
        <v>1684747345</v>
      </c>
      <c r="G3573">
        <v>1090287845</v>
      </c>
      <c r="H3573">
        <v>1106088319</v>
      </c>
      <c r="I3573">
        <v>1013133403</v>
      </c>
      <c r="J3573">
        <v>642167332</v>
      </c>
      <c r="P3573">
        <v>97</v>
      </c>
      <c r="Q3573" t="s">
        <v>7494</v>
      </c>
    </row>
    <row r="3574" spans="1:17" x14ac:dyDescent="0.3">
      <c r="A3574" t="s">
        <v>17</v>
      </c>
      <c r="B3574" t="str">
        <f>"603819"</f>
        <v>603819</v>
      </c>
      <c r="C3574" t="s">
        <v>7495</v>
      </c>
      <c r="D3574" t="s">
        <v>1594</v>
      </c>
      <c r="E3574">
        <v>1836502847</v>
      </c>
      <c r="F3574">
        <v>1630485838</v>
      </c>
      <c r="G3574">
        <v>1154742812</v>
      </c>
      <c r="H3574">
        <v>1172521967</v>
      </c>
      <c r="I3574">
        <v>921808109</v>
      </c>
      <c r="J3574">
        <v>780141219</v>
      </c>
      <c r="P3574">
        <v>74</v>
      </c>
      <c r="Q3574" t="s">
        <v>7496</v>
      </c>
    </row>
    <row r="3575" spans="1:17" x14ac:dyDescent="0.3">
      <c r="A3575" t="s">
        <v>47</v>
      </c>
      <c r="B3575" t="str">
        <f>"300611"</f>
        <v>300611</v>
      </c>
      <c r="C3575" t="s">
        <v>7497</v>
      </c>
      <c r="D3575" t="s">
        <v>274</v>
      </c>
      <c r="E3575">
        <v>1833735833</v>
      </c>
      <c r="F3575">
        <v>1498782661</v>
      </c>
      <c r="G3575">
        <v>1073751165</v>
      </c>
      <c r="H3575">
        <v>1045803968</v>
      </c>
      <c r="I3575">
        <v>993003735</v>
      </c>
      <c r="J3575">
        <v>823866485</v>
      </c>
      <c r="P3575">
        <v>97</v>
      </c>
      <c r="Q3575" t="s">
        <v>7498</v>
      </c>
    </row>
    <row r="3576" spans="1:17" x14ac:dyDescent="0.3">
      <c r="A3576" t="s">
        <v>17</v>
      </c>
      <c r="B3576" t="str">
        <f>"600319"</f>
        <v>600319</v>
      </c>
      <c r="C3576" t="s">
        <v>7499</v>
      </c>
      <c r="D3576" t="s">
        <v>625</v>
      </c>
      <c r="E3576">
        <v>1832001931</v>
      </c>
      <c r="F3576">
        <v>2121837990</v>
      </c>
      <c r="G3576">
        <v>1620868980</v>
      </c>
      <c r="H3576">
        <v>1377046925</v>
      </c>
      <c r="I3576">
        <v>1422173509</v>
      </c>
      <c r="J3576">
        <v>1680341213</v>
      </c>
      <c r="K3576">
        <v>2136838181</v>
      </c>
      <c r="L3576">
        <v>2304042431</v>
      </c>
      <c r="M3576">
        <v>2215097334</v>
      </c>
      <c r="N3576">
        <v>2513285609</v>
      </c>
      <c r="O3576">
        <v>3303916329</v>
      </c>
      <c r="P3576">
        <v>57</v>
      </c>
      <c r="Q3576" t="s">
        <v>7500</v>
      </c>
    </row>
    <row r="3577" spans="1:17" x14ac:dyDescent="0.3">
      <c r="A3577" t="s">
        <v>17</v>
      </c>
      <c r="B3577" t="str">
        <f>"600571"</f>
        <v>600571</v>
      </c>
      <c r="C3577" t="s">
        <v>7501</v>
      </c>
      <c r="D3577" t="s">
        <v>700</v>
      </c>
      <c r="E3577">
        <v>1831984033</v>
      </c>
      <c r="F3577">
        <v>1569317110</v>
      </c>
      <c r="G3577">
        <v>1398610698</v>
      </c>
      <c r="H3577">
        <v>1628002428</v>
      </c>
      <c r="I3577">
        <v>1974959697</v>
      </c>
      <c r="J3577">
        <v>1723599511</v>
      </c>
      <c r="K3577">
        <v>1549415363</v>
      </c>
      <c r="L3577">
        <v>1190839185</v>
      </c>
      <c r="M3577">
        <v>975681012</v>
      </c>
      <c r="N3577">
        <v>872087915</v>
      </c>
      <c r="O3577">
        <v>781558094</v>
      </c>
      <c r="P3577">
        <v>155</v>
      </c>
      <c r="Q3577" t="s">
        <v>7502</v>
      </c>
    </row>
    <row r="3578" spans="1:17" x14ac:dyDescent="0.3">
      <c r="A3578" t="s">
        <v>47</v>
      </c>
      <c r="B3578" t="str">
        <f>"003029"</f>
        <v>003029</v>
      </c>
      <c r="C3578" t="s">
        <v>7503</v>
      </c>
      <c r="D3578" t="s">
        <v>1859</v>
      </c>
      <c r="E3578">
        <v>1830676005</v>
      </c>
      <c r="F3578">
        <v>1639162063</v>
      </c>
      <c r="P3578">
        <v>75</v>
      </c>
      <c r="Q3578" t="s">
        <v>7504</v>
      </c>
    </row>
    <row r="3579" spans="1:17" x14ac:dyDescent="0.3">
      <c r="A3579" t="s">
        <v>17</v>
      </c>
      <c r="B3579" t="str">
        <f>"688566"</f>
        <v>688566</v>
      </c>
      <c r="C3579" t="s">
        <v>7505</v>
      </c>
      <c r="D3579" t="s">
        <v>550</v>
      </c>
      <c r="E3579">
        <v>1829821120</v>
      </c>
      <c r="F3579">
        <v>1741341416</v>
      </c>
      <c r="G3579">
        <v>612476617</v>
      </c>
      <c r="P3579">
        <v>69</v>
      </c>
      <c r="Q3579" t="s">
        <v>7506</v>
      </c>
    </row>
    <row r="3580" spans="1:17" x14ac:dyDescent="0.3">
      <c r="A3580" t="s">
        <v>17</v>
      </c>
      <c r="B3580" t="str">
        <f>"603863"</f>
        <v>603863</v>
      </c>
      <c r="C3580" t="s">
        <v>7507</v>
      </c>
      <c r="D3580" t="s">
        <v>587</v>
      </c>
      <c r="E3580">
        <v>1829643762</v>
      </c>
      <c r="F3580">
        <v>1705744778</v>
      </c>
      <c r="G3580">
        <v>1337303620</v>
      </c>
      <c r="H3580">
        <v>840740500</v>
      </c>
      <c r="P3580">
        <v>51</v>
      </c>
      <c r="Q3580" t="s">
        <v>7508</v>
      </c>
    </row>
    <row r="3581" spans="1:17" x14ac:dyDescent="0.3">
      <c r="A3581" t="s">
        <v>47</v>
      </c>
      <c r="B3581" t="str">
        <f>"301149"</f>
        <v>301149</v>
      </c>
      <c r="C3581" t="s">
        <v>7509</v>
      </c>
      <c r="D3581" t="s">
        <v>710</v>
      </c>
      <c r="E3581">
        <v>1828122247</v>
      </c>
      <c r="P3581">
        <v>17</v>
      </c>
      <c r="Q3581" t="s">
        <v>7510</v>
      </c>
    </row>
    <row r="3582" spans="1:17" x14ac:dyDescent="0.3">
      <c r="A3582" t="s">
        <v>17</v>
      </c>
      <c r="B3582" t="str">
        <f>"600381"</f>
        <v>600381</v>
      </c>
      <c r="C3582" t="s">
        <v>7511</v>
      </c>
      <c r="D3582" t="s">
        <v>2355</v>
      </c>
      <c r="E3582">
        <v>1827564969</v>
      </c>
      <c r="F3582">
        <v>2075097934</v>
      </c>
      <c r="G3582">
        <v>2387006613</v>
      </c>
      <c r="H3582">
        <v>2453384273</v>
      </c>
      <c r="I3582">
        <v>2492407982</v>
      </c>
      <c r="J3582">
        <v>2225905143</v>
      </c>
      <c r="K3582">
        <v>2039952909</v>
      </c>
      <c r="L3582">
        <v>1857799879</v>
      </c>
      <c r="M3582">
        <v>1434171558</v>
      </c>
      <c r="N3582">
        <v>3016851937</v>
      </c>
      <c r="O3582">
        <v>3894928691</v>
      </c>
      <c r="P3582">
        <v>131</v>
      </c>
      <c r="Q3582" t="s">
        <v>7512</v>
      </c>
    </row>
    <row r="3583" spans="1:17" x14ac:dyDescent="0.3">
      <c r="A3583" t="s">
        <v>17</v>
      </c>
      <c r="B3583" t="str">
        <f>"688049"</f>
        <v>688049</v>
      </c>
      <c r="C3583" t="s">
        <v>7513</v>
      </c>
      <c r="D3583" t="s">
        <v>967</v>
      </c>
      <c r="E3583">
        <v>1824761120</v>
      </c>
      <c r="P3583">
        <v>21</v>
      </c>
      <c r="Q3583" t="s">
        <v>7514</v>
      </c>
    </row>
    <row r="3584" spans="1:17" x14ac:dyDescent="0.3">
      <c r="A3584" t="s">
        <v>17</v>
      </c>
      <c r="B3584" t="str">
        <f>"605005"</f>
        <v>605005</v>
      </c>
      <c r="C3584" t="s">
        <v>7515</v>
      </c>
      <c r="D3584" t="s">
        <v>836</v>
      </c>
      <c r="E3584">
        <v>1824539294</v>
      </c>
      <c r="F3584">
        <v>1662841469</v>
      </c>
      <c r="P3584">
        <v>62</v>
      </c>
      <c r="Q3584" t="s">
        <v>7516</v>
      </c>
    </row>
    <row r="3585" spans="1:17" x14ac:dyDescent="0.3">
      <c r="A3585" t="s">
        <v>17</v>
      </c>
      <c r="B3585" t="str">
        <f>"605376"</f>
        <v>605376</v>
      </c>
      <c r="C3585" t="s">
        <v>7517</v>
      </c>
      <c r="D3585" t="s">
        <v>1002</v>
      </c>
      <c r="E3585">
        <v>1823971710</v>
      </c>
      <c r="F3585">
        <v>1586179306</v>
      </c>
      <c r="P3585">
        <v>110</v>
      </c>
      <c r="Q3585" t="s">
        <v>7518</v>
      </c>
    </row>
    <row r="3586" spans="1:17" x14ac:dyDescent="0.3">
      <c r="A3586" t="s">
        <v>17</v>
      </c>
      <c r="B3586" t="str">
        <f>"603829"</f>
        <v>603829</v>
      </c>
      <c r="C3586" t="s">
        <v>7519</v>
      </c>
      <c r="D3586" t="s">
        <v>562</v>
      </c>
      <c r="E3586">
        <v>1823917329</v>
      </c>
      <c r="F3586">
        <v>1354054228</v>
      </c>
      <c r="G3586">
        <v>1002345825</v>
      </c>
      <c r="H3586">
        <v>896911486</v>
      </c>
      <c r="I3586">
        <v>820878810</v>
      </c>
      <c r="P3586">
        <v>50</v>
      </c>
      <c r="Q3586" t="s">
        <v>7520</v>
      </c>
    </row>
    <row r="3587" spans="1:17" x14ac:dyDescent="0.3">
      <c r="A3587" t="s">
        <v>17</v>
      </c>
      <c r="B3587" t="str">
        <f>"600359"</f>
        <v>600359</v>
      </c>
      <c r="C3587" t="s">
        <v>7521</v>
      </c>
      <c r="D3587" t="s">
        <v>1780</v>
      </c>
      <c r="E3587">
        <v>1818986880</v>
      </c>
      <c r="F3587">
        <v>1661297115</v>
      </c>
      <c r="G3587">
        <v>1754004931</v>
      </c>
      <c r="H3587">
        <v>2244761287</v>
      </c>
      <c r="I3587">
        <v>2375126644</v>
      </c>
      <c r="J3587">
        <v>2870940141</v>
      </c>
      <c r="K3587">
        <v>2965152061</v>
      </c>
      <c r="L3587">
        <v>2351247360</v>
      </c>
      <c r="M3587">
        <v>1715795400</v>
      </c>
      <c r="N3587">
        <v>2055407105</v>
      </c>
      <c r="O3587">
        <v>3641700352</v>
      </c>
      <c r="P3587">
        <v>111</v>
      </c>
      <c r="Q3587" t="s">
        <v>7522</v>
      </c>
    </row>
    <row r="3588" spans="1:17" x14ac:dyDescent="0.3">
      <c r="A3588" t="s">
        <v>17</v>
      </c>
      <c r="B3588" t="str">
        <f>"603718"</f>
        <v>603718</v>
      </c>
      <c r="C3588" t="s">
        <v>7523</v>
      </c>
      <c r="D3588" t="s">
        <v>3286</v>
      </c>
      <c r="E3588">
        <v>1818881725</v>
      </c>
      <c r="F3588">
        <v>1797811160</v>
      </c>
      <c r="G3588">
        <v>1690455657</v>
      </c>
      <c r="H3588">
        <v>1751841491</v>
      </c>
      <c r="I3588">
        <v>1629800844</v>
      </c>
      <c r="J3588">
        <v>1663948302</v>
      </c>
      <c r="K3588">
        <v>1325876963</v>
      </c>
      <c r="L3588">
        <v>658793230</v>
      </c>
      <c r="P3588">
        <v>166</v>
      </c>
      <c r="Q3588" t="s">
        <v>7524</v>
      </c>
    </row>
    <row r="3589" spans="1:17" x14ac:dyDescent="0.3">
      <c r="A3589" t="s">
        <v>47</v>
      </c>
      <c r="B3589" t="str">
        <f>"000506"</f>
        <v>000506</v>
      </c>
      <c r="C3589" t="s">
        <v>7525</v>
      </c>
      <c r="D3589" t="s">
        <v>76</v>
      </c>
      <c r="E3589">
        <v>1817985986</v>
      </c>
      <c r="F3589">
        <v>2327699760</v>
      </c>
      <c r="G3589">
        <v>2641271593</v>
      </c>
      <c r="H3589">
        <v>2574504145</v>
      </c>
      <c r="I3589">
        <v>2524453562</v>
      </c>
      <c r="J3589">
        <v>3295031415</v>
      </c>
      <c r="K3589">
        <v>3208937704</v>
      </c>
      <c r="L3589">
        <v>3224751876</v>
      </c>
      <c r="M3589">
        <v>3351914682</v>
      </c>
      <c r="N3589">
        <v>4710790478</v>
      </c>
      <c r="O3589">
        <v>5537587029</v>
      </c>
      <c r="P3589">
        <v>85</v>
      </c>
      <c r="Q3589" t="s">
        <v>7526</v>
      </c>
    </row>
    <row r="3590" spans="1:17" x14ac:dyDescent="0.3">
      <c r="A3590" t="s">
        <v>47</v>
      </c>
      <c r="B3590" t="str">
        <f>"003005"</f>
        <v>003005</v>
      </c>
      <c r="C3590" t="s">
        <v>7527</v>
      </c>
      <c r="D3590" t="s">
        <v>700</v>
      </c>
      <c r="E3590">
        <v>1817828340</v>
      </c>
      <c r="F3590">
        <v>1812009493</v>
      </c>
      <c r="P3590">
        <v>68</v>
      </c>
      <c r="Q3590" t="s">
        <v>7528</v>
      </c>
    </row>
    <row r="3591" spans="1:17" x14ac:dyDescent="0.3">
      <c r="A3591" t="s">
        <v>17</v>
      </c>
      <c r="B3591" t="str">
        <f>"600302"</f>
        <v>600302</v>
      </c>
      <c r="C3591" t="s">
        <v>7529</v>
      </c>
      <c r="D3591" t="s">
        <v>2603</v>
      </c>
      <c r="E3591">
        <v>1816839683</v>
      </c>
      <c r="F3591">
        <v>2622898532</v>
      </c>
      <c r="G3591">
        <v>1435518089</v>
      </c>
      <c r="H3591">
        <v>1639724957</v>
      </c>
      <c r="I3591">
        <v>1631386480</v>
      </c>
      <c r="J3591">
        <v>1653492445</v>
      </c>
      <c r="K3591">
        <v>1557733995</v>
      </c>
      <c r="L3591">
        <v>1513377349</v>
      </c>
      <c r="M3591">
        <v>1682460430</v>
      </c>
      <c r="N3591">
        <v>1495715185</v>
      </c>
      <c r="O3591">
        <v>1576367514</v>
      </c>
      <c r="P3591">
        <v>51</v>
      </c>
      <c r="Q3591" t="s">
        <v>7530</v>
      </c>
    </row>
    <row r="3592" spans="1:17" x14ac:dyDescent="0.3">
      <c r="A3592" t="s">
        <v>47</v>
      </c>
      <c r="B3592" t="str">
        <f>"300997"</f>
        <v>300997</v>
      </c>
      <c r="C3592" t="s">
        <v>7531</v>
      </c>
      <c r="D3592" t="s">
        <v>2157</v>
      </c>
      <c r="E3592">
        <v>1816285701</v>
      </c>
      <c r="F3592">
        <v>1280797630</v>
      </c>
      <c r="P3592">
        <v>39</v>
      </c>
      <c r="Q3592" t="s">
        <v>7532</v>
      </c>
    </row>
    <row r="3593" spans="1:17" x14ac:dyDescent="0.3">
      <c r="A3593" t="s">
        <v>47</v>
      </c>
      <c r="B3593" t="str">
        <f>"000721"</f>
        <v>000721</v>
      </c>
      <c r="C3593" t="s">
        <v>7533</v>
      </c>
      <c r="D3593" t="s">
        <v>6094</v>
      </c>
      <c r="E3593">
        <v>1816197451</v>
      </c>
      <c r="F3593">
        <v>1365777347</v>
      </c>
      <c r="G3593">
        <v>1098797656</v>
      </c>
      <c r="H3593">
        <v>1138546302</v>
      </c>
      <c r="I3593">
        <v>1055940312</v>
      </c>
      <c r="J3593">
        <v>1139391969</v>
      </c>
      <c r="K3593">
        <v>1082284667</v>
      </c>
      <c r="L3593">
        <v>1064074892</v>
      </c>
      <c r="M3593">
        <v>1052651272</v>
      </c>
      <c r="N3593">
        <v>735813461</v>
      </c>
      <c r="O3593">
        <v>740005403</v>
      </c>
      <c r="P3593">
        <v>130</v>
      </c>
      <c r="Q3593" t="s">
        <v>7534</v>
      </c>
    </row>
    <row r="3594" spans="1:17" x14ac:dyDescent="0.3">
      <c r="A3594" t="s">
        <v>17</v>
      </c>
      <c r="B3594" t="str">
        <f>"603223"</f>
        <v>603223</v>
      </c>
      <c r="C3594" t="s">
        <v>7535</v>
      </c>
      <c r="D3594" t="s">
        <v>1035</v>
      </c>
      <c r="E3594">
        <v>1814090307</v>
      </c>
      <c r="F3594">
        <v>1810129789</v>
      </c>
      <c r="G3594">
        <v>1733754135</v>
      </c>
      <c r="H3594">
        <v>1993357181</v>
      </c>
      <c r="I3594">
        <v>1677340052</v>
      </c>
      <c r="J3594">
        <v>950115424</v>
      </c>
      <c r="K3594">
        <v>899093517</v>
      </c>
      <c r="L3594">
        <v>770605600</v>
      </c>
      <c r="P3594">
        <v>98</v>
      </c>
      <c r="Q3594" t="s">
        <v>7536</v>
      </c>
    </row>
    <row r="3595" spans="1:17" x14ac:dyDescent="0.3">
      <c r="A3595" t="s">
        <v>47</v>
      </c>
      <c r="B3595" t="str">
        <f>"003032"</f>
        <v>003032</v>
      </c>
      <c r="C3595" t="s">
        <v>7537</v>
      </c>
      <c r="D3595" t="s">
        <v>2954</v>
      </c>
      <c r="E3595">
        <v>1813820782</v>
      </c>
      <c r="F3595">
        <v>1718969095</v>
      </c>
      <c r="P3595">
        <v>59</v>
      </c>
      <c r="Q3595" t="s">
        <v>7538</v>
      </c>
    </row>
    <row r="3596" spans="1:17" x14ac:dyDescent="0.3">
      <c r="A3596" t="s">
        <v>47</v>
      </c>
      <c r="B3596" t="str">
        <f>"002089"</f>
        <v>002089</v>
      </c>
      <c r="C3596" t="s">
        <v>7539</v>
      </c>
      <c r="D3596" t="s">
        <v>367</v>
      </c>
      <c r="E3596">
        <v>1813127330</v>
      </c>
      <c r="F3596">
        <v>2269886532</v>
      </c>
      <c r="G3596">
        <v>2718485303</v>
      </c>
      <c r="H3596">
        <v>5019560435</v>
      </c>
      <c r="I3596">
        <v>4419427945</v>
      </c>
      <c r="J3596">
        <v>5145358966</v>
      </c>
      <c r="K3596">
        <v>4472209446</v>
      </c>
      <c r="L3596">
        <v>3940482146</v>
      </c>
      <c r="M3596">
        <v>2256689505</v>
      </c>
      <c r="N3596">
        <v>1911717641</v>
      </c>
      <c r="O3596">
        <v>1664873097</v>
      </c>
      <c r="P3596">
        <v>175</v>
      </c>
      <c r="Q3596" t="s">
        <v>7540</v>
      </c>
    </row>
    <row r="3597" spans="1:17" x14ac:dyDescent="0.3">
      <c r="A3597" t="s">
        <v>17</v>
      </c>
      <c r="B3597" t="str">
        <f>"605369"</f>
        <v>605369</v>
      </c>
      <c r="C3597" t="s">
        <v>7541</v>
      </c>
      <c r="D3597" t="s">
        <v>1650</v>
      </c>
      <c r="E3597">
        <v>1812783112</v>
      </c>
      <c r="F3597">
        <v>1494366262</v>
      </c>
      <c r="P3597">
        <v>177</v>
      </c>
      <c r="Q3597" t="s">
        <v>7542</v>
      </c>
    </row>
    <row r="3598" spans="1:17" x14ac:dyDescent="0.3">
      <c r="A3598" t="s">
        <v>47</v>
      </c>
      <c r="B3598" t="str">
        <f>"300061"</f>
        <v>300061</v>
      </c>
      <c r="C3598" t="s">
        <v>7543</v>
      </c>
      <c r="D3598" t="s">
        <v>1824</v>
      </c>
      <c r="E3598">
        <v>1812520005</v>
      </c>
      <c r="F3598">
        <v>2089601632</v>
      </c>
      <c r="G3598">
        <v>3102163663</v>
      </c>
      <c r="H3598">
        <v>3177475871</v>
      </c>
      <c r="I3598">
        <v>4287081805</v>
      </c>
      <c r="J3598">
        <v>3843426848</v>
      </c>
      <c r="K3598">
        <v>869477877</v>
      </c>
      <c r="L3598">
        <v>778533942</v>
      </c>
      <c r="M3598">
        <v>738941546</v>
      </c>
      <c r="N3598">
        <v>632684152</v>
      </c>
      <c r="O3598">
        <v>626335610</v>
      </c>
      <c r="P3598">
        <v>120</v>
      </c>
      <c r="Q3598" t="s">
        <v>7544</v>
      </c>
    </row>
    <row r="3599" spans="1:17" x14ac:dyDescent="0.3">
      <c r="A3599" t="s">
        <v>47</v>
      </c>
      <c r="B3599" t="str">
        <f>"300839"</f>
        <v>300839</v>
      </c>
      <c r="C3599" t="s">
        <v>7545</v>
      </c>
      <c r="D3599" t="s">
        <v>615</v>
      </c>
      <c r="E3599">
        <v>1810967497</v>
      </c>
      <c r="F3599">
        <v>1563356279</v>
      </c>
      <c r="G3599">
        <v>1262075238</v>
      </c>
      <c r="P3599">
        <v>58</v>
      </c>
      <c r="Q3599" t="s">
        <v>7546</v>
      </c>
    </row>
    <row r="3600" spans="1:17" x14ac:dyDescent="0.3">
      <c r="A3600" t="s">
        <v>47</v>
      </c>
      <c r="B3600" t="str">
        <f>"001296"</f>
        <v>001296</v>
      </c>
      <c r="C3600" t="s">
        <v>7547</v>
      </c>
      <c r="D3600" t="s">
        <v>1197</v>
      </c>
      <c r="E3600">
        <v>1809367033</v>
      </c>
      <c r="P3600">
        <v>15</v>
      </c>
      <c r="Q3600" t="s">
        <v>7548</v>
      </c>
    </row>
    <row r="3601" spans="1:17" x14ac:dyDescent="0.3">
      <c r="A3601" t="s">
        <v>47</v>
      </c>
      <c r="B3601" t="str">
        <f>"300302"</f>
        <v>300302</v>
      </c>
      <c r="C3601" t="s">
        <v>7549</v>
      </c>
      <c r="D3601" t="s">
        <v>765</v>
      </c>
      <c r="E3601">
        <v>1809002995</v>
      </c>
      <c r="F3601">
        <v>1697522637</v>
      </c>
      <c r="G3601">
        <v>1478205112</v>
      </c>
      <c r="H3601">
        <v>1459888100</v>
      </c>
      <c r="I3601">
        <v>884244984</v>
      </c>
      <c r="J3601">
        <v>874329986</v>
      </c>
      <c r="K3601">
        <v>796487816</v>
      </c>
      <c r="L3601">
        <v>560475929</v>
      </c>
      <c r="M3601">
        <v>518913525</v>
      </c>
      <c r="N3601">
        <v>509539579</v>
      </c>
      <c r="O3601">
        <v>489778851</v>
      </c>
      <c r="P3601">
        <v>146</v>
      </c>
      <c r="Q3601" t="s">
        <v>7550</v>
      </c>
    </row>
    <row r="3602" spans="1:17" x14ac:dyDescent="0.3">
      <c r="A3602" t="s">
        <v>47</v>
      </c>
      <c r="B3602" t="str">
        <f>"300295"</f>
        <v>300295</v>
      </c>
      <c r="C3602" t="s">
        <v>7551</v>
      </c>
      <c r="D3602" t="s">
        <v>4377</v>
      </c>
      <c r="E3602">
        <v>1806112370</v>
      </c>
      <c r="F3602">
        <v>1829603264</v>
      </c>
      <c r="G3602">
        <v>2438891870</v>
      </c>
      <c r="H3602">
        <v>2105238256</v>
      </c>
      <c r="I3602">
        <v>1652980570</v>
      </c>
      <c r="J3602">
        <v>1259226855</v>
      </c>
      <c r="K3602">
        <v>1093428572</v>
      </c>
      <c r="L3602">
        <v>898309063</v>
      </c>
      <c r="M3602">
        <v>859390359</v>
      </c>
      <c r="N3602">
        <v>719485544</v>
      </c>
      <c r="O3602">
        <v>633209788</v>
      </c>
      <c r="P3602">
        <v>100</v>
      </c>
      <c r="Q3602" t="s">
        <v>7552</v>
      </c>
    </row>
    <row r="3603" spans="1:17" x14ac:dyDescent="0.3">
      <c r="A3603" t="s">
        <v>47</v>
      </c>
      <c r="B3603" t="str">
        <f>"300327"</f>
        <v>300327</v>
      </c>
      <c r="C3603" t="s">
        <v>7553</v>
      </c>
      <c r="D3603" t="s">
        <v>967</v>
      </c>
      <c r="E3603">
        <v>1804874963</v>
      </c>
      <c r="F3603">
        <v>1414263280</v>
      </c>
      <c r="G3603">
        <v>1225309651</v>
      </c>
      <c r="H3603">
        <v>1031684910</v>
      </c>
      <c r="I3603">
        <v>986122940</v>
      </c>
      <c r="J3603">
        <v>856213458</v>
      </c>
      <c r="K3603">
        <v>744452512</v>
      </c>
      <c r="L3603">
        <v>642820461</v>
      </c>
      <c r="M3603">
        <v>636982713</v>
      </c>
      <c r="N3603">
        <v>615530991</v>
      </c>
      <c r="O3603">
        <v>268055932</v>
      </c>
      <c r="P3603">
        <v>4063</v>
      </c>
      <c r="Q3603" t="s">
        <v>7554</v>
      </c>
    </row>
    <row r="3604" spans="1:17" x14ac:dyDescent="0.3">
      <c r="A3604" t="s">
        <v>47</v>
      </c>
      <c r="B3604" t="str">
        <f>"200992"</f>
        <v>200992</v>
      </c>
      <c r="C3604" t="s">
        <v>7555</v>
      </c>
      <c r="E3604">
        <v>1804156149.4460001</v>
      </c>
      <c r="F3604">
        <v>1446066883.2090001</v>
      </c>
      <c r="G3604">
        <v>1419844019.7098999</v>
      </c>
      <c r="H3604">
        <v>1421946282.9609001</v>
      </c>
      <c r="I3604">
        <v>1384360567.8180001</v>
      </c>
      <c r="J3604">
        <v>1010471851.6432</v>
      </c>
      <c r="K3604">
        <v>1026757444.4549</v>
      </c>
      <c r="L3604">
        <v>1028697730</v>
      </c>
      <c r="M3604">
        <v>918816046.89240003</v>
      </c>
      <c r="N3604">
        <v>865497971.91419995</v>
      </c>
      <c r="O3604">
        <v>676719949.33800006</v>
      </c>
      <c r="P3604">
        <v>22</v>
      </c>
      <c r="Q3604" t="s">
        <v>7556</v>
      </c>
    </row>
    <row r="3605" spans="1:17" x14ac:dyDescent="0.3">
      <c r="A3605" t="s">
        <v>47</v>
      </c>
      <c r="B3605" t="str">
        <f>"300608"</f>
        <v>300608</v>
      </c>
      <c r="C3605" t="s">
        <v>7557</v>
      </c>
      <c r="D3605" t="s">
        <v>1859</v>
      </c>
      <c r="E3605">
        <v>1803270340</v>
      </c>
      <c r="F3605">
        <v>1806566461</v>
      </c>
      <c r="G3605">
        <v>1565744527</v>
      </c>
      <c r="H3605">
        <v>1151580911</v>
      </c>
      <c r="I3605">
        <v>941586018</v>
      </c>
      <c r="J3605">
        <v>903002573</v>
      </c>
      <c r="P3605">
        <v>217</v>
      </c>
      <c r="Q3605" t="s">
        <v>7558</v>
      </c>
    </row>
    <row r="3606" spans="1:17" x14ac:dyDescent="0.3">
      <c r="A3606" t="s">
        <v>47</v>
      </c>
      <c r="B3606" t="str">
        <f>"300614"</f>
        <v>300614</v>
      </c>
      <c r="C3606" t="s">
        <v>7559</v>
      </c>
      <c r="D3606" t="s">
        <v>1310</v>
      </c>
      <c r="E3606">
        <v>1802512725</v>
      </c>
      <c r="F3606">
        <v>1426010300</v>
      </c>
      <c r="G3606">
        <v>1317936170</v>
      </c>
      <c r="P3606">
        <v>41</v>
      </c>
      <c r="Q3606" t="s">
        <v>7560</v>
      </c>
    </row>
    <row r="3607" spans="1:17" x14ac:dyDescent="0.3">
      <c r="A3607" t="s">
        <v>47</v>
      </c>
      <c r="B3607" t="str">
        <f>"002718"</f>
        <v>002718</v>
      </c>
      <c r="C3607" t="s">
        <v>7561</v>
      </c>
      <c r="D3607" t="s">
        <v>1418</v>
      </c>
      <c r="E3607">
        <v>1801128384</v>
      </c>
      <c r="F3607">
        <v>1970134135</v>
      </c>
      <c r="G3607">
        <v>1816676775</v>
      </c>
      <c r="H3607">
        <v>1579215166</v>
      </c>
      <c r="I3607">
        <v>1382537953</v>
      </c>
      <c r="J3607">
        <v>1327328094</v>
      </c>
      <c r="K3607">
        <v>702287371</v>
      </c>
      <c r="L3607">
        <v>608096027</v>
      </c>
      <c r="M3607">
        <v>499446788</v>
      </c>
      <c r="P3607">
        <v>170</v>
      </c>
      <c r="Q3607" t="s">
        <v>7562</v>
      </c>
    </row>
    <row r="3608" spans="1:17" x14ac:dyDescent="0.3">
      <c r="A3608" t="s">
        <v>17</v>
      </c>
      <c r="B3608" t="str">
        <f>"603079"</f>
        <v>603079</v>
      </c>
      <c r="C3608" t="s">
        <v>7563</v>
      </c>
      <c r="D3608" t="s">
        <v>1112</v>
      </c>
      <c r="E3608">
        <v>1799662110</v>
      </c>
      <c r="F3608">
        <v>1825224398</v>
      </c>
      <c r="G3608">
        <v>1594920360</v>
      </c>
      <c r="H3608">
        <v>1335768131</v>
      </c>
      <c r="I3608">
        <v>1007113756</v>
      </c>
      <c r="P3608">
        <v>239</v>
      </c>
      <c r="Q3608" t="s">
        <v>7564</v>
      </c>
    </row>
    <row r="3609" spans="1:17" x14ac:dyDescent="0.3">
      <c r="A3609" t="s">
        <v>47</v>
      </c>
      <c r="B3609" t="str">
        <f>"300538"</f>
        <v>300538</v>
      </c>
      <c r="C3609" t="s">
        <v>7565</v>
      </c>
      <c r="D3609" t="s">
        <v>833</v>
      </c>
      <c r="E3609">
        <v>1799253698</v>
      </c>
      <c r="F3609">
        <v>1181904172</v>
      </c>
      <c r="G3609">
        <v>960358064</v>
      </c>
      <c r="H3609">
        <v>579134396</v>
      </c>
      <c r="I3609">
        <v>609310096</v>
      </c>
      <c r="J3609">
        <v>528056171</v>
      </c>
      <c r="P3609">
        <v>186</v>
      </c>
      <c r="Q3609" t="s">
        <v>7566</v>
      </c>
    </row>
    <row r="3610" spans="1:17" x14ac:dyDescent="0.3">
      <c r="A3610" t="s">
        <v>47</v>
      </c>
      <c r="B3610" t="str">
        <f>"300288"</f>
        <v>300288</v>
      </c>
      <c r="C3610" t="s">
        <v>7567</v>
      </c>
      <c r="D3610" t="s">
        <v>700</v>
      </c>
      <c r="E3610">
        <v>1799212769</v>
      </c>
      <c r="F3610">
        <v>1920764618</v>
      </c>
      <c r="G3610">
        <v>1875878892</v>
      </c>
      <c r="H3610">
        <v>1749950670</v>
      </c>
      <c r="I3610">
        <v>1546129051</v>
      </c>
      <c r="J3610">
        <v>1399915718</v>
      </c>
      <c r="K3610">
        <v>1350004809</v>
      </c>
      <c r="L3610">
        <v>1173005818</v>
      </c>
      <c r="M3610">
        <v>585538459</v>
      </c>
      <c r="N3610">
        <v>510071149</v>
      </c>
      <c r="O3610">
        <v>438366940</v>
      </c>
      <c r="P3610">
        <v>221</v>
      </c>
      <c r="Q3610" t="s">
        <v>7568</v>
      </c>
    </row>
    <row r="3611" spans="1:17" x14ac:dyDescent="0.3">
      <c r="A3611" t="s">
        <v>47</v>
      </c>
      <c r="B3611" t="str">
        <f>"002524"</f>
        <v>002524</v>
      </c>
      <c r="C3611" t="s">
        <v>7569</v>
      </c>
      <c r="D3611" t="s">
        <v>1585</v>
      </c>
      <c r="E3611">
        <v>1798706119</v>
      </c>
      <c r="F3611">
        <v>1848638389</v>
      </c>
      <c r="G3611">
        <v>1801603849</v>
      </c>
      <c r="H3611">
        <v>2537970411</v>
      </c>
      <c r="I3611">
        <v>1566661187</v>
      </c>
      <c r="J3611">
        <v>1586562630</v>
      </c>
      <c r="K3611">
        <v>1749275065</v>
      </c>
      <c r="L3611">
        <v>1956116478</v>
      </c>
      <c r="M3611">
        <v>1978112477</v>
      </c>
      <c r="N3611">
        <v>1227205720</v>
      </c>
      <c r="O3611">
        <v>746600708</v>
      </c>
      <c r="P3611">
        <v>180</v>
      </c>
      <c r="Q3611" t="s">
        <v>7570</v>
      </c>
    </row>
    <row r="3612" spans="1:17" x14ac:dyDescent="0.3">
      <c r="A3612" t="s">
        <v>17</v>
      </c>
      <c r="B3612" t="str">
        <f>"605598"</f>
        <v>605598</v>
      </c>
      <c r="C3612" t="s">
        <v>7571</v>
      </c>
      <c r="D3612" t="s">
        <v>152</v>
      </c>
      <c r="E3612">
        <v>1797246177</v>
      </c>
      <c r="P3612">
        <v>18</v>
      </c>
      <c r="Q3612" t="s">
        <v>7572</v>
      </c>
    </row>
    <row r="3613" spans="1:17" x14ac:dyDescent="0.3">
      <c r="A3613" t="s">
        <v>47</v>
      </c>
      <c r="B3613" t="str">
        <f>"300620"</f>
        <v>300620</v>
      </c>
      <c r="C3613" t="s">
        <v>7573</v>
      </c>
      <c r="D3613" t="s">
        <v>367</v>
      </c>
      <c r="E3613">
        <v>1796484994</v>
      </c>
      <c r="F3613">
        <v>1653421572</v>
      </c>
      <c r="G3613">
        <v>865145816</v>
      </c>
      <c r="H3613">
        <v>818120779</v>
      </c>
      <c r="I3613">
        <v>586297345</v>
      </c>
      <c r="J3613">
        <v>474013186</v>
      </c>
      <c r="P3613">
        <v>245</v>
      </c>
      <c r="Q3613" t="s">
        <v>7574</v>
      </c>
    </row>
    <row r="3614" spans="1:17" x14ac:dyDescent="0.3">
      <c r="A3614" t="s">
        <v>47</v>
      </c>
      <c r="B3614" t="str">
        <f>"002253"</f>
        <v>002253</v>
      </c>
      <c r="C3614" t="s">
        <v>7575</v>
      </c>
      <c r="D3614" t="s">
        <v>1859</v>
      </c>
      <c r="E3614">
        <v>1795666469</v>
      </c>
      <c r="F3614">
        <v>1772593762</v>
      </c>
      <c r="G3614">
        <v>1693988296</v>
      </c>
      <c r="H3614">
        <v>1616916770</v>
      </c>
      <c r="I3614">
        <v>1515649246</v>
      </c>
      <c r="J3614">
        <v>1513772775</v>
      </c>
      <c r="K3614">
        <v>1545261287</v>
      </c>
      <c r="L3614">
        <v>1030619497</v>
      </c>
      <c r="M3614">
        <v>981975585</v>
      </c>
      <c r="N3614">
        <v>959916525</v>
      </c>
      <c r="O3614">
        <v>859163932</v>
      </c>
      <c r="P3614">
        <v>151</v>
      </c>
      <c r="Q3614" t="s">
        <v>7576</v>
      </c>
    </row>
    <row r="3615" spans="1:17" x14ac:dyDescent="0.3">
      <c r="A3615" t="s">
        <v>47</v>
      </c>
      <c r="B3615" t="str">
        <f>"300282"</f>
        <v>300282</v>
      </c>
      <c r="C3615" t="s">
        <v>7577</v>
      </c>
      <c r="D3615" t="s">
        <v>2006</v>
      </c>
      <c r="E3615">
        <v>1793793894</v>
      </c>
      <c r="F3615">
        <v>2024753422</v>
      </c>
      <c r="G3615">
        <v>2886506065</v>
      </c>
      <c r="H3615">
        <v>2891556106</v>
      </c>
      <c r="I3615">
        <v>2546022102</v>
      </c>
      <c r="J3615">
        <v>3611035644</v>
      </c>
      <c r="K3615">
        <v>2133369163</v>
      </c>
      <c r="L3615">
        <v>2257607606</v>
      </c>
      <c r="M3615">
        <v>325779351</v>
      </c>
      <c r="N3615">
        <v>310797060</v>
      </c>
      <c r="O3615">
        <v>308242226</v>
      </c>
      <c r="P3615">
        <v>100</v>
      </c>
      <c r="Q3615" t="s">
        <v>7578</v>
      </c>
    </row>
    <row r="3616" spans="1:17" x14ac:dyDescent="0.3">
      <c r="A3616" t="s">
        <v>47</v>
      </c>
      <c r="B3616" t="str">
        <f>"002907"</f>
        <v>002907</v>
      </c>
      <c r="C3616" t="s">
        <v>7579</v>
      </c>
      <c r="D3616" t="s">
        <v>695</v>
      </c>
      <c r="E3616">
        <v>1791636982</v>
      </c>
      <c r="F3616">
        <v>1753552889</v>
      </c>
      <c r="G3616">
        <v>1641061955</v>
      </c>
      <c r="H3616">
        <v>1130167665</v>
      </c>
      <c r="I3616">
        <v>911100029</v>
      </c>
      <c r="P3616">
        <v>286</v>
      </c>
      <c r="Q3616" t="s">
        <v>7580</v>
      </c>
    </row>
    <row r="3617" spans="1:17" x14ac:dyDescent="0.3">
      <c r="A3617" t="s">
        <v>47</v>
      </c>
      <c r="B3617" t="str">
        <f>"300929"</f>
        <v>300929</v>
      </c>
      <c r="C3617" t="s">
        <v>7581</v>
      </c>
      <c r="D3617" t="s">
        <v>520</v>
      </c>
      <c r="E3617">
        <v>1789653869</v>
      </c>
      <c r="F3617">
        <v>1687814329</v>
      </c>
      <c r="P3617">
        <v>48</v>
      </c>
      <c r="Q3617" t="s">
        <v>7582</v>
      </c>
    </row>
    <row r="3618" spans="1:17" x14ac:dyDescent="0.3">
      <c r="A3618" t="s">
        <v>47</v>
      </c>
      <c r="B3618" t="str">
        <f>"300030"</f>
        <v>300030</v>
      </c>
      <c r="C3618" t="s">
        <v>7583</v>
      </c>
      <c r="D3618" t="s">
        <v>1083</v>
      </c>
      <c r="E3618">
        <v>1788675430</v>
      </c>
      <c r="F3618">
        <v>1854963928</v>
      </c>
      <c r="G3618">
        <v>1526192464</v>
      </c>
      <c r="H3618">
        <v>1463705258</v>
      </c>
      <c r="I3618">
        <v>1677591249</v>
      </c>
      <c r="J3618">
        <v>1575387498</v>
      </c>
      <c r="K3618">
        <v>1360872012</v>
      </c>
      <c r="L3618">
        <v>1080763439</v>
      </c>
      <c r="M3618">
        <v>874582228</v>
      </c>
      <c r="N3618">
        <v>802020276</v>
      </c>
      <c r="O3618">
        <v>715025379</v>
      </c>
      <c r="P3618">
        <v>182</v>
      </c>
      <c r="Q3618" t="s">
        <v>7584</v>
      </c>
    </row>
    <row r="3619" spans="1:17" x14ac:dyDescent="0.3">
      <c r="A3619" t="s">
        <v>47</v>
      </c>
      <c r="B3619" t="str">
        <f>"002549"</f>
        <v>002549</v>
      </c>
      <c r="C3619" t="s">
        <v>7585</v>
      </c>
      <c r="D3619" t="s">
        <v>710</v>
      </c>
      <c r="E3619">
        <v>1788196677</v>
      </c>
      <c r="F3619">
        <v>1637423456</v>
      </c>
      <c r="G3619">
        <v>1635360000</v>
      </c>
      <c r="H3619">
        <v>1485343098</v>
      </c>
      <c r="I3619">
        <v>1216018640</v>
      </c>
      <c r="J3619">
        <v>1098099579</v>
      </c>
      <c r="K3619">
        <v>1213293460</v>
      </c>
      <c r="L3619">
        <v>1191613660</v>
      </c>
      <c r="M3619">
        <v>1120022056</v>
      </c>
      <c r="N3619">
        <v>908758769</v>
      </c>
      <c r="O3619">
        <v>769007400</v>
      </c>
      <c r="P3619">
        <v>172</v>
      </c>
      <c r="Q3619" t="s">
        <v>7586</v>
      </c>
    </row>
    <row r="3620" spans="1:17" x14ac:dyDescent="0.3">
      <c r="A3620" t="s">
        <v>47</v>
      </c>
      <c r="B3620" t="str">
        <f>"002899"</f>
        <v>002899</v>
      </c>
      <c r="C3620" t="s">
        <v>7587</v>
      </c>
      <c r="D3620" t="s">
        <v>4263</v>
      </c>
      <c r="E3620">
        <v>1786034421</v>
      </c>
      <c r="F3620">
        <v>1383176025</v>
      </c>
      <c r="G3620">
        <v>1215072892</v>
      </c>
      <c r="H3620">
        <v>1240490983</v>
      </c>
      <c r="I3620">
        <v>1204395414</v>
      </c>
      <c r="J3620">
        <v>678945319</v>
      </c>
      <c r="P3620">
        <v>65</v>
      </c>
      <c r="Q3620" t="s">
        <v>7588</v>
      </c>
    </row>
    <row r="3621" spans="1:17" x14ac:dyDescent="0.3">
      <c r="A3621" t="s">
        <v>47</v>
      </c>
      <c r="B3621" t="str">
        <f>"300911"</f>
        <v>300911</v>
      </c>
      <c r="C3621" t="s">
        <v>7589</v>
      </c>
      <c r="D3621" t="s">
        <v>2261</v>
      </c>
      <c r="E3621">
        <v>1784756038</v>
      </c>
      <c r="F3621">
        <v>1454345042</v>
      </c>
      <c r="P3621">
        <v>151</v>
      </c>
      <c r="Q3621" t="s">
        <v>7590</v>
      </c>
    </row>
    <row r="3622" spans="1:17" x14ac:dyDescent="0.3">
      <c r="A3622" t="s">
        <v>47</v>
      </c>
      <c r="B3622" t="str">
        <f>"300518"</f>
        <v>300518</v>
      </c>
      <c r="C3622" t="s">
        <v>7591</v>
      </c>
      <c r="D3622" t="s">
        <v>1032</v>
      </c>
      <c r="E3622">
        <v>1783840515</v>
      </c>
      <c r="F3622">
        <v>1376158535</v>
      </c>
      <c r="G3622">
        <v>1284004386</v>
      </c>
      <c r="H3622">
        <v>1825189146</v>
      </c>
      <c r="I3622">
        <v>1472160359</v>
      </c>
      <c r="J3622">
        <v>1149167343</v>
      </c>
      <c r="K3622">
        <v>558040056</v>
      </c>
      <c r="P3622">
        <v>91</v>
      </c>
      <c r="Q3622" t="s">
        <v>7592</v>
      </c>
    </row>
    <row r="3623" spans="1:17" x14ac:dyDescent="0.3">
      <c r="A3623" t="s">
        <v>47</v>
      </c>
      <c r="B3623" t="str">
        <f>"002991"</f>
        <v>002991</v>
      </c>
      <c r="C3623" t="s">
        <v>7593</v>
      </c>
      <c r="D3623" t="s">
        <v>3331</v>
      </c>
      <c r="E3623">
        <v>1782810322</v>
      </c>
      <c r="F3623">
        <v>1798470492</v>
      </c>
      <c r="G3623">
        <v>818410104</v>
      </c>
      <c r="P3623">
        <v>211</v>
      </c>
      <c r="Q3623" t="s">
        <v>7594</v>
      </c>
    </row>
    <row r="3624" spans="1:17" x14ac:dyDescent="0.3">
      <c r="A3624" t="s">
        <v>47</v>
      </c>
      <c r="B3624" t="str">
        <f>"002956"</f>
        <v>002956</v>
      </c>
      <c r="C3624" t="s">
        <v>7595</v>
      </c>
      <c r="D3624" t="s">
        <v>3790</v>
      </c>
      <c r="E3624">
        <v>1781305323</v>
      </c>
      <c r="F3624">
        <v>1734386590</v>
      </c>
      <c r="G3624">
        <v>1619213718</v>
      </c>
      <c r="H3624">
        <v>851858424</v>
      </c>
      <c r="P3624">
        <v>281</v>
      </c>
      <c r="Q3624" t="s">
        <v>7596</v>
      </c>
    </row>
    <row r="3625" spans="1:17" x14ac:dyDescent="0.3">
      <c r="A3625" t="s">
        <v>47</v>
      </c>
      <c r="B3625" t="str">
        <f>"002606"</f>
        <v>002606</v>
      </c>
      <c r="C3625" t="s">
        <v>7597</v>
      </c>
      <c r="D3625" t="s">
        <v>1616</v>
      </c>
      <c r="E3625">
        <v>1780509377</v>
      </c>
      <c r="F3625">
        <v>1709857200</v>
      </c>
      <c r="G3625">
        <v>1358371133</v>
      </c>
      <c r="H3625">
        <v>1297593338</v>
      </c>
      <c r="I3625">
        <v>1418200532</v>
      </c>
      <c r="J3625">
        <v>1436363055</v>
      </c>
      <c r="K3625">
        <v>1350812965</v>
      </c>
      <c r="L3625">
        <v>1323681526</v>
      </c>
      <c r="M3625">
        <v>1382078844</v>
      </c>
      <c r="N3625">
        <v>1377919083</v>
      </c>
      <c r="O3625">
        <v>1275167151</v>
      </c>
      <c r="P3625">
        <v>160</v>
      </c>
      <c r="Q3625" t="s">
        <v>7598</v>
      </c>
    </row>
    <row r="3626" spans="1:17" x14ac:dyDescent="0.3">
      <c r="A3626" t="s">
        <v>47</v>
      </c>
      <c r="B3626" t="str">
        <f>"300556"</f>
        <v>300556</v>
      </c>
      <c r="C3626" t="s">
        <v>7599</v>
      </c>
      <c r="D3626" t="s">
        <v>1859</v>
      </c>
      <c r="E3626">
        <v>1777580907</v>
      </c>
      <c r="F3626">
        <v>1219566155</v>
      </c>
      <c r="G3626">
        <v>992869113</v>
      </c>
      <c r="H3626">
        <v>730537610</v>
      </c>
      <c r="I3626">
        <v>613583702</v>
      </c>
      <c r="J3626">
        <v>531995638</v>
      </c>
      <c r="P3626">
        <v>112</v>
      </c>
      <c r="Q3626" t="s">
        <v>7600</v>
      </c>
    </row>
    <row r="3627" spans="1:17" x14ac:dyDescent="0.3">
      <c r="A3627" t="s">
        <v>47</v>
      </c>
      <c r="B3627" t="str">
        <f>"300884"</f>
        <v>300884</v>
      </c>
      <c r="C3627" t="s">
        <v>7601</v>
      </c>
      <c r="D3627" t="s">
        <v>523</v>
      </c>
      <c r="E3627">
        <v>1774695896</v>
      </c>
      <c r="F3627">
        <v>1639476292</v>
      </c>
      <c r="G3627">
        <v>615279214</v>
      </c>
      <c r="H3627">
        <v>445226894</v>
      </c>
      <c r="P3627">
        <v>68</v>
      </c>
      <c r="Q3627" t="s">
        <v>7602</v>
      </c>
    </row>
    <row r="3628" spans="1:17" x14ac:dyDescent="0.3">
      <c r="A3628" t="s">
        <v>47</v>
      </c>
      <c r="B3628" t="str">
        <f>"002877"</f>
        <v>002877</v>
      </c>
      <c r="C3628" t="s">
        <v>7603</v>
      </c>
      <c r="D3628" t="s">
        <v>401</v>
      </c>
      <c r="E3628">
        <v>1774451357</v>
      </c>
      <c r="F3628">
        <v>1491827026</v>
      </c>
      <c r="G3628">
        <v>1280284943</v>
      </c>
      <c r="H3628">
        <v>985148828</v>
      </c>
      <c r="I3628">
        <v>839673405</v>
      </c>
      <c r="J3628">
        <v>486887775</v>
      </c>
      <c r="P3628">
        <v>100</v>
      </c>
      <c r="Q3628" t="s">
        <v>7604</v>
      </c>
    </row>
    <row r="3629" spans="1:17" x14ac:dyDescent="0.3">
      <c r="A3629" t="s">
        <v>17</v>
      </c>
      <c r="B3629" t="str">
        <f>"600237"</f>
        <v>600237</v>
      </c>
      <c r="C3629" t="s">
        <v>7605</v>
      </c>
      <c r="D3629" t="s">
        <v>1808</v>
      </c>
      <c r="E3629">
        <v>1771958307</v>
      </c>
      <c r="F3629">
        <v>1680425452</v>
      </c>
      <c r="G3629">
        <v>1648788852</v>
      </c>
      <c r="H3629">
        <v>1822500830</v>
      </c>
      <c r="I3629">
        <v>2034878306</v>
      </c>
      <c r="J3629">
        <v>2184060737</v>
      </c>
      <c r="K3629">
        <v>2393433609</v>
      </c>
      <c r="L3629">
        <v>2169633136</v>
      </c>
      <c r="M3629">
        <v>2279843137</v>
      </c>
      <c r="N3629">
        <v>2404886593</v>
      </c>
      <c r="O3629">
        <v>1586201439</v>
      </c>
      <c r="P3629">
        <v>152</v>
      </c>
      <c r="Q3629" t="s">
        <v>7606</v>
      </c>
    </row>
    <row r="3630" spans="1:17" x14ac:dyDescent="0.3">
      <c r="A3630" t="s">
        <v>47</v>
      </c>
      <c r="B3630" t="str">
        <f>"300097"</f>
        <v>300097</v>
      </c>
      <c r="C3630" t="s">
        <v>7607</v>
      </c>
      <c r="D3630" t="s">
        <v>4037</v>
      </c>
      <c r="E3630">
        <v>1769600191</v>
      </c>
      <c r="F3630">
        <v>2380197805</v>
      </c>
      <c r="G3630">
        <v>1901438711</v>
      </c>
      <c r="H3630">
        <v>2606060692</v>
      </c>
      <c r="I3630">
        <v>2658128974</v>
      </c>
      <c r="J3630">
        <v>2304950973</v>
      </c>
      <c r="K3630">
        <v>2029316150</v>
      </c>
      <c r="L3630">
        <v>697630843</v>
      </c>
      <c r="M3630">
        <v>565592272</v>
      </c>
      <c r="N3630">
        <v>553062094</v>
      </c>
      <c r="O3630">
        <v>545669341</v>
      </c>
      <c r="P3630">
        <v>203</v>
      </c>
      <c r="Q3630" t="s">
        <v>7608</v>
      </c>
    </row>
    <row r="3631" spans="1:17" x14ac:dyDescent="0.3">
      <c r="A3631" t="s">
        <v>47</v>
      </c>
      <c r="B3631" t="str">
        <f>"300705"</f>
        <v>300705</v>
      </c>
      <c r="C3631" t="s">
        <v>7609</v>
      </c>
      <c r="D3631" t="s">
        <v>550</v>
      </c>
      <c r="E3631">
        <v>1769440435</v>
      </c>
      <c r="F3631">
        <v>1214152833</v>
      </c>
      <c r="G3631">
        <v>1051864194</v>
      </c>
      <c r="H3631">
        <v>905216160</v>
      </c>
      <c r="I3631">
        <v>793793485</v>
      </c>
      <c r="P3631">
        <v>167</v>
      </c>
      <c r="Q3631" t="s">
        <v>7610</v>
      </c>
    </row>
    <row r="3632" spans="1:17" x14ac:dyDescent="0.3">
      <c r="A3632" t="s">
        <v>17</v>
      </c>
      <c r="B3632" t="str">
        <f>"603778"</f>
        <v>603778</v>
      </c>
      <c r="C3632" t="s">
        <v>7611</v>
      </c>
      <c r="D3632" t="s">
        <v>952</v>
      </c>
      <c r="E3632">
        <v>1769344430</v>
      </c>
      <c r="F3632">
        <v>2160405358</v>
      </c>
      <c r="G3632">
        <v>1668488552</v>
      </c>
      <c r="H3632">
        <v>1815040031</v>
      </c>
      <c r="I3632">
        <v>1728068799</v>
      </c>
      <c r="J3632">
        <v>1537194040</v>
      </c>
      <c r="K3632">
        <v>1391969747</v>
      </c>
      <c r="L3632">
        <v>896369700</v>
      </c>
      <c r="P3632">
        <v>72</v>
      </c>
      <c r="Q3632" t="s">
        <v>7612</v>
      </c>
    </row>
    <row r="3633" spans="1:17" x14ac:dyDescent="0.3">
      <c r="A3633" t="s">
        <v>17</v>
      </c>
      <c r="B3633" t="str">
        <f>"600652"</f>
        <v>600652</v>
      </c>
      <c r="C3633" t="s">
        <v>7613</v>
      </c>
      <c r="D3633" t="s">
        <v>1032</v>
      </c>
      <c r="E3633">
        <v>1766865830</v>
      </c>
      <c r="F3633">
        <v>1809673602</v>
      </c>
      <c r="G3633">
        <v>1753397668</v>
      </c>
      <c r="H3633">
        <v>1935037139</v>
      </c>
      <c r="I3633">
        <v>2045861670</v>
      </c>
      <c r="J3633">
        <v>2454717247</v>
      </c>
      <c r="K3633">
        <v>2525282456</v>
      </c>
      <c r="L3633">
        <v>4583002816</v>
      </c>
      <c r="M3633">
        <v>3193276175</v>
      </c>
      <c r="N3633">
        <v>3508424558</v>
      </c>
      <c r="O3633">
        <v>3586525476</v>
      </c>
      <c r="P3633">
        <v>79</v>
      </c>
      <c r="Q3633" t="s">
        <v>7614</v>
      </c>
    </row>
    <row r="3634" spans="1:17" x14ac:dyDescent="0.3">
      <c r="A3634" t="s">
        <v>17</v>
      </c>
      <c r="B3634" t="str">
        <f>"688667"</f>
        <v>688667</v>
      </c>
      <c r="C3634" t="s">
        <v>7615</v>
      </c>
      <c r="D3634" t="s">
        <v>836</v>
      </c>
      <c r="E3634">
        <v>1766533503</v>
      </c>
      <c r="F3634">
        <v>1635440037</v>
      </c>
      <c r="P3634">
        <v>66</v>
      </c>
      <c r="Q3634" t="s">
        <v>7616</v>
      </c>
    </row>
    <row r="3635" spans="1:17" x14ac:dyDescent="0.3">
      <c r="A3635" t="s">
        <v>17</v>
      </c>
      <c r="B3635" t="str">
        <f>"605299"</f>
        <v>605299</v>
      </c>
      <c r="C3635" t="s">
        <v>7617</v>
      </c>
      <c r="D3635" t="s">
        <v>4263</v>
      </c>
      <c r="E3635">
        <v>1765383010</v>
      </c>
      <c r="F3635">
        <v>1841572140</v>
      </c>
      <c r="I3635">
        <v>1352616694</v>
      </c>
      <c r="P3635">
        <v>58</v>
      </c>
      <c r="Q3635" t="s">
        <v>7618</v>
      </c>
    </row>
    <row r="3636" spans="1:17" x14ac:dyDescent="0.3">
      <c r="A3636" t="s">
        <v>17</v>
      </c>
      <c r="B3636" t="str">
        <f>"688227"</f>
        <v>688227</v>
      </c>
      <c r="C3636" t="s">
        <v>7619</v>
      </c>
      <c r="D3636" t="s">
        <v>700</v>
      </c>
      <c r="E3636">
        <v>1764942413</v>
      </c>
      <c r="P3636">
        <v>13</v>
      </c>
      <c r="Q3636" t="s">
        <v>7620</v>
      </c>
    </row>
    <row r="3637" spans="1:17" x14ac:dyDescent="0.3">
      <c r="A3637" t="s">
        <v>17</v>
      </c>
      <c r="B3637" t="str">
        <f>"688800"</f>
        <v>688800</v>
      </c>
      <c r="C3637" t="s">
        <v>7621</v>
      </c>
      <c r="D3637" t="s">
        <v>1609</v>
      </c>
      <c r="E3637">
        <v>1764223037</v>
      </c>
      <c r="F3637">
        <v>973171679</v>
      </c>
      <c r="P3637">
        <v>51</v>
      </c>
      <c r="Q3637" t="s">
        <v>7622</v>
      </c>
    </row>
    <row r="3638" spans="1:17" x14ac:dyDescent="0.3">
      <c r="A3638" t="s">
        <v>17</v>
      </c>
      <c r="B3638" t="str">
        <f>"688051"</f>
        <v>688051</v>
      </c>
      <c r="C3638" t="s">
        <v>7623</v>
      </c>
      <c r="D3638" t="s">
        <v>700</v>
      </c>
      <c r="E3638">
        <v>1763318472</v>
      </c>
      <c r="F3638">
        <v>2001576627</v>
      </c>
      <c r="G3638">
        <v>1789404735</v>
      </c>
      <c r="H3638">
        <v>872479042</v>
      </c>
      <c r="P3638">
        <v>91</v>
      </c>
      <c r="Q3638" t="s">
        <v>7624</v>
      </c>
    </row>
    <row r="3639" spans="1:17" x14ac:dyDescent="0.3">
      <c r="A3639" t="s">
        <v>47</v>
      </c>
      <c r="B3639" t="str">
        <f>"300598"</f>
        <v>300598</v>
      </c>
      <c r="C3639" t="s">
        <v>7625</v>
      </c>
      <c r="D3639" t="s">
        <v>1859</v>
      </c>
      <c r="E3639">
        <v>1762253632</v>
      </c>
      <c r="F3639">
        <v>1408529925</v>
      </c>
      <c r="G3639">
        <v>852236228</v>
      </c>
      <c r="H3639">
        <v>603165433</v>
      </c>
      <c r="I3639">
        <v>532210281</v>
      </c>
      <c r="J3639">
        <v>512345424</v>
      </c>
      <c r="P3639">
        <v>319</v>
      </c>
      <c r="Q3639" t="s">
        <v>7626</v>
      </c>
    </row>
    <row r="3640" spans="1:17" x14ac:dyDescent="0.3">
      <c r="A3640" t="s">
        <v>17</v>
      </c>
      <c r="B3640" t="str">
        <f>"603183"</f>
        <v>603183</v>
      </c>
      <c r="C3640" t="s">
        <v>7627</v>
      </c>
      <c r="D3640" t="s">
        <v>3772</v>
      </c>
      <c r="E3640">
        <v>1760815282</v>
      </c>
      <c r="F3640">
        <v>1560323962</v>
      </c>
      <c r="G3640">
        <v>1344169792</v>
      </c>
      <c r="H3640">
        <v>899039526</v>
      </c>
      <c r="I3640">
        <v>800295541</v>
      </c>
      <c r="J3640">
        <v>472912154</v>
      </c>
      <c r="P3640">
        <v>92</v>
      </c>
      <c r="Q3640" t="s">
        <v>7628</v>
      </c>
    </row>
    <row r="3641" spans="1:17" x14ac:dyDescent="0.3">
      <c r="A3641" t="s">
        <v>17</v>
      </c>
      <c r="B3641" t="str">
        <f>"600243"</f>
        <v>600243</v>
      </c>
      <c r="C3641" t="s">
        <v>7629</v>
      </c>
      <c r="D3641" t="s">
        <v>1433</v>
      </c>
      <c r="E3641">
        <v>1759818531</v>
      </c>
      <c r="F3641">
        <v>1614533060</v>
      </c>
      <c r="G3641">
        <v>1934948235</v>
      </c>
      <c r="H3641">
        <v>2351365329</v>
      </c>
      <c r="I3641">
        <v>2954338847</v>
      </c>
      <c r="J3641">
        <v>3027905224</v>
      </c>
      <c r="K3641">
        <v>2963617282</v>
      </c>
      <c r="L3641">
        <v>2359392205</v>
      </c>
      <c r="M3641">
        <v>2155458148</v>
      </c>
      <c r="N3641">
        <v>2116314705</v>
      </c>
      <c r="O3641">
        <v>2120957279</v>
      </c>
      <c r="P3641">
        <v>72</v>
      </c>
      <c r="Q3641" t="s">
        <v>7630</v>
      </c>
    </row>
    <row r="3642" spans="1:17" x14ac:dyDescent="0.3">
      <c r="A3642" t="s">
        <v>47</v>
      </c>
      <c r="B3642" t="str">
        <f>"300811"</f>
        <v>300811</v>
      </c>
      <c r="C3642" t="s">
        <v>7631</v>
      </c>
      <c r="D3642" t="s">
        <v>2108</v>
      </c>
      <c r="E3642">
        <v>1758403307</v>
      </c>
      <c r="F3642">
        <v>1086128937</v>
      </c>
      <c r="G3642">
        <v>897164872</v>
      </c>
      <c r="P3642">
        <v>163</v>
      </c>
      <c r="Q3642" t="s">
        <v>7632</v>
      </c>
    </row>
    <row r="3643" spans="1:17" x14ac:dyDescent="0.3">
      <c r="A3643" t="s">
        <v>17</v>
      </c>
      <c r="B3643" t="str">
        <f>"600555"</f>
        <v>600555</v>
      </c>
      <c r="C3643" t="s">
        <v>7633</v>
      </c>
      <c r="D3643" t="s">
        <v>4931</v>
      </c>
      <c r="E3643">
        <v>1758337259</v>
      </c>
      <c r="F3643">
        <v>2012365287</v>
      </c>
      <c r="G3643">
        <v>2143601861</v>
      </c>
      <c r="H3643">
        <v>2378680825</v>
      </c>
      <c r="I3643">
        <v>3098482562</v>
      </c>
      <c r="J3643">
        <v>3547634086</v>
      </c>
      <c r="K3643">
        <v>3773505087</v>
      </c>
      <c r="L3643">
        <v>3224608431</v>
      </c>
      <c r="M3643">
        <v>2780161129</v>
      </c>
      <c r="N3643">
        <v>2878844330</v>
      </c>
      <c r="O3643">
        <v>2923523935</v>
      </c>
      <c r="P3643">
        <v>76</v>
      </c>
      <c r="Q3643" t="s">
        <v>7634</v>
      </c>
    </row>
    <row r="3644" spans="1:17" x14ac:dyDescent="0.3">
      <c r="A3644" t="s">
        <v>47</v>
      </c>
      <c r="B3644" t="str">
        <f>"002933"</f>
        <v>002933</v>
      </c>
      <c r="C3644" t="s">
        <v>7635</v>
      </c>
      <c r="D3644" t="s">
        <v>570</v>
      </c>
      <c r="E3644">
        <v>1757634611</v>
      </c>
      <c r="F3644">
        <v>1791176513</v>
      </c>
      <c r="G3644">
        <v>1679609762</v>
      </c>
      <c r="H3644">
        <v>1582669378</v>
      </c>
      <c r="P3644">
        <v>314</v>
      </c>
      <c r="Q3644" t="s">
        <v>7636</v>
      </c>
    </row>
    <row r="3645" spans="1:17" x14ac:dyDescent="0.3">
      <c r="A3645" t="s">
        <v>47</v>
      </c>
      <c r="B3645" t="str">
        <f>"300816"</f>
        <v>300816</v>
      </c>
      <c r="C3645" t="s">
        <v>7637</v>
      </c>
      <c r="D3645" t="s">
        <v>1815</v>
      </c>
      <c r="E3645">
        <v>1757264267</v>
      </c>
      <c r="F3645">
        <v>1293337218</v>
      </c>
      <c r="G3645">
        <v>931849944</v>
      </c>
      <c r="P3645">
        <v>150</v>
      </c>
      <c r="Q3645" t="s">
        <v>7638</v>
      </c>
    </row>
    <row r="3646" spans="1:17" x14ac:dyDescent="0.3">
      <c r="A3646" t="s">
        <v>17</v>
      </c>
      <c r="B3646" t="str">
        <f>"603683"</f>
        <v>603683</v>
      </c>
      <c r="C3646" t="s">
        <v>7639</v>
      </c>
      <c r="D3646" t="s">
        <v>4360</v>
      </c>
      <c r="E3646">
        <v>1755422202</v>
      </c>
      <c r="F3646">
        <v>1701941726</v>
      </c>
      <c r="G3646">
        <v>1491176443</v>
      </c>
      <c r="H3646">
        <v>1336576333</v>
      </c>
      <c r="I3646">
        <v>1188037234</v>
      </c>
      <c r="P3646">
        <v>58</v>
      </c>
      <c r="Q3646" t="s">
        <v>7640</v>
      </c>
    </row>
    <row r="3647" spans="1:17" x14ac:dyDescent="0.3">
      <c r="A3647" t="s">
        <v>47</v>
      </c>
      <c r="B3647" t="str">
        <f>"002209"</f>
        <v>002209</v>
      </c>
      <c r="C3647" t="s">
        <v>7641</v>
      </c>
      <c r="D3647" t="s">
        <v>3237</v>
      </c>
      <c r="E3647">
        <v>1754486251</v>
      </c>
      <c r="F3647">
        <v>1625757963</v>
      </c>
      <c r="G3647">
        <v>1465257137</v>
      </c>
      <c r="H3647">
        <v>1444218891</v>
      </c>
      <c r="I3647">
        <v>1605368472</v>
      </c>
      <c r="J3647">
        <v>1587438211</v>
      </c>
      <c r="K3647">
        <v>1601312889</v>
      </c>
      <c r="L3647">
        <v>1592198906</v>
      </c>
      <c r="M3647">
        <v>1677872683</v>
      </c>
      <c r="N3647">
        <v>1341706314</v>
      </c>
      <c r="O3647">
        <v>1189789995</v>
      </c>
      <c r="P3647">
        <v>75</v>
      </c>
      <c r="Q3647" t="s">
        <v>7642</v>
      </c>
    </row>
    <row r="3648" spans="1:17" x14ac:dyDescent="0.3">
      <c r="A3648" t="s">
        <v>17</v>
      </c>
      <c r="B3648" t="str">
        <f>"603266"</f>
        <v>603266</v>
      </c>
      <c r="C3648" t="s">
        <v>7643</v>
      </c>
      <c r="D3648" t="s">
        <v>3077</v>
      </c>
      <c r="E3648">
        <v>1754286876</v>
      </c>
      <c r="F3648">
        <v>1446783639</v>
      </c>
      <c r="G3648">
        <v>1134512323</v>
      </c>
      <c r="H3648">
        <v>1098965394</v>
      </c>
      <c r="I3648">
        <v>1027391150</v>
      </c>
      <c r="J3648">
        <v>956449472</v>
      </c>
      <c r="P3648">
        <v>95</v>
      </c>
      <c r="Q3648" t="s">
        <v>7644</v>
      </c>
    </row>
    <row r="3649" spans="1:17" x14ac:dyDescent="0.3">
      <c r="A3649" t="s">
        <v>17</v>
      </c>
      <c r="B3649" t="str">
        <f>"688508"</f>
        <v>688508</v>
      </c>
      <c r="C3649" t="s">
        <v>7645</v>
      </c>
      <c r="D3649" t="s">
        <v>2795</v>
      </c>
      <c r="E3649">
        <v>1752667679</v>
      </c>
      <c r="F3649">
        <v>1412750443</v>
      </c>
      <c r="G3649">
        <v>532629611</v>
      </c>
      <c r="P3649">
        <v>165</v>
      </c>
      <c r="Q3649" t="s">
        <v>7646</v>
      </c>
    </row>
    <row r="3650" spans="1:17" x14ac:dyDescent="0.3">
      <c r="A3650" t="s">
        <v>47</v>
      </c>
      <c r="B3650" t="str">
        <f>"300848"</f>
        <v>300848</v>
      </c>
      <c r="C3650" t="s">
        <v>7647</v>
      </c>
      <c r="D3650" t="s">
        <v>334</v>
      </c>
      <c r="E3650">
        <v>1751537271</v>
      </c>
      <c r="F3650">
        <v>1309471417</v>
      </c>
      <c r="G3650">
        <v>427683297</v>
      </c>
      <c r="P3650">
        <v>125</v>
      </c>
      <c r="Q3650" t="s">
        <v>7648</v>
      </c>
    </row>
    <row r="3651" spans="1:17" x14ac:dyDescent="0.3">
      <c r="A3651" t="s">
        <v>17</v>
      </c>
      <c r="B3651" t="str">
        <f>"603380"</f>
        <v>603380</v>
      </c>
      <c r="C3651" t="s">
        <v>7649</v>
      </c>
      <c r="D3651" t="s">
        <v>283</v>
      </c>
      <c r="E3651">
        <v>1749794888</v>
      </c>
      <c r="F3651">
        <v>1469956040</v>
      </c>
      <c r="G3651">
        <v>1207013331</v>
      </c>
      <c r="H3651">
        <v>1026823671</v>
      </c>
      <c r="I3651">
        <v>934437106</v>
      </c>
      <c r="P3651">
        <v>209</v>
      </c>
      <c r="Q3651" t="s">
        <v>7650</v>
      </c>
    </row>
    <row r="3652" spans="1:17" x14ac:dyDescent="0.3">
      <c r="A3652" t="s">
        <v>47</v>
      </c>
      <c r="B3652" t="str">
        <f>"002825"</f>
        <v>002825</v>
      </c>
      <c r="C3652" t="s">
        <v>7651</v>
      </c>
      <c r="D3652" t="s">
        <v>3077</v>
      </c>
      <c r="E3652">
        <v>1747735340</v>
      </c>
      <c r="F3652">
        <v>1563368825</v>
      </c>
      <c r="G3652">
        <v>1086295774</v>
      </c>
      <c r="H3652">
        <v>856945386</v>
      </c>
      <c r="I3652">
        <v>758105223</v>
      </c>
      <c r="J3652">
        <v>717321422</v>
      </c>
      <c r="P3652">
        <v>100</v>
      </c>
      <c r="Q3652" t="s">
        <v>7652</v>
      </c>
    </row>
    <row r="3653" spans="1:17" x14ac:dyDescent="0.3">
      <c r="A3653" t="s">
        <v>47</v>
      </c>
      <c r="B3653" t="str">
        <f>"300908"</f>
        <v>300908</v>
      </c>
      <c r="C3653" t="s">
        <v>7653</v>
      </c>
      <c r="D3653" t="s">
        <v>1241</v>
      </c>
      <c r="E3653">
        <v>1746996366</v>
      </c>
      <c r="F3653">
        <v>1614182906</v>
      </c>
      <c r="P3653">
        <v>173</v>
      </c>
      <c r="Q3653" t="s">
        <v>7654</v>
      </c>
    </row>
    <row r="3654" spans="1:17" x14ac:dyDescent="0.3">
      <c r="A3654" t="s">
        <v>47</v>
      </c>
      <c r="B3654" t="str">
        <f>"300301"</f>
        <v>300301</v>
      </c>
      <c r="C3654" t="s">
        <v>7655</v>
      </c>
      <c r="D3654" t="s">
        <v>862</v>
      </c>
      <c r="E3654">
        <v>1746337204</v>
      </c>
      <c r="F3654">
        <v>2552992694</v>
      </c>
      <c r="G3654">
        <v>3230264559</v>
      </c>
      <c r="H3654">
        <v>3552852392</v>
      </c>
      <c r="I3654">
        <v>3726615387</v>
      </c>
      <c r="J3654">
        <v>3748171911</v>
      </c>
      <c r="K3654">
        <v>3152368233</v>
      </c>
      <c r="L3654">
        <v>1799801281</v>
      </c>
      <c r="M3654">
        <v>1402677357</v>
      </c>
      <c r="N3654">
        <v>1121063195</v>
      </c>
      <c r="O3654">
        <v>1055410589</v>
      </c>
      <c r="P3654">
        <v>75</v>
      </c>
      <c r="Q3654" t="s">
        <v>7656</v>
      </c>
    </row>
    <row r="3655" spans="1:17" x14ac:dyDescent="0.3">
      <c r="A3655" t="s">
        <v>17</v>
      </c>
      <c r="B3655" t="str">
        <f>"600071"</f>
        <v>600071</v>
      </c>
      <c r="C3655" t="s">
        <v>7657</v>
      </c>
      <c r="D3655" t="s">
        <v>1487</v>
      </c>
      <c r="E3655">
        <v>1746168113</v>
      </c>
      <c r="F3655">
        <v>1715969808</v>
      </c>
      <c r="G3655">
        <v>1420621879</v>
      </c>
      <c r="H3655">
        <v>928214641</v>
      </c>
      <c r="I3655">
        <v>931782850</v>
      </c>
      <c r="J3655">
        <v>936499261</v>
      </c>
      <c r="K3655">
        <v>1016224787</v>
      </c>
      <c r="L3655">
        <v>1096577504</v>
      </c>
      <c r="M3655">
        <v>1085186595</v>
      </c>
      <c r="N3655">
        <v>942992768</v>
      </c>
      <c r="O3655">
        <v>1117714825</v>
      </c>
      <c r="P3655">
        <v>97</v>
      </c>
      <c r="Q3655" t="s">
        <v>7658</v>
      </c>
    </row>
    <row r="3656" spans="1:17" x14ac:dyDescent="0.3">
      <c r="A3656" t="s">
        <v>17</v>
      </c>
      <c r="B3656" t="str">
        <f>"688107"</f>
        <v>688107</v>
      </c>
      <c r="C3656" t="s">
        <v>7659</v>
      </c>
      <c r="D3656" t="s">
        <v>967</v>
      </c>
      <c r="E3656">
        <v>1745253515</v>
      </c>
      <c r="P3656">
        <v>31</v>
      </c>
      <c r="Q3656" t="s">
        <v>7660</v>
      </c>
    </row>
    <row r="3657" spans="1:17" x14ac:dyDescent="0.3">
      <c r="A3657" t="s">
        <v>47</v>
      </c>
      <c r="B3657" t="str">
        <f>"002660"</f>
        <v>002660</v>
      </c>
      <c r="C3657" t="s">
        <v>7661</v>
      </c>
      <c r="D3657" t="s">
        <v>283</v>
      </c>
      <c r="E3657">
        <v>1745192798</v>
      </c>
      <c r="F3657">
        <v>1641210463</v>
      </c>
      <c r="G3657">
        <v>1523300576</v>
      </c>
      <c r="H3657">
        <v>1515986329</v>
      </c>
      <c r="I3657">
        <v>1951919950</v>
      </c>
      <c r="J3657">
        <v>2275828663</v>
      </c>
      <c r="K3657">
        <v>1920937007</v>
      </c>
      <c r="L3657">
        <v>1555735126</v>
      </c>
      <c r="M3657">
        <v>1087838597</v>
      </c>
      <c r="N3657">
        <v>900458824</v>
      </c>
      <c r="O3657">
        <v>824847061</v>
      </c>
      <c r="P3657">
        <v>122</v>
      </c>
      <c r="Q3657" t="s">
        <v>7662</v>
      </c>
    </row>
    <row r="3658" spans="1:17" x14ac:dyDescent="0.3">
      <c r="A3658" t="s">
        <v>47</v>
      </c>
      <c r="B3658" t="str">
        <f>"300311"</f>
        <v>300311</v>
      </c>
      <c r="C3658" t="s">
        <v>7663</v>
      </c>
      <c r="D3658" t="s">
        <v>1010</v>
      </c>
      <c r="E3658">
        <v>1744037237</v>
      </c>
      <c r="F3658">
        <v>1554252077</v>
      </c>
      <c r="G3658">
        <v>1606014833</v>
      </c>
      <c r="H3658">
        <v>2412198813</v>
      </c>
      <c r="I3658">
        <v>2261050660</v>
      </c>
      <c r="J3658">
        <v>2070667883</v>
      </c>
      <c r="K3658">
        <v>1600262836</v>
      </c>
      <c r="L3658">
        <v>652492023</v>
      </c>
      <c r="M3658">
        <v>531371819</v>
      </c>
      <c r="N3658">
        <v>561442293</v>
      </c>
      <c r="O3658">
        <v>188110702</v>
      </c>
      <c r="P3658">
        <v>161</v>
      </c>
      <c r="Q3658" t="s">
        <v>7664</v>
      </c>
    </row>
    <row r="3659" spans="1:17" x14ac:dyDescent="0.3">
      <c r="A3659" t="s">
        <v>47</v>
      </c>
      <c r="B3659" t="str">
        <f>"000962"</f>
        <v>000962</v>
      </c>
      <c r="C3659" t="s">
        <v>7665</v>
      </c>
      <c r="D3659" t="s">
        <v>1002</v>
      </c>
      <c r="E3659">
        <v>1742440185</v>
      </c>
      <c r="F3659">
        <v>1576033496</v>
      </c>
      <c r="G3659">
        <v>1550074822</v>
      </c>
      <c r="H3659">
        <v>1704798122</v>
      </c>
      <c r="I3659">
        <v>2009538181</v>
      </c>
      <c r="J3659">
        <v>2555322406</v>
      </c>
      <c r="K3659">
        <v>3064383312</v>
      </c>
      <c r="L3659">
        <v>4143166341</v>
      </c>
      <c r="M3659">
        <v>4528434475</v>
      </c>
      <c r="N3659">
        <v>5004470638</v>
      </c>
      <c r="O3659">
        <v>4801927423</v>
      </c>
      <c r="P3659">
        <v>131</v>
      </c>
      <c r="Q3659" t="s">
        <v>7666</v>
      </c>
    </row>
    <row r="3660" spans="1:17" x14ac:dyDescent="0.3">
      <c r="A3660" t="s">
        <v>47</v>
      </c>
      <c r="B3660" t="str">
        <f>"301256"</f>
        <v>301256</v>
      </c>
      <c r="C3660" t="s">
        <v>7667</v>
      </c>
      <c r="E3660">
        <v>1741864955</v>
      </c>
      <c r="P3660">
        <v>3</v>
      </c>
      <c r="Q3660" t="s">
        <v>7668</v>
      </c>
    </row>
    <row r="3661" spans="1:17" x14ac:dyDescent="0.3">
      <c r="A3661" t="s">
        <v>47</v>
      </c>
      <c r="B3661" t="str">
        <f>"300290"</f>
        <v>300290</v>
      </c>
      <c r="C3661" t="s">
        <v>7669</v>
      </c>
      <c r="D3661" t="s">
        <v>700</v>
      </c>
      <c r="E3661">
        <v>1740536946</v>
      </c>
      <c r="F3661">
        <v>1931927716</v>
      </c>
      <c r="G3661">
        <v>1729910580</v>
      </c>
      <c r="H3661">
        <v>1499913946</v>
      </c>
      <c r="I3661">
        <v>1020462335</v>
      </c>
      <c r="J3661">
        <v>1069757612</v>
      </c>
      <c r="K3661">
        <v>998467030</v>
      </c>
      <c r="L3661">
        <v>611422415</v>
      </c>
      <c r="M3661">
        <v>532736317</v>
      </c>
      <c r="N3661">
        <v>419867184</v>
      </c>
      <c r="O3661">
        <v>365692212</v>
      </c>
      <c r="P3661">
        <v>113</v>
      </c>
      <c r="Q3661" t="s">
        <v>7670</v>
      </c>
    </row>
    <row r="3662" spans="1:17" x14ac:dyDescent="0.3">
      <c r="A3662" t="s">
        <v>17</v>
      </c>
      <c r="B3662" t="str">
        <f>"688733"</f>
        <v>688733</v>
      </c>
      <c r="C3662" t="s">
        <v>7671</v>
      </c>
      <c r="D3662" t="s">
        <v>1017</v>
      </c>
      <c r="E3662">
        <v>1738468353</v>
      </c>
      <c r="F3662">
        <v>613778601</v>
      </c>
      <c r="P3662">
        <v>47</v>
      </c>
      <c r="Q3662" t="s">
        <v>7672</v>
      </c>
    </row>
    <row r="3663" spans="1:17" x14ac:dyDescent="0.3">
      <c r="A3663" t="s">
        <v>47</v>
      </c>
      <c r="B3663" t="str">
        <f>"301122"</f>
        <v>301122</v>
      </c>
      <c r="C3663" t="s">
        <v>7673</v>
      </c>
      <c r="E3663">
        <v>1737250513</v>
      </c>
      <c r="P3663">
        <v>14</v>
      </c>
      <c r="Q3663" t="s">
        <v>7674</v>
      </c>
    </row>
    <row r="3664" spans="1:17" x14ac:dyDescent="0.3">
      <c r="A3664" t="s">
        <v>17</v>
      </c>
      <c r="B3664" t="str">
        <f>"688323"</f>
        <v>688323</v>
      </c>
      <c r="C3664" t="s">
        <v>7675</v>
      </c>
      <c r="D3664" t="s">
        <v>2485</v>
      </c>
      <c r="E3664">
        <v>1737211870</v>
      </c>
      <c r="F3664">
        <v>1219838700</v>
      </c>
      <c r="P3664">
        <v>26</v>
      </c>
      <c r="Q3664" t="s">
        <v>7676</v>
      </c>
    </row>
    <row r="3665" spans="1:17" x14ac:dyDescent="0.3">
      <c r="A3665" t="s">
        <v>47</v>
      </c>
      <c r="B3665" t="str">
        <f>"300204"</f>
        <v>300204</v>
      </c>
      <c r="C3665" t="s">
        <v>7677</v>
      </c>
      <c r="D3665" t="s">
        <v>1480</v>
      </c>
      <c r="E3665">
        <v>1737202546</v>
      </c>
      <c r="F3665">
        <v>1798103861</v>
      </c>
      <c r="G3665">
        <v>1794619415</v>
      </c>
      <c r="H3665">
        <v>2759208740</v>
      </c>
      <c r="I3665">
        <v>2602494817</v>
      </c>
      <c r="J3665">
        <v>2434078291</v>
      </c>
      <c r="K3665">
        <v>2131324757</v>
      </c>
      <c r="L3665">
        <v>1826763223</v>
      </c>
      <c r="M3665">
        <v>1604686856</v>
      </c>
      <c r="N3665">
        <v>1454432712</v>
      </c>
      <c r="O3665">
        <v>1190627741</v>
      </c>
      <c r="P3665">
        <v>202</v>
      </c>
      <c r="Q3665" t="s">
        <v>7678</v>
      </c>
    </row>
    <row r="3666" spans="1:17" x14ac:dyDescent="0.3">
      <c r="A3666" t="s">
        <v>17</v>
      </c>
      <c r="B3666" t="str">
        <f>"688670"</f>
        <v>688670</v>
      </c>
      <c r="C3666" t="s">
        <v>7679</v>
      </c>
      <c r="D3666" t="s">
        <v>894</v>
      </c>
      <c r="E3666">
        <v>1735331942</v>
      </c>
      <c r="F3666">
        <v>789613065</v>
      </c>
      <c r="P3666">
        <v>19</v>
      </c>
      <c r="Q3666" t="s">
        <v>7680</v>
      </c>
    </row>
    <row r="3667" spans="1:17" x14ac:dyDescent="0.3">
      <c r="A3667" t="s">
        <v>17</v>
      </c>
      <c r="B3667" t="str">
        <f>"688069"</f>
        <v>688069</v>
      </c>
      <c r="C3667" t="s">
        <v>7681</v>
      </c>
      <c r="D3667" t="s">
        <v>520</v>
      </c>
      <c r="E3667">
        <v>1733807950</v>
      </c>
      <c r="F3667">
        <v>1692620241</v>
      </c>
      <c r="G3667">
        <v>413295210</v>
      </c>
      <c r="P3667">
        <v>79</v>
      </c>
      <c r="Q3667" t="s">
        <v>7682</v>
      </c>
    </row>
    <row r="3668" spans="1:17" x14ac:dyDescent="0.3">
      <c r="A3668" t="s">
        <v>47</v>
      </c>
      <c r="B3668" t="str">
        <f>"301237"</f>
        <v>301237</v>
      </c>
      <c r="C3668" t="s">
        <v>7683</v>
      </c>
      <c r="E3668">
        <v>1733161026</v>
      </c>
      <c r="P3668">
        <v>6</v>
      </c>
      <c r="Q3668" t="s">
        <v>7684</v>
      </c>
    </row>
    <row r="3669" spans="1:17" x14ac:dyDescent="0.3">
      <c r="A3669" t="s">
        <v>47</v>
      </c>
      <c r="B3669" t="str">
        <f>"300517"</f>
        <v>300517</v>
      </c>
      <c r="C3669" t="s">
        <v>7685</v>
      </c>
      <c r="D3669" t="s">
        <v>1764</v>
      </c>
      <c r="E3669">
        <v>1732902051</v>
      </c>
      <c r="F3669">
        <v>1802030810</v>
      </c>
      <c r="G3669">
        <v>1499379521</v>
      </c>
      <c r="H3669">
        <v>1286315073</v>
      </c>
      <c r="I3669">
        <v>1029413706</v>
      </c>
      <c r="J3669">
        <v>895131247</v>
      </c>
      <c r="K3669">
        <v>724901429</v>
      </c>
      <c r="P3669">
        <v>76</v>
      </c>
      <c r="Q3669" t="s">
        <v>7686</v>
      </c>
    </row>
    <row r="3670" spans="1:17" x14ac:dyDescent="0.3">
      <c r="A3670" t="s">
        <v>47</v>
      </c>
      <c r="B3670" t="str">
        <f>"301062"</f>
        <v>301062</v>
      </c>
      <c r="C3670" t="s">
        <v>7687</v>
      </c>
      <c r="D3670" t="s">
        <v>1842</v>
      </c>
      <c r="E3670">
        <v>1732535677</v>
      </c>
      <c r="P3670">
        <v>13</v>
      </c>
      <c r="Q3670" t="s">
        <v>7688</v>
      </c>
    </row>
    <row r="3671" spans="1:17" x14ac:dyDescent="0.3">
      <c r="A3671" t="s">
        <v>47</v>
      </c>
      <c r="B3671" t="str">
        <f>"003003"</f>
        <v>003003</v>
      </c>
      <c r="C3671" t="s">
        <v>7689</v>
      </c>
      <c r="D3671" t="s">
        <v>6719</v>
      </c>
      <c r="E3671">
        <v>1731896169</v>
      </c>
      <c r="F3671">
        <v>1692796843</v>
      </c>
      <c r="P3671">
        <v>39</v>
      </c>
      <c r="Q3671" t="s">
        <v>7690</v>
      </c>
    </row>
    <row r="3672" spans="1:17" x14ac:dyDescent="0.3">
      <c r="A3672" t="s">
        <v>17</v>
      </c>
      <c r="B3672" t="str">
        <f>"688520"</f>
        <v>688520</v>
      </c>
      <c r="C3672" t="s">
        <v>7691</v>
      </c>
      <c r="D3672" t="s">
        <v>1480</v>
      </c>
      <c r="E3672">
        <v>1731523083</v>
      </c>
      <c r="F3672">
        <v>1542677976</v>
      </c>
      <c r="G3672">
        <v>758576627</v>
      </c>
      <c r="H3672">
        <v>1101568196</v>
      </c>
      <c r="P3672">
        <v>90</v>
      </c>
      <c r="Q3672" t="s">
        <v>7692</v>
      </c>
    </row>
    <row r="3673" spans="1:17" x14ac:dyDescent="0.3">
      <c r="A3673" t="s">
        <v>47</v>
      </c>
      <c r="B3673" t="str">
        <f>"002103"</f>
        <v>002103</v>
      </c>
      <c r="C3673" t="s">
        <v>7693</v>
      </c>
      <c r="D3673" t="s">
        <v>1824</v>
      </c>
      <c r="E3673">
        <v>1731247335</v>
      </c>
      <c r="F3673">
        <v>1570660869</v>
      </c>
      <c r="G3673">
        <v>1754443801</v>
      </c>
      <c r="H3673">
        <v>1816385427</v>
      </c>
      <c r="I3673">
        <v>2628541637</v>
      </c>
      <c r="J3673">
        <v>2728037068</v>
      </c>
      <c r="K3673">
        <v>1994183836</v>
      </c>
      <c r="L3673">
        <v>1141405213</v>
      </c>
      <c r="M3673">
        <v>1156472719</v>
      </c>
      <c r="N3673">
        <v>1128345964</v>
      </c>
      <c r="O3673">
        <v>1148840615</v>
      </c>
      <c r="P3673">
        <v>108</v>
      </c>
      <c r="Q3673" t="s">
        <v>7694</v>
      </c>
    </row>
    <row r="3674" spans="1:17" x14ac:dyDescent="0.3">
      <c r="A3674" t="s">
        <v>17</v>
      </c>
      <c r="B3674" t="str">
        <f>"605116"</f>
        <v>605116</v>
      </c>
      <c r="C3674" t="s">
        <v>7695</v>
      </c>
      <c r="D3674" t="s">
        <v>1112</v>
      </c>
      <c r="E3674">
        <v>1730843194</v>
      </c>
      <c r="F3674">
        <v>1559949462</v>
      </c>
      <c r="P3674">
        <v>81</v>
      </c>
      <c r="Q3674" t="s">
        <v>7696</v>
      </c>
    </row>
    <row r="3675" spans="1:17" x14ac:dyDescent="0.3">
      <c r="A3675" t="s">
        <v>17</v>
      </c>
      <c r="B3675" t="str">
        <f>"688533"</f>
        <v>688533</v>
      </c>
      <c r="C3675" t="s">
        <v>7697</v>
      </c>
      <c r="D3675" t="s">
        <v>836</v>
      </c>
      <c r="E3675">
        <v>1729702654</v>
      </c>
      <c r="P3675">
        <v>39</v>
      </c>
      <c r="Q3675" t="s">
        <v>7698</v>
      </c>
    </row>
    <row r="3676" spans="1:17" x14ac:dyDescent="0.3">
      <c r="A3676" t="s">
        <v>47</v>
      </c>
      <c r="B3676" t="str">
        <f>"002343"</f>
        <v>002343</v>
      </c>
      <c r="C3676" t="s">
        <v>7699</v>
      </c>
      <c r="D3676" t="s">
        <v>1673</v>
      </c>
      <c r="E3676">
        <v>1729169723</v>
      </c>
      <c r="F3676">
        <v>2421416948</v>
      </c>
      <c r="G3676">
        <v>2530750130</v>
      </c>
      <c r="H3676">
        <v>2790713284</v>
      </c>
      <c r="I3676">
        <v>5280959493</v>
      </c>
      <c r="J3676">
        <v>4083531688</v>
      </c>
      <c r="K3676">
        <v>2892366584</v>
      </c>
      <c r="L3676">
        <v>1760768749</v>
      </c>
      <c r="M3676">
        <v>1778096889</v>
      </c>
      <c r="N3676">
        <v>1715087220</v>
      </c>
      <c r="O3676">
        <v>1541390798</v>
      </c>
      <c r="P3676">
        <v>183</v>
      </c>
      <c r="Q3676" t="s">
        <v>7700</v>
      </c>
    </row>
    <row r="3677" spans="1:17" x14ac:dyDescent="0.3">
      <c r="A3677" t="s">
        <v>47</v>
      </c>
      <c r="B3677" t="str">
        <f>"301129"</f>
        <v>301129</v>
      </c>
      <c r="C3677" t="s">
        <v>7701</v>
      </c>
      <c r="D3677" t="s">
        <v>3722</v>
      </c>
      <c r="E3677">
        <v>1728489482</v>
      </c>
      <c r="P3677">
        <v>22</v>
      </c>
      <c r="Q3677" t="s">
        <v>7702</v>
      </c>
    </row>
    <row r="3678" spans="1:17" x14ac:dyDescent="0.3">
      <c r="A3678" t="s">
        <v>17</v>
      </c>
      <c r="B3678" t="str">
        <f>"603790"</f>
        <v>603790</v>
      </c>
      <c r="C3678" t="s">
        <v>7703</v>
      </c>
      <c r="D3678" t="s">
        <v>703</v>
      </c>
      <c r="E3678">
        <v>1727669217</v>
      </c>
      <c r="F3678">
        <v>1483014003</v>
      </c>
      <c r="G3678">
        <v>1360719490</v>
      </c>
      <c r="H3678">
        <v>1311785090</v>
      </c>
      <c r="P3678">
        <v>64</v>
      </c>
      <c r="Q3678" t="s">
        <v>7704</v>
      </c>
    </row>
    <row r="3679" spans="1:17" x14ac:dyDescent="0.3">
      <c r="A3679" t="s">
        <v>47</v>
      </c>
      <c r="B3679" t="str">
        <f>"300243"</f>
        <v>300243</v>
      </c>
      <c r="C3679" t="s">
        <v>7705</v>
      </c>
      <c r="D3679" t="s">
        <v>3077</v>
      </c>
      <c r="E3679">
        <v>1727646706</v>
      </c>
      <c r="F3679">
        <v>1333905706</v>
      </c>
      <c r="G3679">
        <v>1116540398</v>
      </c>
      <c r="H3679">
        <v>1138642872</v>
      </c>
      <c r="I3679">
        <v>975124412</v>
      </c>
      <c r="J3679">
        <v>922272643</v>
      </c>
      <c r="K3679">
        <v>1253345998</v>
      </c>
      <c r="L3679">
        <v>868492727</v>
      </c>
      <c r="M3679">
        <v>792524568</v>
      </c>
      <c r="N3679">
        <v>673302992</v>
      </c>
      <c r="O3679">
        <v>649809284</v>
      </c>
      <c r="P3679">
        <v>103</v>
      </c>
      <c r="Q3679" t="s">
        <v>7706</v>
      </c>
    </row>
    <row r="3680" spans="1:17" x14ac:dyDescent="0.3">
      <c r="A3680" t="s">
        <v>17</v>
      </c>
      <c r="B3680" t="str">
        <f>"603297"</f>
        <v>603297</v>
      </c>
      <c r="C3680" t="s">
        <v>7707</v>
      </c>
      <c r="D3680" t="s">
        <v>1487</v>
      </c>
      <c r="E3680">
        <v>1725003811</v>
      </c>
      <c r="F3680">
        <v>1614169000</v>
      </c>
      <c r="G3680">
        <v>1291551681</v>
      </c>
      <c r="H3680">
        <v>1151862613</v>
      </c>
      <c r="P3680">
        <v>238</v>
      </c>
      <c r="Q3680" t="s">
        <v>7708</v>
      </c>
    </row>
    <row r="3681" spans="1:17" x14ac:dyDescent="0.3">
      <c r="A3681" t="s">
        <v>47</v>
      </c>
      <c r="B3681" t="str">
        <f>"002856"</f>
        <v>002856</v>
      </c>
      <c r="C3681" t="s">
        <v>7709</v>
      </c>
      <c r="D3681" t="s">
        <v>1163</v>
      </c>
      <c r="E3681">
        <v>1724444658</v>
      </c>
      <c r="F3681">
        <v>1657915686</v>
      </c>
      <c r="G3681">
        <v>1499011688</v>
      </c>
      <c r="H3681">
        <v>1366496466</v>
      </c>
      <c r="I3681">
        <v>1265816303</v>
      </c>
      <c r="J3681">
        <v>1249994624</v>
      </c>
      <c r="P3681">
        <v>51</v>
      </c>
      <c r="Q3681" t="s">
        <v>7710</v>
      </c>
    </row>
    <row r="3682" spans="1:17" x14ac:dyDescent="0.3">
      <c r="A3682" t="s">
        <v>47</v>
      </c>
      <c r="B3682" t="str">
        <f>"300645"</f>
        <v>300645</v>
      </c>
      <c r="C3682" t="s">
        <v>7711</v>
      </c>
      <c r="D3682" t="s">
        <v>765</v>
      </c>
      <c r="E3682">
        <v>1723720305</v>
      </c>
      <c r="F3682">
        <v>1420125869</v>
      </c>
      <c r="G3682">
        <v>1337122862</v>
      </c>
      <c r="H3682">
        <v>1156912193</v>
      </c>
      <c r="I3682">
        <v>779549737</v>
      </c>
      <c r="J3682">
        <v>512820621</v>
      </c>
      <c r="P3682">
        <v>111</v>
      </c>
      <c r="Q3682" t="s">
        <v>7712</v>
      </c>
    </row>
    <row r="3683" spans="1:17" x14ac:dyDescent="0.3">
      <c r="A3683" t="s">
        <v>47</v>
      </c>
      <c r="B3683" t="str">
        <f>"300112"</f>
        <v>300112</v>
      </c>
      <c r="C3683" t="s">
        <v>7713</v>
      </c>
      <c r="D3683" t="s">
        <v>3722</v>
      </c>
      <c r="E3683">
        <v>1723320370</v>
      </c>
      <c r="F3683">
        <v>1359666243</v>
      </c>
      <c r="G3683">
        <v>1230369148</v>
      </c>
      <c r="H3683">
        <v>1218576643</v>
      </c>
      <c r="I3683">
        <v>1167920152</v>
      </c>
      <c r="J3683">
        <v>928602475</v>
      </c>
      <c r="K3683">
        <v>893255664</v>
      </c>
      <c r="L3683">
        <v>604304332</v>
      </c>
      <c r="M3683">
        <v>589816671</v>
      </c>
      <c r="N3683">
        <v>544701933</v>
      </c>
      <c r="O3683">
        <v>479482433</v>
      </c>
      <c r="P3683">
        <v>123</v>
      </c>
      <c r="Q3683" t="s">
        <v>7714</v>
      </c>
    </row>
    <row r="3684" spans="1:17" x14ac:dyDescent="0.3">
      <c r="A3684" t="s">
        <v>47</v>
      </c>
      <c r="B3684" t="str">
        <f>"300779"</f>
        <v>300779</v>
      </c>
      <c r="C3684" t="s">
        <v>7715</v>
      </c>
      <c r="D3684" t="s">
        <v>1310</v>
      </c>
      <c r="E3684">
        <v>1722225241</v>
      </c>
      <c r="F3684">
        <v>1085538151</v>
      </c>
      <c r="G3684">
        <v>868503098</v>
      </c>
      <c r="H3684">
        <v>658570220</v>
      </c>
      <c r="P3684">
        <v>62</v>
      </c>
      <c r="Q3684" t="s">
        <v>7716</v>
      </c>
    </row>
    <row r="3685" spans="1:17" x14ac:dyDescent="0.3">
      <c r="A3685" t="s">
        <v>47</v>
      </c>
      <c r="B3685" t="str">
        <f>"002622"</f>
        <v>002622</v>
      </c>
      <c r="C3685" t="s">
        <v>7717</v>
      </c>
      <c r="D3685" t="s">
        <v>459</v>
      </c>
      <c r="E3685">
        <v>1719382737</v>
      </c>
      <c r="F3685">
        <v>1333985233</v>
      </c>
      <c r="G3685">
        <v>1769321049</v>
      </c>
      <c r="H3685">
        <v>1834857868</v>
      </c>
      <c r="I3685">
        <v>1723802836</v>
      </c>
      <c r="J3685">
        <v>1279864160</v>
      </c>
      <c r="K3685">
        <v>1268481473</v>
      </c>
      <c r="L3685">
        <v>1450247249</v>
      </c>
      <c r="M3685">
        <v>1244928040</v>
      </c>
      <c r="N3685">
        <v>1199646015</v>
      </c>
      <c r="O3685">
        <v>1219904127</v>
      </c>
      <c r="P3685">
        <v>120</v>
      </c>
      <c r="Q3685" t="s">
        <v>7718</v>
      </c>
    </row>
    <row r="3686" spans="1:17" x14ac:dyDescent="0.3">
      <c r="A3686" t="s">
        <v>17</v>
      </c>
      <c r="B3686" t="str">
        <f>"600191"</f>
        <v>600191</v>
      </c>
      <c r="C3686" t="s">
        <v>7719</v>
      </c>
      <c r="D3686" t="s">
        <v>1708</v>
      </c>
      <c r="E3686">
        <v>1716311727</v>
      </c>
      <c r="F3686">
        <v>1788930031</v>
      </c>
      <c r="G3686">
        <v>1911907121</v>
      </c>
      <c r="H3686">
        <v>2251917794</v>
      </c>
      <c r="I3686">
        <v>2548140785</v>
      </c>
      <c r="J3686">
        <v>2607140156</v>
      </c>
      <c r="K3686">
        <v>2547643855</v>
      </c>
      <c r="L3686">
        <v>2656083946</v>
      </c>
      <c r="M3686">
        <v>2312259832</v>
      </c>
      <c r="N3686">
        <v>2021760854</v>
      </c>
      <c r="O3686">
        <v>2168944355</v>
      </c>
      <c r="P3686">
        <v>121</v>
      </c>
      <c r="Q3686" t="s">
        <v>7720</v>
      </c>
    </row>
    <row r="3687" spans="1:17" x14ac:dyDescent="0.3">
      <c r="A3687" t="s">
        <v>17</v>
      </c>
      <c r="B3687" t="str">
        <f>"688633"</f>
        <v>688633</v>
      </c>
      <c r="C3687" t="s">
        <v>7721</v>
      </c>
      <c r="D3687" t="s">
        <v>607</v>
      </c>
      <c r="E3687">
        <v>1714602815</v>
      </c>
      <c r="F3687">
        <v>1473695257</v>
      </c>
      <c r="P3687">
        <v>38</v>
      </c>
      <c r="Q3687" t="s">
        <v>7722</v>
      </c>
    </row>
    <row r="3688" spans="1:17" x14ac:dyDescent="0.3">
      <c r="A3688" t="s">
        <v>17</v>
      </c>
      <c r="B3688" t="str">
        <f>"688571"</f>
        <v>688571</v>
      </c>
      <c r="C3688" t="s">
        <v>7723</v>
      </c>
      <c r="D3688" t="s">
        <v>5419</v>
      </c>
      <c r="E3688">
        <v>1714148792</v>
      </c>
      <c r="F3688">
        <v>1661675876</v>
      </c>
      <c r="P3688">
        <v>29</v>
      </c>
      <c r="Q3688" t="s">
        <v>7724</v>
      </c>
    </row>
    <row r="3689" spans="1:17" x14ac:dyDescent="0.3">
      <c r="A3689" t="s">
        <v>47</v>
      </c>
      <c r="B3689" t="str">
        <f>"300164"</f>
        <v>300164</v>
      </c>
      <c r="C3689" t="s">
        <v>7725</v>
      </c>
      <c r="D3689" t="s">
        <v>533</v>
      </c>
      <c r="E3689">
        <v>1714033088</v>
      </c>
      <c r="F3689">
        <v>1664656885</v>
      </c>
      <c r="G3689">
        <v>3037669656</v>
      </c>
      <c r="H3689">
        <v>2851408841</v>
      </c>
      <c r="I3689">
        <v>2648603371</v>
      </c>
      <c r="J3689">
        <v>2058914631</v>
      </c>
      <c r="K3689">
        <v>1946225595</v>
      </c>
      <c r="L3689">
        <v>2262612063</v>
      </c>
      <c r="M3689">
        <v>1480796599</v>
      </c>
      <c r="N3689">
        <v>1469930768</v>
      </c>
      <c r="O3689">
        <v>1337360910</v>
      </c>
      <c r="P3689">
        <v>82</v>
      </c>
      <c r="Q3689" t="s">
        <v>7726</v>
      </c>
    </row>
    <row r="3690" spans="1:17" x14ac:dyDescent="0.3">
      <c r="A3690" t="s">
        <v>47</v>
      </c>
      <c r="B3690" t="str">
        <f>"001210"</f>
        <v>001210</v>
      </c>
      <c r="C3690" t="s">
        <v>7727</v>
      </c>
      <c r="D3690" t="s">
        <v>1293</v>
      </c>
      <c r="E3690">
        <v>1712173491</v>
      </c>
      <c r="F3690">
        <v>970469331</v>
      </c>
      <c r="P3690">
        <v>27</v>
      </c>
      <c r="Q3690" t="s">
        <v>7728</v>
      </c>
    </row>
    <row r="3691" spans="1:17" x14ac:dyDescent="0.3">
      <c r="A3691" t="s">
        <v>47</v>
      </c>
      <c r="B3691" t="str">
        <f>"300718"</f>
        <v>300718</v>
      </c>
      <c r="C3691" t="s">
        <v>7729</v>
      </c>
      <c r="D3691" t="s">
        <v>2395</v>
      </c>
      <c r="E3691">
        <v>1709302519</v>
      </c>
      <c r="F3691">
        <v>1567173698</v>
      </c>
      <c r="G3691">
        <v>1340026994</v>
      </c>
      <c r="H3691">
        <v>1279274814</v>
      </c>
      <c r="I3691">
        <v>1143063619</v>
      </c>
      <c r="P3691">
        <v>100</v>
      </c>
      <c r="Q3691" t="s">
        <v>7730</v>
      </c>
    </row>
    <row r="3692" spans="1:17" x14ac:dyDescent="0.3">
      <c r="A3692" t="s">
        <v>47</v>
      </c>
      <c r="B3692" t="str">
        <f>"002864"</f>
        <v>002864</v>
      </c>
      <c r="C3692" t="s">
        <v>7731</v>
      </c>
      <c r="D3692" t="s">
        <v>695</v>
      </c>
      <c r="E3692">
        <v>1705713064</v>
      </c>
      <c r="F3692">
        <v>1215621839</v>
      </c>
      <c r="G3692">
        <v>971406927</v>
      </c>
      <c r="H3692">
        <v>835336416</v>
      </c>
      <c r="I3692">
        <v>767819110</v>
      </c>
      <c r="P3692">
        <v>184</v>
      </c>
      <c r="Q3692" t="s">
        <v>7732</v>
      </c>
    </row>
    <row r="3693" spans="1:17" x14ac:dyDescent="0.3">
      <c r="A3693" t="s">
        <v>47</v>
      </c>
      <c r="B3693" t="str">
        <f>"300387"</f>
        <v>300387</v>
      </c>
      <c r="C3693" t="s">
        <v>7733</v>
      </c>
      <c r="D3693" t="s">
        <v>2175</v>
      </c>
      <c r="E3693">
        <v>1705571459</v>
      </c>
      <c r="F3693">
        <v>1685881546</v>
      </c>
      <c r="G3693">
        <v>1653447667</v>
      </c>
      <c r="H3693">
        <v>1406051021</v>
      </c>
      <c r="I3693">
        <v>1491003351</v>
      </c>
      <c r="J3693">
        <v>1376618875</v>
      </c>
      <c r="K3693">
        <v>914879404</v>
      </c>
      <c r="L3693">
        <v>632159364</v>
      </c>
      <c r="P3693">
        <v>89</v>
      </c>
      <c r="Q3693" t="s">
        <v>7734</v>
      </c>
    </row>
    <row r="3694" spans="1:17" x14ac:dyDescent="0.3">
      <c r="A3694" t="s">
        <v>47</v>
      </c>
      <c r="B3694" t="str">
        <f>"300245"</f>
        <v>300245</v>
      </c>
      <c r="C3694" t="s">
        <v>7735</v>
      </c>
      <c r="D3694" t="s">
        <v>700</v>
      </c>
      <c r="E3694">
        <v>1705146612</v>
      </c>
      <c r="F3694">
        <v>1699347616</v>
      </c>
      <c r="G3694">
        <v>1584736406</v>
      </c>
      <c r="H3694">
        <v>1515470924</v>
      </c>
      <c r="I3694">
        <v>1519299689</v>
      </c>
      <c r="J3694">
        <v>950851257</v>
      </c>
      <c r="K3694">
        <v>794752863</v>
      </c>
      <c r="L3694">
        <v>768684240</v>
      </c>
      <c r="M3694">
        <v>692034028</v>
      </c>
      <c r="N3694">
        <v>611113498</v>
      </c>
      <c r="O3694">
        <v>559053079</v>
      </c>
      <c r="P3694">
        <v>128</v>
      </c>
      <c r="Q3694" t="s">
        <v>7736</v>
      </c>
    </row>
    <row r="3695" spans="1:17" x14ac:dyDescent="0.3">
      <c r="A3695" t="s">
        <v>47</v>
      </c>
      <c r="B3695" t="str">
        <f>"300480"</f>
        <v>300480</v>
      </c>
      <c r="C3695" t="s">
        <v>7737</v>
      </c>
      <c r="D3695" t="s">
        <v>607</v>
      </c>
      <c r="E3695">
        <v>1701570384</v>
      </c>
      <c r="F3695">
        <v>955052587</v>
      </c>
      <c r="G3695">
        <v>879880913</v>
      </c>
      <c r="H3695">
        <v>784687517</v>
      </c>
      <c r="I3695">
        <v>747055986</v>
      </c>
      <c r="J3695">
        <v>550075662</v>
      </c>
      <c r="K3695">
        <v>505205774</v>
      </c>
      <c r="L3695">
        <v>328721400</v>
      </c>
      <c r="P3695">
        <v>84</v>
      </c>
      <c r="Q3695" t="s">
        <v>7738</v>
      </c>
    </row>
    <row r="3696" spans="1:17" x14ac:dyDescent="0.3">
      <c r="A3696" t="s">
        <v>17</v>
      </c>
      <c r="B3696" t="str">
        <f>"605199"</f>
        <v>605199</v>
      </c>
      <c r="C3696" t="s">
        <v>7739</v>
      </c>
      <c r="D3696" t="s">
        <v>695</v>
      </c>
      <c r="E3696">
        <v>1700838553</v>
      </c>
      <c r="F3696">
        <v>1525004570</v>
      </c>
      <c r="G3696">
        <v>1116380186</v>
      </c>
      <c r="P3696">
        <v>136</v>
      </c>
      <c r="Q3696" t="s">
        <v>7740</v>
      </c>
    </row>
    <row r="3697" spans="1:17" x14ac:dyDescent="0.3">
      <c r="A3697" t="s">
        <v>17</v>
      </c>
      <c r="B3697" t="str">
        <f>"603203"</f>
        <v>603203</v>
      </c>
      <c r="C3697" t="s">
        <v>7741</v>
      </c>
      <c r="D3697" t="s">
        <v>1360</v>
      </c>
      <c r="E3697">
        <v>1700836136</v>
      </c>
      <c r="F3697">
        <v>1482477457</v>
      </c>
      <c r="G3697">
        <v>1178495298</v>
      </c>
      <c r="H3697">
        <v>1043993020</v>
      </c>
      <c r="I3697">
        <v>912357387</v>
      </c>
      <c r="J3697">
        <v>740213982</v>
      </c>
      <c r="P3697">
        <v>2649</v>
      </c>
      <c r="Q3697" t="s">
        <v>7742</v>
      </c>
    </row>
    <row r="3698" spans="1:17" x14ac:dyDescent="0.3">
      <c r="A3698" t="s">
        <v>47</v>
      </c>
      <c r="B3698" t="str">
        <f>"000806"</f>
        <v>000806</v>
      </c>
      <c r="C3698" t="s">
        <v>7743</v>
      </c>
      <c r="D3698" t="s">
        <v>459</v>
      </c>
      <c r="E3698">
        <v>1700561960</v>
      </c>
      <c r="F3698">
        <v>2082004163</v>
      </c>
      <c r="G3698">
        <v>1671173312</v>
      </c>
      <c r="H3698">
        <v>2486680969</v>
      </c>
      <c r="I3698">
        <v>3314384838</v>
      </c>
      <c r="J3698">
        <v>2965705163</v>
      </c>
      <c r="K3698">
        <v>2679218364</v>
      </c>
      <c r="L3698">
        <v>3150887277</v>
      </c>
      <c r="M3698">
        <v>2011481733</v>
      </c>
      <c r="N3698">
        <v>2100537115</v>
      </c>
      <c r="O3698">
        <v>2579876088</v>
      </c>
      <c r="P3698">
        <v>123</v>
      </c>
      <c r="Q3698" t="s">
        <v>7744</v>
      </c>
    </row>
    <row r="3699" spans="1:17" x14ac:dyDescent="0.3">
      <c r="A3699" t="s">
        <v>47</v>
      </c>
      <c r="B3699" t="str">
        <f>"300878"</f>
        <v>300878</v>
      </c>
      <c r="C3699" t="s">
        <v>7745</v>
      </c>
      <c r="D3699" t="s">
        <v>695</v>
      </c>
      <c r="E3699">
        <v>1698866953</v>
      </c>
      <c r="F3699">
        <v>1612680870</v>
      </c>
      <c r="P3699">
        <v>132</v>
      </c>
      <c r="Q3699" t="s">
        <v>7746</v>
      </c>
    </row>
    <row r="3700" spans="1:17" x14ac:dyDescent="0.3">
      <c r="A3700" t="s">
        <v>47</v>
      </c>
      <c r="B3700" t="str">
        <f>"300990"</f>
        <v>300990</v>
      </c>
      <c r="C3700" t="s">
        <v>7747</v>
      </c>
      <c r="D3700" t="s">
        <v>2730</v>
      </c>
      <c r="E3700">
        <v>1698756103</v>
      </c>
      <c r="F3700">
        <v>585360784</v>
      </c>
      <c r="P3700">
        <v>42</v>
      </c>
      <c r="Q3700" t="s">
        <v>7748</v>
      </c>
    </row>
    <row r="3701" spans="1:17" x14ac:dyDescent="0.3">
      <c r="A3701" t="s">
        <v>47</v>
      </c>
      <c r="B3701" t="str">
        <f>"301180"</f>
        <v>301180</v>
      </c>
      <c r="C3701" t="s">
        <v>7749</v>
      </c>
      <c r="D3701" t="s">
        <v>283</v>
      </c>
      <c r="E3701">
        <v>1697484737</v>
      </c>
      <c r="P3701">
        <v>15</v>
      </c>
      <c r="Q3701" t="s">
        <v>7750</v>
      </c>
    </row>
    <row r="3702" spans="1:17" x14ac:dyDescent="0.3">
      <c r="A3702" t="s">
        <v>47</v>
      </c>
      <c r="B3702" t="str">
        <f>"300074"</f>
        <v>300074</v>
      </c>
      <c r="C3702" t="s">
        <v>7751</v>
      </c>
      <c r="D3702" t="s">
        <v>1859</v>
      </c>
      <c r="E3702">
        <v>1697012667</v>
      </c>
      <c r="F3702">
        <v>1637876408</v>
      </c>
      <c r="G3702">
        <v>1500430041</v>
      </c>
      <c r="H3702">
        <v>1521148548</v>
      </c>
      <c r="I3702">
        <v>1530651426</v>
      </c>
      <c r="J3702">
        <v>1436005862</v>
      </c>
      <c r="K3702">
        <v>1207027901</v>
      </c>
      <c r="L3702">
        <v>1029099158</v>
      </c>
      <c r="M3702">
        <v>1027784070</v>
      </c>
      <c r="N3702">
        <v>949055294</v>
      </c>
      <c r="O3702">
        <v>849167461</v>
      </c>
      <c r="P3702">
        <v>162</v>
      </c>
      <c r="Q3702" t="s">
        <v>7752</v>
      </c>
    </row>
    <row r="3703" spans="1:17" x14ac:dyDescent="0.3">
      <c r="A3703" t="s">
        <v>17</v>
      </c>
      <c r="B3703" t="str">
        <f>"688123"</f>
        <v>688123</v>
      </c>
      <c r="C3703" t="s">
        <v>7753</v>
      </c>
      <c r="D3703" t="s">
        <v>967</v>
      </c>
      <c r="E3703">
        <v>1697003824</v>
      </c>
      <c r="F3703">
        <v>1563186311</v>
      </c>
      <c r="G3703">
        <v>1435163866</v>
      </c>
      <c r="P3703">
        <v>163</v>
      </c>
      <c r="Q3703" t="s">
        <v>7754</v>
      </c>
    </row>
    <row r="3704" spans="1:17" x14ac:dyDescent="0.3">
      <c r="A3704" t="s">
        <v>47</v>
      </c>
      <c r="B3704" t="str">
        <f>"002732"</f>
        <v>002732</v>
      </c>
      <c r="C3704" t="s">
        <v>7755</v>
      </c>
      <c r="D3704" t="s">
        <v>487</v>
      </c>
      <c r="E3704">
        <v>1696700966</v>
      </c>
      <c r="F3704">
        <v>1483650858</v>
      </c>
      <c r="G3704">
        <v>1342035868</v>
      </c>
      <c r="H3704">
        <v>1331116416</v>
      </c>
      <c r="I3704">
        <v>1355613345</v>
      </c>
      <c r="J3704">
        <v>1109287841</v>
      </c>
      <c r="K3704">
        <v>954294267</v>
      </c>
      <c r="L3704">
        <v>957842176</v>
      </c>
      <c r="P3704">
        <v>349</v>
      </c>
      <c r="Q3704" t="s">
        <v>7756</v>
      </c>
    </row>
    <row r="3705" spans="1:17" x14ac:dyDescent="0.3">
      <c r="A3705" t="s">
        <v>47</v>
      </c>
      <c r="B3705" t="str">
        <f>"300405"</f>
        <v>300405</v>
      </c>
      <c r="C3705" t="s">
        <v>7757</v>
      </c>
      <c r="D3705" t="s">
        <v>710</v>
      </c>
      <c r="E3705">
        <v>1696097783</v>
      </c>
      <c r="F3705">
        <v>1587723935</v>
      </c>
      <c r="G3705">
        <v>1636691839</v>
      </c>
      <c r="H3705">
        <v>1683891674</v>
      </c>
      <c r="I3705">
        <v>1801064214</v>
      </c>
      <c r="J3705">
        <v>1743400075</v>
      </c>
      <c r="K3705">
        <v>1279991567</v>
      </c>
      <c r="L3705">
        <v>1417447746</v>
      </c>
      <c r="P3705">
        <v>59</v>
      </c>
      <c r="Q3705" t="s">
        <v>7758</v>
      </c>
    </row>
    <row r="3706" spans="1:17" x14ac:dyDescent="0.3">
      <c r="A3706" t="s">
        <v>47</v>
      </c>
      <c r="B3706" t="str">
        <f>"003030"</f>
        <v>003030</v>
      </c>
      <c r="C3706" t="s">
        <v>7759</v>
      </c>
      <c r="D3706" t="s">
        <v>1708</v>
      </c>
      <c r="E3706">
        <v>1695725692</v>
      </c>
      <c r="F3706">
        <v>1524590615</v>
      </c>
      <c r="P3706">
        <v>60</v>
      </c>
      <c r="Q3706" t="s">
        <v>7760</v>
      </c>
    </row>
    <row r="3707" spans="1:17" x14ac:dyDescent="0.3">
      <c r="A3707" t="s">
        <v>47</v>
      </c>
      <c r="B3707" t="str">
        <f>"002186"</f>
        <v>002186</v>
      </c>
      <c r="C3707" t="s">
        <v>7761</v>
      </c>
      <c r="D3707" t="s">
        <v>6094</v>
      </c>
      <c r="E3707">
        <v>1694532562</v>
      </c>
      <c r="F3707">
        <v>1876397302</v>
      </c>
      <c r="G3707">
        <v>1952847223</v>
      </c>
      <c r="H3707">
        <v>1980926287</v>
      </c>
      <c r="I3707">
        <v>2041638184</v>
      </c>
      <c r="J3707">
        <v>2010596186</v>
      </c>
      <c r="K3707">
        <v>1846451967</v>
      </c>
      <c r="L3707">
        <v>1742437742</v>
      </c>
      <c r="M3707">
        <v>1375748443</v>
      </c>
      <c r="N3707">
        <v>1334566942</v>
      </c>
      <c r="O3707">
        <v>1294491303</v>
      </c>
      <c r="P3707">
        <v>179</v>
      </c>
      <c r="Q3707" t="s">
        <v>7762</v>
      </c>
    </row>
    <row r="3708" spans="1:17" x14ac:dyDescent="0.3">
      <c r="A3708" t="s">
        <v>47</v>
      </c>
      <c r="B3708" t="str">
        <f>"002951"</f>
        <v>002951</v>
      </c>
      <c r="C3708" t="s">
        <v>7763</v>
      </c>
      <c r="D3708" t="s">
        <v>1842</v>
      </c>
      <c r="E3708">
        <v>1694156928</v>
      </c>
      <c r="F3708">
        <v>1724010393</v>
      </c>
      <c r="G3708">
        <v>1596120246</v>
      </c>
      <c r="H3708">
        <v>1537414245</v>
      </c>
      <c r="P3708">
        <v>93</v>
      </c>
      <c r="Q3708" t="s">
        <v>7764</v>
      </c>
    </row>
    <row r="3709" spans="1:17" x14ac:dyDescent="0.3">
      <c r="A3709" t="s">
        <v>47</v>
      </c>
      <c r="B3709" t="str">
        <f>"002278"</f>
        <v>002278</v>
      </c>
      <c r="C3709" t="s">
        <v>7765</v>
      </c>
      <c r="D3709" t="s">
        <v>607</v>
      </c>
      <c r="E3709">
        <v>1693992232</v>
      </c>
      <c r="F3709">
        <v>1632671673</v>
      </c>
      <c r="G3709">
        <v>1626948009</v>
      </c>
      <c r="H3709">
        <v>1595428185</v>
      </c>
      <c r="I3709">
        <v>1516488579</v>
      </c>
      <c r="J3709">
        <v>1591985795</v>
      </c>
      <c r="K3709">
        <v>1695282424</v>
      </c>
      <c r="L3709">
        <v>1856081918</v>
      </c>
      <c r="M3709">
        <v>1586493351</v>
      </c>
      <c r="N3709">
        <v>1554299731</v>
      </c>
      <c r="O3709">
        <v>1513584057</v>
      </c>
      <c r="P3709">
        <v>57</v>
      </c>
      <c r="Q3709" t="s">
        <v>7766</v>
      </c>
    </row>
    <row r="3710" spans="1:17" x14ac:dyDescent="0.3">
      <c r="A3710" t="s">
        <v>47</v>
      </c>
      <c r="B3710" t="str">
        <f>"300665"</f>
        <v>300665</v>
      </c>
      <c r="C3710" t="s">
        <v>7767</v>
      </c>
      <c r="D3710" t="s">
        <v>5419</v>
      </c>
      <c r="E3710">
        <v>1691754677</v>
      </c>
      <c r="F3710">
        <v>1333261587</v>
      </c>
      <c r="G3710">
        <v>954834489</v>
      </c>
      <c r="H3710">
        <v>814563370</v>
      </c>
      <c r="I3710">
        <v>593868453</v>
      </c>
      <c r="J3710">
        <v>409445116</v>
      </c>
      <c r="P3710">
        <v>109</v>
      </c>
      <c r="Q3710" t="s">
        <v>7768</v>
      </c>
    </row>
    <row r="3711" spans="1:17" x14ac:dyDescent="0.3">
      <c r="A3711" t="s">
        <v>17</v>
      </c>
      <c r="B3711" t="str">
        <f>"688266"</f>
        <v>688266</v>
      </c>
      <c r="C3711" t="s">
        <v>7769</v>
      </c>
      <c r="D3711" t="s">
        <v>550</v>
      </c>
      <c r="E3711">
        <v>1689373448</v>
      </c>
      <c r="F3711">
        <v>1915773589</v>
      </c>
      <c r="G3711">
        <v>2113204454</v>
      </c>
      <c r="H3711">
        <v>379926039</v>
      </c>
      <c r="P3711">
        <v>102</v>
      </c>
      <c r="Q3711" t="s">
        <v>7770</v>
      </c>
    </row>
    <row r="3712" spans="1:17" x14ac:dyDescent="0.3">
      <c r="A3712" t="s">
        <v>47</v>
      </c>
      <c r="B3712" t="str">
        <f>"000908"</f>
        <v>000908</v>
      </c>
      <c r="C3712" t="s">
        <v>7771</v>
      </c>
      <c r="D3712" t="s">
        <v>550</v>
      </c>
      <c r="E3712">
        <v>1688403554</v>
      </c>
      <c r="F3712">
        <v>2601147746</v>
      </c>
      <c r="G3712">
        <v>4370109202</v>
      </c>
      <c r="H3712">
        <v>5163742255</v>
      </c>
      <c r="I3712">
        <v>4602609798</v>
      </c>
      <c r="J3712">
        <v>5060660404</v>
      </c>
      <c r="K3712">
        <v>3978621671</v>
      </c>
      <c r="L3712">
        <v>3064271746</v>
      </c>
      <c r="M3712">
        <v>353954779</v>
      </c>
      <c r="N3712">
        <v>366092979</v>
      </c>
      <c r="O3712">
        <v>414876135</v>
      </c>
      <c r="P3712">
        <v>186</v>
      </c>
      <c r="Q3712" t="s">
        <v>7772</v>
      </c>
    </row>
    <row r="3713" spans="1:17" x14ac:dyDescent="0.3">
      <c r="A3713" t="s">
        <v>47</v>
      </c>
      <c r="B3713" t="str">
        <f>"300421"</f>
        <v>300421</v>
      </c>
      <c r="C3713" t="s">
        <v>7773</v>
      </c>
      <c r="D3713" t="s">
        <v>401</v>
      </c>
      <c r="E3713">
        <v>1687772339</v>
      </c>
      <c r="F3713">
        <v>1477647630</v>
      </c>
      <c r="G3713">
        <v>1407176047</v>
      </c>
      <c r="H3713">
        <v>1488341933</v>
      </c>
      <c r="I3713">
        <v>1491719101</v>
      </c>
      <c r="J3713">
        <v>1562202628</v>
      </c>
      <c r="K3713">
        <v>689505305</v>
      </c>
      <c r="L3713">
        <v>761006025</v>
      </c>
      <c r="P3713">
        <v>108</v>
      </c>
      <c r="Q3713" t="s">
        <v>7774</v>
      </c>
    </row>
    <row r="3714" spans="1:17" x14ac:dyDescent="0.3">
      <c r="A3714" t="s">
        <v>47</v>
      </c>
      <c r="B3714" t="str">
        <f>"300306"</f>
        <v>300306</v>
      </c>
      <c r="C3714" t="s">
        <v>7775</v>
      </c>
      <c r="D3714" t="s">
        <v>3722</v>
      </c>
      <c r="E3714">
        <v>1687714787</v>
      </c>
      <c r="F3714">
        <v>1588311866</v>
      </c>
      <c r="G3714">
        <v>1593897989</v>
      </c>
      <c r="H3714">
        <v>1593979599</v>
      </c>
      <c r="I3714">
        <v>2235733190</v>
      </c>
      <c r="J3714">
        <v>2124065201</v>
      </c>
      <c r="K3714">
        <v>1157331581</v>
      </c>
      <c r="L3714">
        <v>1104383672</v>
      </c>
      <c r="M3714">
        <v>1044644327</v>
      </c>
      <c r="N3714">
        <v>935745249</v>
      </c>
      <c r="O3714">
        <v>893579474</v>
      </c>
      <c r="P3714">
        <v>169</v>
      </c>
      <c r="Q3714" t="s">
        <v>7776</v>
      </c>
    </row>
    <row r="3715" spans="1:17" x14ac:dyDescent="0.3">
      <c r="A3715" t="s">
        <v>47</v>
      </c>
      <c r="B3715" t="str">
        <f>"002981"</f>
        <v>002981</v>
      </c>
      <c r="C3715" t="s">
        <v>7777</v>
      </c>
      <c r="D3715" t="s">
        <v>283</v>
      </c>
      <c r="E3715">
        <v>1687433094</v>
      </c>
      <c r="F3715">
        <v>1297836124</v>
      </c>
      <c r="G3715">
        <v>682028198</v>
      </c>
      <c r="P3715">
        <v>73</v>
      </c>
      <c r="Q3715" t="s">
        <v>7778</v>
      </c>
    </row>
    <row r="3716" spans="1:17" x14ac:dyDescent="0.3">
      <c r="A3716" t="s">
        <v>17</v>
      </c>
      <c r="B3716" t="str">
        <f>"688127"</f>
        <v>688127</v>
      </c>
      <c r="C3716" t="s">
        <v>7779</v>
      </c>
      <c r="D3716" t="s">
        <v>1487</v>
      </c>
      <c r="E3716">
        <v>1683472619</v>
      </c>
      <c r="F3716">
        <v>1574607209</v>
      </c>
      <c r="G3716">
        <v>825031700</v>
      </c>
      <c r="P3716">
        <v>86</v>
      </c>
      <c r="Q3716" t="s">
        <v>7780</v>
      </c>
    </row>
    <row r="3717" spans="1:17" x14ac:dyDescent="0.3">
      <c r="A3717" t="s">
        <v>47</v>
      </c>
      <c r="B3717" t="str">
        <f>"300573"</f>
        <v>300573</v>
      </c>
      <c r="C3717" t="s">
        <v>7781</v>
      </c>
      <c r="D3717" t="s">
        <v>550</v>
      </c>
      <c r="E3717">
        <v>1683347867</v>
      </c>
      <c r="F3717">
        <v>1045502580</v>
      </c>
      <c r="G3717">
        <v>789830153</v>
      </c>
      <c r="H3717">
        <v>711649636</v>
      </c>
      <c r="I3717">
        <v>678843039</v>
      </c>
      <c r="J3717">
        <v>666371203</v>
      </c>
      <c r="P3717">
        <v>315</v>
      </c>
      <c r="Q3717" t="s">
        <v>7782</v>
      </c>
    </row>
    <row r="3718" spans="1:17" x14ac:dyDescent="0.3">
      <c r="A3718" t="s">
        <v>17</v>
      </c>
      <c r="B3718" t="str">
        <f>"688019"</f>
        <v>688019</v>
      </c>
      <c r="C3718" t="s">
        <v>7783</v>
      </c>
      <c r="D3718" t="s">
        <v>3050</v>
      </c>
      <c r="E3718">
        <v>1682074863</v>
      </c>
      <c r="F3718">
        <v>1342447038</v>
      </c>
      <c r="G3718">
        <v>1015413968</v>
      </c>
      <c r="H3718">
        <v>424071100</v>
      </c>
      <c r="P3718">
        <v>286</v>
      </c>
      <c r="Q3718" t="s">
        <v>7784</v>
      </c>
    </row>
    <row r="3719" spans="1:17" x14ac:dyDescent="0.3">
      <c r="A3719" t="s">
        <v>17</v>
      </c>
      <c r="B3719" t="str">
        <f>"600232"</f>
        <v>600232</v>
      </c>
      <c r="C3719" t="s">
        <v>7785</v>
      </c>
      <c r="D3719" t="s">
        <v>2603</v>
      </c>
      <c r="E3719">
        <v>1681407577</v>
      </c>
      <c r="F3719">
        <v>1798066162</v>
      </c>
      <c r="G3719">
        <v>1891055461</v>
      </c>
      <c r="H3719">
        <v>1793723935</v>
      </c>
      <c r="I3719">
        <v>1797469008</v>
      </c>
      <c r="J3719">
        <v>1641122687</v>
      </c>
      <c r="K3719">
        <v>1599322858</v>
      </c>
      <c r="L3719">
        <v>1789709936</v>
      </c>
      <c r="M3719">
        <v>1828014068</v>
      </c>
      <c r="N3719">
        <v>1920378211</v>
      </c>
      <c r="O3719">
        <v>1962389569</v>
      </c>
      <c r="P3719">
        <v>89</v>
      </c>
      <c r="Q3719" t="s">
        <v>7786</v>
      </c>
    </row>
    <row r="3720" spans="1:17" x14ac:dyDescent="0.3">
      <c r="A3720" t="s">
        <v>47</v>
      </c>
      <c r="B3720" t="str">
        <f>"002892"</f>
        <v>002892</v>
      </c>
      <c r="C3720" t="s">
        <v>7787</v>
      </c>
      <c r="D3720" t="s">
        <v>1594</v>
      </c>
      <c r="E3720">
        <v>1680905698</v>
      </c>
      <c r="F3720">
        <v>1012132235</v>
      </c>
      <c r="G3720">
        <v>868086830</v>
      </c>
      <c r="H3720">
        <v>772744989</v>
      </c>
      <c r="I3720">
        <v>680696237</v>
      </c>
      <c r="P3720">
        <v>145</v>
      </c>
      <c r="Q3720" t="s">
        <v>7788</v>
      </c>
    </row>
    <row r="3721" spans="1:17" x14ac:dyDescent="0.3">
      <c r="A3721" t="s">
        <v>47</v>
      </c>
      <c r="B3721" t="str">
        <f>"300778"</f>
        <v>300778</v>
      </c>
      <c r="C3721" t="s">
        <v>7789</v>
      </c>
      <c r="D3721" t="s">
        <v>2178</v>
      </c>
      <c r="E3721">
        <v>1680473412</v>
      </c>
      <c r="F3721">
        <v>1268053994</v>
      </c>
      <c r="G3721">
        <v>1186419720</v>
      </c>
      <c r="H3721">
        <v>562512043</v>
      </c>
      <c r="P3721">
        <v>104</v>
      </c>
      <c r="Q3721" t="s">
        <v>7790</v>
      </c>
    </row>
    <row r="3722" spans="1:17" x14ac:dyDescent="0.3">
      <c r="A3722" t="s">
        <v>47</v>
      </c>
      <c r="B3722" t="str">
        <f>"300631"</f>
        <v>300631</v>
      </c>
      <c r="C3722" t="s">
        <v>7791</v>
      </c>
      <c r="D3722" t="s">
        <v>1347</v>
      </c>
      <c r="E3722">
        <v>1680056138</v>
      </c>
      <c r="F3722">
        <v>1348300588</v>
      </c>
      <c r="G3722">
        <v>1259877996</v>
      </c>
      <c r="H3722">
        <v>941104667</v>
      </c>
      <c r="I3722">
        <v>783574129</v>
      </c>
      <c r="J3722">
        <v>741112771</v>
      </c>
      <c r="P3722">
        <v>135</v>
      </c>
      <c r="Q3722" t="s">
        <v>7792</v>
      </c>
    </row>
    <row r="3723" spans="1:17" x14ac:dyDescent="0.3">
      <c r="A3723" t="s">
        <v>17</v>
      </c>
      <c r="B3723" t="str">
        <f>"603757"</f>
        <v>603757</v>
      </c>
      <c r="C3723" t="s">
        <v>7793</v>
      </c>
      <c r="D3723" t="s">
        <v>1433</v>
      </c>
      <c r="E3723">
        <v>1678349400</v>
      </c>
      <c r="F3723">
        <v>1615699541</v>
      </c>
      <c r="G3723">
        <v>1446122298</v>
      </c>
      <c r="H3723">
        <v>1304301035</v>
      </c>
      <c r="I3723">
        <v>1160201195</v>
      </c>
      <c r="J3723">
        <v>603572660</v>
      </c>
      <c r="P3723">
        <v>523</v>
      </c>
      <c r="Q3723" t="s">
        <v>7794</v>
      </c>
    </row>
    <row r="3724" spans="1:17" x14ac:dyDescent="0.3">
      <c r="A3724" t="s">
        <v>47</v>
      </c>
      <c r="B3724" t="str">
        <f>"300468"</f>
        <v>300468</v>
      </c>
      <c r="C3724" t="s">
        <v>7795</v>
      </c>
      <c r="D3724" t="s">
        <v>1859</v>
      </c>
      <c r="E3724">
        <v>1677649966</v>
      </c>
      <c r="F3724">
        <v>1236589951</v>
      </c>
      <c r="G3724">
        <v>1201591245</v>
      </c>
      <c r="H3724">
        <v>1212332357</v>
      </c>
      <c r="I3724">
        <v>1171626719</v>
      </c>
      <c r="J3724">
        <v>1036779269</v>
      </c>
      <c r="K3724">
        <v>819238829</v>
      </c>
      <c r="L3724">
        <v>365338032</v>
      </c>
      <c r="P3724">
        <v>213</v>
      </c>
      <c r="Q3724" t="s">
        <v>7796</v>
      </c>
    </row>
    <row r="3725" spans="1:17" x14ac:dyDescent="0.3">
      <c r="A3725" t="s">
        <v>47</v>
      </c>
      <c r="B3725" t="str">
        <f>"002177"</f>
        <v>002177</v>
      </c>
      <c r="C3725" t="s">
        <v>7797</v>
      </c>
      <c r="D3725" t="s">
        <v>765</v>
      </c>
      <c r="E3725">
        <v>1674502934</v>
      </c>
      <c r="F3725">
        <v>1855493989</v>
      </c>
      <c r="G3725">
        <v>1695451923</v>
      </c>
      <c r="H3725">
        <v>1771516554</v>
      </c>
      <c r="I3725">
        <v>1954846848</v>
      </c>
      <c r="J3725">
        <v>1950123165</v>
      </c>
      <c r="K3725">
        <v>2164419067</v>
      </c>
      <c r="L3725">
        <v>1959014885</v>
      </c>
      <c r="M3725">
        <v>1782013830</v>
      </c>
      <c r="N3725">
        <v>1655402468</v>
      </c>
      <c r="O3725">
        <v>1632209605</v>
      </c>
      <c r="P3725">
        <v>3025</v>
      </c>
      <c r="Q3725" t="s">
        <v>7798</v>
      </c>
    </row>
    <row r="3726" spans="1:17" x14ac:dyDescent="0.3">
      <c r="A3726" t="s">
        <v>47</v>
      </c>
      <c r="B3726" t="str">
        <f>"300191"</f>
        <v>300191</v>
      </c>
      <c r="C3726" t="s">
        <v>7799</v>
      </c>
      <c r="D3726" t="s">
        <v>533</v>
      </c>
      <c r="E3726">
        <v>1672640990</v>
      </c>
      <c r="F3726">
        <v>1564513291</v>
      </c>
      <c r="G3726">
        <v>1795628257</v>
      </c>
      <c r="H3726">
        <v>1331753167</v>
      </c>
      <c r="I3726">
        <v>1257048187</v>
      </c>
      <c r="J3726">
        <v>1247561413</v>
      </c>
      <c r="K3726">
        <v>1233237930</v>
      </c>
      <c r="L3726">
        <v>1235768279</v>
      </c>
      <c r="M3726">
        <v>1251214843</v>
      </c>
      <c r="N3726">
        <v>1175850979</v>
      </c>
      <c r="O3726">
        <v>1109967291</v>
      </c>
      <c r="P3726">
        <v>75</v>
      </c>
      <c r="Q3726" t="s">
        <v>7800</v>
      </c>
    </row>
    <row r="3727" spans="1:17" x14ac:dyDescent="0.3">
      <c r="A3727" t="s">
        <v>17</v>
      </c>
      <c r="B3727" t="str">
        <f>"688222"</f>
        <v>688222</v>
      </c>
      <c r="C3727" t="s">
        <v>7801</v>
      </c>
      <c r="D3727" t="s">
        <v>777</v>
      </c>
      <c r="E3727">
        <v>1672517602</v>
      </c>
      <c r="F3727">
        <v>1695639359</v>
      </c>
      <c r="G3727">
        <v>634167874</v>
      </c>
      <c r="H3727">
        <v>520223093</v>
      </c>
      <c r="P3727">
        <v>128</v>
      </c>
      <c r="Q3727" t="s">
        <v>7802</v>
      </c>
    </row>
    <row r="3728" spans="1:17" x14ac:dyDescent="0.3">
      <c r="A3728" t="s">
        <v>47</v>
      </c>
      <c r="B3728" t="str">
        <f>"003028"</f>
        <v>003028</v>
      </c>
      <c r="C3728" t="s">
        <v>7803</v>
      </c>
      <c r="D3728" t="s">
        <v>283</v>
      </c>
      <c r="E3728">
        <v>1670787112</v>
      </c>
      <c r="F3728">
        <v>1527942601</v>
      </c>
      <c r="P3728">
        <v>83</v>
      </c>
      <c r="Q3728" t="s">
        <v>7804</v>
      </c>
    </row>
    <row r="3729" spans="1:17" x14ac:dyDescent="0.3">
      <c r="A3729" t="s">
        <v>47</v>
      </c>
      <c r="B3729" t="str">
        <f>"300155"</f>
        <v>300155</v>
      </c>
      <c r="C3729" t="s">
        <v>7805</v>
      </c>
      <c r="D3729" t="s">
        <v>523</v>
      </c>
      <c r="E3729">
        <v>1666596671</v>
      </c>
      <c r="F3729">
        <v>1676580637</v>
      </c>
      <c r="G3729">
        <v>1585919432</v>
      </c>
      <c r="H3729">
        <v>1584228650</v>
      </c>
      <c r="I3729">
        <v>1481125754</v>
      </c>
      <c r="J3729">
        <v>1456718047</v>
      </c>
      <c r="K3729">
        <v>1364692363</v>
      </c>
      <c r="L3729">
        <v>1344506623</v>
      </c>
      <c r="M3729">
        <v>1280478275</v>
      </c>
      <c r="N3729">
        <v>1101116665</v>
      </c>
      <c r="O3729">
        <v>1068704527</v>
      </c>
      <c r="P3729">
        <v>68</v>
      </c>
      <c r="Q3729" t="s">
        <v>7806</v>
      </c>
    </row>
    <row r="3730" spans="1:17" x14ac:dyDescent="0.3">
      <c r="A3730" t="s">
        <v>47</v>
      </c>
      <c r="B3730" t="str">
        <f>"300822"</f>
        <v>300822</v>
      </c>
      <c r="C3730" t="s">
        <v>7807</v>
      </c>
      <c r="D3730" t="s">
        <v>283</v>
      </c>
      <c r="E3730">
        <v>1662825441</v>
      </c>
      <c r="F3730">
        <v>1539339353</v>
      </c>
      <c r="G3730">
        <v>1211445405</v>
      </c>
      <c r="P3730">
        <v>131</v>
      </c>
      <c r="Q3730" t="s">
        <v>7808</v>
      </c>
    </row>
    <row r="3731" spans="1:17" x14ac:dyDescent="0.3">
      <c r="A3731" t="s">
        <v>47</v>
      </c>
      <c r="B3731" t="str">
        <f>"301038"</f>
        <v>301038</v>
      </c>
      <c r="C3731" t="s">
        <v>7809</v>
      </c>
      <c r="D3731" t="s">
        <v>2178</v>
      </c>
      <c r="E3731">
        <v>1662462546</v>
      </c>
      <c r="F3731">
        <v>1424769126</v>
      </c>
      <c r="P3731">
        <v>21</v>
      </c>
      <c r="Q3731" t="s">
        <v>7810</v>
      </c>
    </row>
    <row r="3732" spans="1:17" x14ac:dyDescent="0.3">
      <c r="A3732" t="s">
        <v>47</v>
      </c>
      <c r="B3732" t="str">
        <f>"300690"</f>
        <v>300690</v>
      </c>
      <c r="C3732" t="s">
        <v>7811</v>
      </c>
      <c r="D3732" t="s">
        <v>2013</v>
      </c>
      <c r="E3732">
        <v>1660677534</v>
      </c>
      <c r="F3732">
        <v>1675367056</v>
      </c>
      <c r="G3732">
        <v>1390504915</v>
      </c>
      <c r="H3732">
        <v>1137638940</v>
      </c>
      <c r="I3732">
        <v>1046154821</v>
      </c>
      <c r="J3732">
        <v>536121200</v>
      </c>
      <c r="P3732">
        <v>214</v>
      </c>
      <c r="Q3732" t="s">
        <v>7812</v>
      </c>
    </row>
    <row r="3733" spans="1:17" x14ac:dyDescent="0.3">
      <c r="A3733" t="s">
        <v>17</v>
      </c>
      <c r="B3733" t="str">
        <f>"688579"</f>
        <v>688579</v>
      </c>
      <c r="C3733" t="s">
        <v>7813</v>
      </c>
      <c r="D3733" t="s">
        <v>1859</v>
      </c>
      <c r="E3733">
        <v>1660267582</v>
      </c>
      <c r="F3733">
        <v>1638659909</v>
      </c>
      <c r="G3733">
        <v>1006088176</v>
      </c>
      <c r="P3733">
        <v>34</v>
      </c>
      <c r="Q3733" t="s">
        <v>7814</v>
      </c>
    </row>
    <row r="3734" spans="1:17" x14ac:dyDescent="0.3">
      <c r="A3734" t="s">
        <v>17</v>
      </c>
      <c r="B3734" t="str">
        <f>"603657"</f>
        <v>603657</v>
      </c>
      <c r="C3734" t="s">
        <v>7815</v>
      </c>
      <c r="D3734" t="s">
        <v>1511</v>
      </c>
      <c r="E3734">
        <v>1659524389</v>
      </c>
      <c r="F3734">
        <v>1439330492</v>
      </c>
      <c r="G3734">
        <v>984446103</v>
      </c>
      <c r="H3734">
        <v>968378974</v>
      </c>
      <c r="I3734">
        <v>479144246</v>
      </c>
      <c r="P3734">
        <v>152</v>
      </c>
      <c r="Q3734" t="s">
        <v>7816</v>
      </c>
    </row>
    <row r="3735" spans="1:17" x14ac:dyDescent="0.3">
      <c r="A3735" t="s">
        <v>47</v>
      </c>
      <c r="B3735" t="str">
        <f>"002227"</f>
        <v>002227</v>
      </c>
      <c r="C3735" t="s">
        <v>7817</v>
      </c>
      <c r="D3735" t="s">
        <v>2181</v>
      </c>
      <c r="E3735">
        <v>1656781495</v>
      </c>
      <c r="F3735">
        <v>1332761804</v>
      </c>
      <c r="G3735">
        <v>1260188636</v>
      </c>
      <c r="H3735">
        <v>1175295650</v>
      </c>
      <c r="I3735">
        <v>1042091058</v>
      </c>
      <c r="J3735">
        <v>991258509</v>
      </c>
      <c r="K3735">
        <v>979213446</v>
      </c>
      <c r="L3735">
        <v>953639300</v>
      </c>
      <c r="M3735">
        <v>819751014</v>
      </c>
      <c r="N3735">
        <v>724003539</v>
      </c>
      <c r="O3735">
        <v>697018032</v>
      </c>
      <c r="P3735">
        <v>162</v>
      </c>
      <c r="Q3735" t="s">
        <v>7818</v>
      </c>
    </row>
    <row r="3736" spans="1:17" x14ac:dyDescent="0.3">
      <c r="A3736" t="s">
        <v>47</v>
      </c>
      <c r="B3736" t="str">
        <f>"002178"</f>
        <v>002178</v>
      </c>
      <c r="C3736" t="s">
        <v>7819</v>
      </c>
      <c r="D3736" t="s">
        <v>1859</v>
      </c>
      <c r="E3736">
        <v>1656765492</v>
      </c>
      <c r="F3736">
        <v>1652303497</v>
      </c>
      <c r="G3736">
        <v>1986213270</v>
      </c>
      <c r="H3736">
        <v>1844126100</v>
      </c>
      <c r="I3736">
        <v>2243009322</v>
      </c>
      <c r="J3736">
        <v>2226913514</v>
      </c>
      <c r="K3736">
        <v>1969702974</v>
      </c>
      <c r="L3736">
        <v>1228299703</v>
      </c>
      <c r="M3736">
        <v>1088858311</v>
      </c>
      <c r="N3736">
        <v>841810150</v>
      </c>
      <c r="O3736">
        <v>724260752</v>
      </c>
      <c r="P3736">
        <v>89</v>
      </c>
      <c r="Q3736" t="s">
        <v>7820</v>
      </c>
    </row>
    <row r="3737" spans="1:17" x14ac:dyDescent="0.3">
      <c r="A3737" t="s">
        <v>47</v>
      </c>
      <c r="B3737" t="str">
        <f>"001216"</f>
        <v>001216</v>
      </c>
      <c r="C3737" t="s">
        <v>7821</v>
      </c>
      <c r="D3737" t="s">
        <v>2016</v>
      </c>
      <c r="E3737">
        <v>1656373998</v>
      </c>
      <c r="P3737">
        <v>19</v>
      </c>
      <c r="Q3737" t="s">
        <v>7822</v>
      </c>
    </row>
    <row r="3738" spans="1:17" x14ac:dyDescent="0.3">
      <c r="A3738" t="s">
        <v>47</v>
      </c>
      <c r="B3738" t="str">
        <f>"301118"</f>
        <v>301118</v>
      </c>
      <c r="C3738" t="s">
        <v>7823</v>
      </c>
      <c r="D3738" t="s">
        <v>2874</v>
      </c>
      <c r="E3738">
        <v>1655340141</v>
      </c>
      <c r="P3738">
        <v>16</v>
      </c>
      <c r="Q3738" t="s">
        <v>7824</v>
      </c>
    </row>
    <row r="3739" spans="1:17" x14ac:dyDescent="0.3">
      <c r="A3739" t="s">
        <v>17</v>
      </c>
      <c r="B3739" t="str">
        <f>"600093"</f>
        <v>600093</v>
      </c>
      <c r="C3739" t="s">
        <v>7825</v>
      </c>
      <c r="D3739" t="s">
        <v>7826</v>
      </c>
      <c r="E3739">
        <v>1651671669</v>
      </c>
      <c r="F3739">
        <v>6068990774</v>
      </c>
      <c r="G3739">
        <v>16143454782</v>
      </c>
      <c r="H3739">
        <v>15240029716</v>
      </c>
      <c r="I3739">
        <v>14154649803</v>
      </c>
      <c r="J3739">
        <v>12284432748</v>
      </c>
      <c r="K3739">
        <v>11937557129</v>
      </c>
      <c r="L3739">
        <v>792847190</v>
      </c>
      <c r="M3739">
        <v>709585114</v>
      </c>
      <c r="N3739">
        <v>721031221</v>
      </c>
      <c r="O3739">
        <v>639812412</v>
      </c>
      <c r="P3739">
        <v>222</v>
      </c>
      <c r="Q3739" t="s">
        <v>7827</v>
      </c>
    </row>
    <row r="3740" spans="1:17" x14ac:dyDescent="0.3">
      <c r="A3740" t="s">
        <v>17</v>
      </c>
      <c r="B3740" t="str">
        <f>"605567"</f>
        <v>605567</v>
      </c>
      <c r="C3740" t="s">
        <v>7828</v>
      </c>
      <c r="D3740" t="s">
        <v>2224</v>
      </c>
      <c r="E3740">
        <v>1648386584</v>
      </c>
      <c r="P3740">
        <v>32</v>
      </c>
      <c r="Q3740" t="s">
        <v>7829</v>
      </c>
    </row>
    <row r="3741" spans="1:17" x14ac:dyDescent="0.3">
      <c r="A3741" t="s">
        <v>17</v>
      </c>
      <c r="B3741" t="str">
        <f>"688090"</f>
        <v>688090</v>
      </c>
      <c r="C3741" t="s">
        <v>7830</v>
      </c>
      <c r="D3741" t="s">
        <v>2592</v>
      </c>
      <c r="E3741">
        <v>1647482110</v>
      </c>
      <c r="F3741">
        <v>1643229680</v>
      </c>
      <c r="G3741">
        <v>1726903646</v>
      </c>
      <c r="P3741">
        <v>63</v>
      </c>
      <c r="Q3741" t="s">
        <v>7831</v>
      </c>
    </row>
    <row r="3742" spans="1:17" x14ac:dyDescent="0.3">
      <c r="A3742" t="s">
        <v>47</v>
      </c>
      <c r="B3742" t="str">
        <f>"300093"</f>
        <v>300093</v>
      </c>
      <c r="C3742" t="s">
        <v>7832</v>
      </c>
      <c r="D3742" t="s">
        <v>1635</v>
      </c>
      <c r="E3742">
        <v>1647190846</v>
      </c>
      <c r="F3742">
        <v>1039500034</v>
      </c>
      <c r="G3742">
        <v>1114792401</v>
      </c>
      <c r="H3742">
        <v>1498114992</v>
      </c>
      <c r="I3742">
        <v>1593161762</v>
      </c>
      <c r="J3742">
        <v>1234776533</v>
      </c>
      <c r="K3742">
        <v>1248448104</v>
      </c>
      <c r="L3742">
        <v>1465086854</v>
      </c>
      <c r="M3742">
        <v>1507130322</v>
      </c>
      <c r="N3742">
        <v>1418466944</v>
      </c>
      <c r="O3742">
        <v>1094844309</v>
      </c>
      <c r="P3742">
        <v>80</v>
      </c>
      <c r="Q3742" t="s">
        <v>7833</v>
      </c>
    </row>
    <row r="3743" spans="1:17" x14ac:dyDescent="0.3">
      <c r="A3743" t="s">
        <v>47</v>
      </c>
      <c r="B3743" t="str">
        <f>"003006"</f>
        <v>003006</v>
      </c>
      <c r="C3743" t="s">
        <v>7834</v>
      </c>
      <c r="D3743" t="s">
        <v>2299</v>
      </c>
      <c r="E3743">
        <v>1644192571</v>
      </c>
      <c r="F3743">
        <v>1549096344</v>
      </c>
      <c r="P3743">
        <v>172</v>
      </c>
      <c r="Q3743" t="s">
        <v>7835</v>
      </c>
    </row>
    <row r="3744" spans="1:17" x14ac:dyDescent="0.3">
      <c r="A3744" t="s">
        <v>17</v>
      </c>
      <c r="B3744" t="str">
        <f>"688228"</f>
        <v>688228</v>
      </c>
      <c r="C3744" t="s">
        <v>7836</v>
      </c>
      <c r="D3744" t="s">
        <v>700</v>
      </c>
      <c r="E3744">
        <v>1643466280</v>
      </c>
      <c r="F3744">
        <v>1277525703</v>
      </c>
      <c r="G3744">
        <v>1278785162</v>
      </c>
      <c r="P3744">
        <v>93</v>
      </c>
      <c r="Q3744" t="s">
        <v>7837</v>
      </c>
    </row>
    <row r="3745" spans="1:17" x14ac:dyDescent="0.3">
      <c r="A3745" t="s">
        <v>47</v>
      </c>
      <c r="B3745" t="str">
        <f>"301092"</f>
        <v>301092</v>
      </c>
      <c r="C3745" t="s">
        <v>7838</v>
      </c>
      <c r="D3745" t="s">
        <v>2290</v>
      </c>
      <c r="E3745">
        <v>1641454194</v>
      </c>
      <c r="G3745">
        <v>401275805</v>
      </c>
      <c r="P3745">
        <v>22</v>
      </c>
      <c r="Q3745" t="s">
        <v>7839</v>
      </c>
    </row>
    <row r="3746" spans="1:17" x14ac:dyDescent="0.3">
      <c r="A3746" t="s">
        <v>47</v>
      </c>
      <c r="B3746" t="str">
        <f>"300562"</f>
        <v>300562</v>
      </c>
      <c r="C3746" t="s">
        <v>7840</v>
      </c>
      <c r="D3746" t="s">
        <v>1083</v>
      </c>
      <c r="E3746">
        <v>1636175442</v>
      </c>
      <c r="F3746">
        <v>1737889524</v>
      </c>
      <c r="G3746">
        <v>936646559</v>
      </c>
      <c r="H3746">
        <v>847143263</v>
      </c>
      <c r="I3746">
        <v>780773302</v>
      </c>
      <c r="J3746">
        <v>655261205</v>
      </c>
      <c r="P3746">
        <v>155</v>
      </c>
      <c r="Q3746" t="s">
        <v>7841</v>
      </c>
    </row>
    <row r="3747" spans="1:17" x14ac:dyDescent="0.3">
      <c r="A3747" t="s">
        <v>47</v>
      </c>
      <c r="B3747" t="str">
        <f>"000565"</f>
        <v>000565</v>
      </c>
      <c r="C3747" t="s">
        <v>7842</v>
      </c>
      <c r="D3747" t="s">
        <v>5419</v>
      </c>
      <c r="E3747">
        <v>1635103163</v>
      </c>
      <c r="F3747">
        <v>1591669486</v>
      </c>
      <c r="G3747">
        <v>1473574984</v>
      </c>
      <c r="H3747">
        <v>1502393154</v>
      </c>
      <c r="I3747">
        <v>1480004597</v>
      </c>
      <c r="J3747">
        <v>1591032718</v>
      </c>
      <c r="K3747">
        <v>1228539854</v>
      </c>
      <c r="L3747">
        <v>924418088</v>
      </c>
      <c r="M3747">
        <v>905529409</v>
      </c>
      <c r="N3747">
        <v>988646447</v>
      </c>
      <c r="O3747">
        <v>1080788970</v>
      </c>
      <c r="P3747">
        <v>79</v>
      </c>
      <c r="Q3747" t="s">
        <v>7843</v>
      </c>
    </row>
    <row r="3748" spans="1:17" x14ac:dyDescent="0.3">
      <c r="A3748" t="s">
        <v>47</v>
      </c>
      <c r="B3748" t="str">
        <f>"002513"</f>
        <v>002513</v>
      </c>
      <c r="C3748" t="s">
        <v>7844</v>
      </c>
      <c r="D3748" t="s">
        <v>819</v>
      </c>
      <c r="E3748">
        <v>1634390461</v>
      </c>
      <c r="F3748">
        <v>2297229128</v>
      </c>
      <c r="G3748">
        <v>2620776553</v>
      </c>
      <c r="H3748">
        <v>3233162881</v>
      </c>
      <c r="I3748">
        <v>4198490837</v>
      </c>
      <c r="J3748">
        <v>4080864381</v>
      </c>
      <c r="K3748">
        <v>4144799303</v>
      </c>
      <c r="L3748">
        <v>2636928258</v>
      </c>
      <c r="M3748">
        <v>2625477210</v>
      </c>
      <c r="N3748">
        <v>2490500752</v>
      </c>
      <c r="O3748">
        <v>1718462197</v>
      </c>
      <c r="P3748">
        <v>46</v>
      </c>
      <c r="Q3748" t="s">
        <v>7845</v>
      </c>
    </row>
    <row r="3749" spans="1:17" x14ac:dyDescent="0.3">
      <c r="A3749" t="s">
        <v>17</v>
      </c>
      <c r="B3749" t="str">
        <f>"688580"</f>
        <v>688580</v>
      </c>
      <c r="C3749" t="s">
        <v>7846</v>
      </c>
      <c r="D3749" t="s">
        <v>1083</v>
      </c>
      <c r="E3749">
        <v>1633238658</v>
      </c>
      <c r="F3749">
        <v>1548283277</v>
      </c>
      <c r="G3749">
        <v>370914548</v>
      </c>
      <c r="P3749">
        <v>246</v>
      </c>
      <c r="Q3749" t="s">
        <v>7847</v>
      </c>
    </row>
    <row r="3750" spans="1:17" x14ac:dyDescent="0.3">
      <c r="A3750" t="s">
        <v>47</v>
      </c>
      <c r="B3750" t="str">
        <f>"002801"</f>
        <v>002801</v>
      </c>
      <c r="C3750" t="s">
        <v>7848</v>
      </c>
      <c r="D3750" t="s">
        <v>1594</v>
      </c>
      <c r="E3750">
        <v>1628729150</v>
      </c>
      <c r="F3750">
        <v>1393916769</v>
      </c>
      <c r="G3750">
        <v>1254306883</v>
      </c>
      <c r="H3750">
        <v>1152250432</v>
      </c>
      <c r="I3750">
        <v>976597396</v>
      </c>
      <c r="J3750">
        <v>869202106</v>
      </c>
      <c r="K3750">
        <v>517803624</v>
      </c>
      <c r="P3750">
        <v>201</v>
      </c>
      <c r="Q3750" t="s">
        <v>7849</v>
      </c>
    </row>
    <row r="3751" spans="1:17" x14ac:dyDescent="0.3">
      <c r="A3751" t="s">
        <v>47</v>
      </c>
      <c r="B3751" t="str">
        <f>"002799"</f>
        <v>002799</v>
      </c>
      <c r="C3751" t="s">
        <v>7850</v>
      </c>
      <c r="D3751" t="s">
        <v>1842</v>
      </c>
      <c r="E3751">
        <v>1627394738</v>
      </c>
      <c r="F3751">
        <v>1546659920</v>
      </c>
      <c r="G3751">
        <v>1482468237</v>
      </c>
      <c r="H3751">
        <v>1012364962</v>
      </c>
      <c r="I3751">
        <v>789493081</v>
      </c>
      <c r="J3751">
        <v>677033804</v>
      </c>
      <c r="K3751">
        <v>596883165</v>
      </c>
      <c r="P3751">
        <v>109</v>
      </c>
      <c r="Q3751" t="s">
        <v>7851</v>
      </c>
    </row>
    <row r="3752" spans="1:17" x14ac:dyDescent="0.3">
      <c r="A3752" t="s">
        <v>47</v>
      </c>
      <c r="B3752" t="str">
        <f>"300667"</f>
        <v>300667</v>
      </c>
      <c r="C3752" t="s">
        <v>7852</v>
      </c>
      <c r="D3752" t="s">
        <v>3722</v>
      </c>
      <c r="E3752">
        <v>1626027908</v>
      </c>
      <c r="F3752">
        <v>1596632752</v>
      </c>
      <c r="G3752">
        <v>1393553723</v>
      </c>
      <c r="H3752">
        <v>498204126</v>
      </c>
      <c r="I3752">
        <v>449086123</v>
      </c>
      <c r="J3752">
        <v>216382563</v>
      </c>
      <c r="P3752">
        <v>144</v>
      </c>
      <c r="Q3752" t="s">
        <v>7853</v>
      </c>
    </row>
    <row r="3753" spans="1:17" x14ac:dyDescent="0.3">
      <c r="A3753" t="s">
        <v>17</v>
      </c>
      <c r="B3753" t="str">
        <f>"688466"</f>
        <v>688466</v>
      </c>
      <c r="C3753" t="s">
        <v>7854</v>
      </c>
      <c r="D3753" t="s">
        <v>520</v>
      </c>
      <c r="E3753">
        <v>1623722349</v>
      </c>
      <c r="F3753">
        <v>1399890904</v>
      </c>
      <c r="G3753">
        <v>658182831</v>
      </c>
      <c r="P3753">
        <v>60</v>
      </c>
      <c r="Q3753" t="s">
        <v>7855</v>
      </c>
    </row>
    <row r="3754" spans="1:17" x14ac:dyDescent="0.3">
      <c r="A3754" t="s">
        <v>47</v>
      </c>
      <c r="B3754" t="str">
        <f>"003031"</f>
        <v>003031</v>
      </c>
      <c r="C3754" t="s">
        <v>7856</v>
      </c>
      <c r="D3754" t="s">
        <v>962</v>
      </c>
      <c r="E3754">
        <v>1622864927</v>
      </c>
      <c r="F3754">
        <v>1473264977</v>
      </c>
      <c r="H3754">
        <v>718953144</v>
      </c>
      <c r="P3754">
        <v>87</v>
      </c>
      <c r="Q3754" t="s">
        <v>7857</v>
      </c>
    </row>
    <row r="3755" spans="1:17" x14ac:dyDescent="0.3">
      <c r="A3755" t="s">
        <v>17</v>
      </c>
      <c r="B3755" t="str">
        <f>"603058"</f>
        <v>603058</v>
      </c>
      <c r="C3755" t="s">
        <v>7858</v>
      </c>
      <c r="D3755" t="s">
        <v>1842</v>
      </c>
      <c r="E3755">
        <v>1622271771</v>
      </c>
      <c r="F3755">
        <v>1483539161</v>
      </c>
      <c r="G3755">
        <v>1303124809</v>
      </c>
      <c r="H3755">
        <v>1051701682</v>
      </c>
      <c r="I3755">
        <v>996528788</v>
      </c>
      <c r="J3755">
        <v>858506590</v>
      </c>
      <c r="P3755">
        <v>121</v>
      </c>
      <c r="Q3755" t="s">
        <v>7859</v>
      </c>
    </row>
    <row r="3756" spans="1:17" x14ac:dyDescent="0.3">
      <c r="A3756" t="s">
        <v>17</v>
      </c>
      <c r="B3756" t="str">
        <f>"603918"</f>
        <v>603918</v>
      </c>
      <c r="C3756" t="s">
        <v>7860</v>
      </c>
      <c r="D3756" t="s">
        <v>700</v>
      </c>
      <c r="E3756">
        <v>1619599363</v>
      </c>
      <c r="F3756">
        <v>1649813176</v>
      </c>
      <c r="G3756">
        <v>1191771479</v>
      </c>
      <c r="H3756">
        <v>1096179650</v>
      </c>
      <c r="I3756">
        <v>903426463</v>
      </c>
      <c r="J3756">
        <v>742698979</v>
      </c>
      <c r="K3756">
        <v>689124468</v>
      </c>
      <c r="L3756">
        <v>539583000</v>
      </c>
      <c r="P3756">
        <v>142</v>
      </c>
      <c r="Q3756" t="s">
        <v>7861</v>
      </c>
    </row>
    <row r="3757" spans="1:17" x14ac:dyDescent="0.3">
      <c r="A3757" t="s">
        <v>47</v>
      </c>
      <c r="B3757" t="str">
        <f>"002760"</f>
        <v>002760</v>
      </c>
      <c r="C3757" t="s">
        <v>7862</v>
      </c>
      <c r="D3757" t="s">
        <v>2646</v>
      </c>
      <c r="E3757">
        <v>1618566124</v>
      </c>
      <c r="F3757">
        <v>1363880530</v>
      </c>
      <c r="G3757">
        <v>1276654984</v>
      </c>
      <c r="H3757">
        <v>892466901</v>
      </c>
      <c r="I3757">
        <v>899717760</v>
      </c>
      <c r="J3757">
        <v>1035290993</v>
      </c>
      <c r="K3757">
        <v>1015476662</v>
      </c>
      <c r="L3757">
        <v>922225000</v>
      </c>
      <c r="P3757">
        <v>72</v>
      </c>
      <c r="Q3757" t="s">
        <v>7863</v>
      </c>
    </row>
    <row r="3758" spans="1:17" x14ac:dyDescent="0.3">
      <c r="A3758" t="s">
        <v>17</v>
      </c>
      <c r="B3758" t="str">
        <f>"688313"</f>
        <v>688313</v>
      </c>
      <c r="C3758" t="s">
        <v>7864</v>
      </c>
      <c r="D3758" t="s">
        <v>367</v>
      </c>
      <c r="E3758">
        <v>1615180040</v>
      </c>
      <c r="F3758">
        <v>1516084690</v>
      </c>
      <c r="G3758">
        <v>994402378</v>
      </c>
      <c r="P3758">
        <v>50</v>
      </c>
      <c r="Q3758" t="s">
        <v>7865</v>
      </c>
    </row>
    <row r="3759" spans="1:17" x14ac:dyDescent="0.3">
      <c r="A3759" t="s">
        <v>47</v>
      </c>
      <c r="B3759" t="str">
        <f>"000554"</f>
        <v>000554</v>
      </c>
      <c r="C3759" t="s">
        <v>7866</v>
      </c>
      <c r="D3759" t="s">
        <v>731</v>
      </c>
      <c r="E3759">
        <v>1615115639</v>
      </c>
      <c r="F3759">
        <v>1379151245</v>
      </c>
      <c r="G3759">
        <v>1472981032</v>
      </c>
      <c r="H3759">
        <v>1476209227</v>
      </c>
      <c r="I3759">
        <v>1197104072</v>
      </c>
      <c r="J3759">
        <v>1103459774</v>
      </c>
      <c r="K3759">
        <v>1041186766</v>
      </c>
      <c r="L3759">
        <v>1118368974</v>
      </c>
      <c r="M3759">
        <v>1131355923</v>
      </c>
      <c r="N3759">
        <v>953950154</v>
      </c>
      <c r="O3759">
        <v>936010612</v>
      </c>
      <c r="P3759">
        <v>112</v>
      </c>
      <c r="Q3759" t="s">
        <v>7867</v>
      </c>
    </row>
    <row r="3760" spans="1:17" x14ac:dyDescent="0.3">
      <c r="A3760" t="s">
        <v>47</v>
      </c>
      <c r="B3760" t="str">
        <f>"002337"</f>
        <v>002337</v>
      </c>
      <c r="C3760" t="s">
        <v>7868</v>
      </c>
      <c r="D3760" t="s">
        <v>1973</v>
      </c>
      <c r="E3760">
        <v>1614639845</v>
      </c>
      <c r="F3760">
        <v>1573203015</v>
      </c>
      <c r="G3760">
        <v>1589266571</v>
      </c>
      <c r="H3760">
        <v>1543934340</v>
      </c>
      <c r="I3760">
        <v>1621576136</v>
      </c>
      <c r="J3760">
        <v>1780603067</v>
      </c>
      <c r="K3760">
        <v>1642728624</v>
      </c>
      <c r="L3760">
        <v>1782882131</v>
      </c>
      <c r="M3760">
        <v>1854498960</v>
      </c>
      <c r="N3760">
        <v>1649233388</v>
      </c>
      <c r="O3760">
        <v>1633174276</v>
      </c>
      <c r="P3760">
        <v>92</v>
      </c>
      <c r="Q3760" t="s">
        <v>7869</v>
      </c>
    </row>
    <row r="3761" spans="1:17" x14ac:dyDescent="0.3">
      <c r="A3761" t="s">
        <v>17</v>
      </c>
      <c r="B3761" t="str">
        <f>"688098"</f>
        <v>688098</v>
      </c>
      <c r="C3761" t="s">
        <v>7870</v>
      </c>
      <c r="D3761" t="s">
        <v>3286</v>
      </c>
      <c r="E3761">
        <v>1614325906</v>
      </c>
      <c r="F3761">
        <v>1531087711</v>
      </c>
      <c r="G3761">
        <v>1485807195</v>
      </c>
      <c r="H3761">
        <v>1006521200</v>
      </c>
      <c r="P3761">
        <v>73</v>
      </c>
      <c r="Q3761" t="s">
        <v>7871</v>
      </c>
    </row>
    <row r="3762" spans="1:17" x14ac:dyDescent="0.3">
      <c r="A3762" t="s">
        <v>17</v>
      </c>
      <c r="B3762" t="str">
        <f>"603332"</f>
        <v>603332</v>
      </c>
      <c r="C3762" t="s">
        <v>7872</v>
      </c>
      <c r="D3762" t="s">
        <v>970</v>
      </c>
      <c r="E3762">
        <v>1611624353</v>
      </c>
      <c r="F3762">
        <v>1479583350</v>
      </c>
      <c r="G3762">
        <v>1478598447</v>
      </c>
      <c r="H3762">
        <v>1462282360</v>
      </c>
      <c r="J3762">
        <v>720538780</v>
      </c>
      <c r="P3762">
        <v>59</v>
      </c>
      <c r="Q3762" t="s">
        <v>7873</v>
      </c>
    </row>
    <row r="3763" spans="1:17" x14ac:dyDescent="0.3">
      <c r="A3763" t="s">
        <v>47</v>
      </c>
      <c r="B3763" t="str">
        <f>"002290"</f>
        <v>002290</v>
      </c>
      <c r="C3763" t="s">
        <v>7874</v>
      </c>
      <c r="D3763" t="s">
        <v>1511</v>
      </c>
      <c r="E3763">
        <v>1610436324</v>
      </c>
      <c r="F3763">
        <v>1549883008</v>
      </c>
      <c r="G3763">
        <v>1475203339</v>
      </c>
      <c r="H3763">
        <v>3332492501</v>
      </c>
      <c r="I3763">
        <v>3080920385</v>
      </c>
      <c r="J3763">
        <v>2218318197</v>
      </c>
      <c r="K3763">
        <v>1449788552</v>
      </c>
      <c r="L3763">
        <v>1368969470</v>
      </c>
      <c r="M3763">
        <v>1580207892</v>
      </c>
      <c r="N3763">
        <v>1360973388</v>
      </c>
      <c r="O3763">
        <v>1414947811</v>
      </c>
      <c r="P3763">
        <v>80</v>
      </c>
      <c r="Q3763" t="s">
        <v>7875</v>
      </c>
    </row>
    <row r="3764" spans="1:17" x14ac:dyDescent="0.3">
      <c r="A3764" t="s">
        <v>47</v>
      </c>
      <c r="B3764" t="str">
        <f>"002095"</f>
        <v>002095</v>
      </c>
      <c r="C3764" t="s">
        <v>7876</v>
      </c>
      <c r="D3764" t="s">
        <v>4377</v>
      </c>
      <c r="E3764">
        <v>1609379950</v>
      </c>
      <c r="F3764">
        <v>1599949046</v>
      </c>
      <c r="G3764">
        <v>1617822508</v>
      </c>
      <c r="H3764">
        <v>1531164173</v>
      </c>
      <c r="I3764">
        <v>1395872909</v>
      </c>
      <c r="J3764">
        <v>1206903423</v>
      </c>
      <c r="K3764">
        <v>598706532</v>
      </c>
      <c r="L3764">
        <v>590918081</v>
      </c>
      <c r="M3764">
        <v>599577994</v>
      </c>
      <c r="N3764">
        <v>575520919</v>
      </c>
      <c r="O3764">
        <v>542344134</v>
      </c>
      <c r="P3764">
        <v>97</v>
      </c>
      <c r="Q3764" t="s">
        <v>7877</v>
      </c>
    </row>
    <row r="3765" spans="1:17" x14ac:dyDescent="0.3">
      <c r="A3765" t="s">
        <v>47</v>
      </c>
      <c r="B3765" t="str">
        <f>"002849"</f>
        <v>002849</v>
      </c>
      <c r="C3765" t="s">
        <v>7878</v>
      </c>
      <c r="D3765" t="s">
        <v>3722</v>
      </c>
      <c r="E3765">
        <v>1607567995</v>
      </c>
      <c r="F3765">
        <v>1738943988</v>
      </c>
      <c r="G3765">
        <v>1622883679</v>
      </c>
      <c r="H3765">
        <v>1214460945</v>
      </c>
      <c r="I3765">
        <v>834551399</v>
      </c>
      <c r="J3765">
        <v>678550966</v>
      </c>
      <c r="P3765">
        <v>177</v>
      </c>
      <c r="Q3765" t="s">
        <v>7879</v>
      </c>
    </row>
    <row r="3766" spans="1:17" x14ac:dyDescent="0.3">
      <c r="A3766" t="s">
        <v>47</v>
      </c>
      <c r="B3766" t="str">
        <f>"301131"</f>
        <v>301131</v>
      </c>
      <c r="C3766" t="s">
        <v>7880</v>
      </c>
      <c r="E3766">
        <v>1607408259</v>
      </c>
      <c r="G3766">
        <v>792039869</v>
      </c>
      <c r="P3766">
        <v>4</v>
      </c>
      <c r="Q3766" t="s">
        <v>7881</v>
      </c>
    </row>
    <row r="3767" spans="1:17" x14ac:dyDescent="0.3">
      <c r="A3767" t="s">
        <v>17</v>
      </c>
      <c r="B3767" t="str">
        <f>"600712"</f>
        <v>600712</v>
      </c>
      <c r="C3767" t="s">
        <v>7882</v>
      </c>
      <c r="D3767" t="s">
        <v>1073</v>
      </c>
      <c r="E3767">
        <v>1607100175</v>
      </c>
      <c r="F3767">
        <v>1747418585</v>
      </c>
      <c r="G3767">
        <v>1807366174</v>
      </c>
      <c r="H3767">
        <v>2027501649</v>
      </c>
      <c r="I3767">
        <v>2234706629</v>
      </c>
      <c r="J3767">
        <v>2030522481</v>
      </c>
      <c r="K3767">
        <v>2118390125</v>
      </c>
      <c r="L3767">
        <v>2018917356</v>
      </c>
      <c r="M3767">
        <v>1982918091</v>
      </c>
      <c r="N3767">
        <v>2013436451</v>
      </c>
      <c r="O3767">
        <v>1777037029</v>
      </c>
      <c r="P3767">
        <v>87</v>
      </c>
      <c r="Q3767" t="s">
        <v>7883</v>
      </c>
    </row>
    <row r="3768" spans="1:17" x14ac:dyDescent="0.3">
      <c r="A3768" t="s">
        <v>47</v>
      </c>
      <c r="B3768" t="str">
        <f>"002618"</f>
        <v>002618</v>
      </c>
      <c r="C3768" t="s">
        <v>7884</v>
      </c>
      <c r="D3768" t="s">
        <v>1115</v>
      </c>
      <c r="E3768">
        <v>1606365486</v>
      </c>
      <c r="F3768">
        <v>1720535145</v>
      </c>
      <c r="G3768">
        <v>2512699335</v>
      </c>
      <c r="H3768">
        <v>2454369178</v>
      </c>
      <c r="I3768">
        <v>2511602433</v>
      </c>
      <c r="J3768">
        <v>2551237246</v>
      </c>
      <c r="K3768">
        <v>2362998372</v>
      </c>
      <c r="L3768">
        <v>2294141520</v>
      </c>
      <c r="M3768">
        <v>2050204251</v>
      </c>
      <c r="N3768">
        <v>1650102175</v>
      </c>
      <c r="O3768">
        <v>1100520135</v>
      </c>
      <c r="P3768">
        <v>135</v>
      </c>
      <c r="Q3768" t="s">
        <v>7885</v>
      </c>
    </row>
    <row r="3769" spans="1:17" x14ac:dyDescent="0.3">
      <c r="A3769" t="s">
        <v>47</v>
      </c>
      <c r="B3769" t="str">
        <f>"300107"</f>
        <v>300107</v>
      </c>
      <c r="C3769" t="s">
        <v>7886</v>
      </c>
      <c r="D3769" t="s">
        <v>703</v>
      </c>
      <c r="E3769">
        <v>1604678072</v>
      </c>
      <c r="F3769">
        <v>1624695411</v>
      </c>
      <c r="G3769">
        <v>1899485646</v>
      </c>
      <c r="H3769">
        <v>1849026455</v>
      </c>
      <c r="I3769">
        <v>1208650243</v>
      </c>
      <c r="J3769">
        <v>978454685</v>
      </c>
      <c r="K3769">
        <v>956151290</v>
      </c>
      <c r="L3769">
        <v>937864499</v>
      </c>
      <c r="M3769">
        <v>873237090</v>
      </c>
      <c r="N3769">
        <v>805861155</v>
      </c>
      <c r="O3769">
        <v>805026204</v>
      </c>
      <c r="P3769">
        <v>239</v>
      </c>
      <c r="Q3769" t="s">
        <v>7887</v>
      </c>
    </row>
    <row r="3770" spans="1:17" x14ac:dyDescent="0.3">
      <c r="A3770" t="s">
        <v>17</v>
      </c>
      <c r="B3770" t="str">
        <f>"603496"</f>
        <v>603496</v>
      </c>
      <c r="C3770" t="s">
        <v>7888</v>
      </c>
      <c r="D3770" t="s">
        <v>765</v>
      </c>
      <c r="E3770">
        <v>1604064055</v>
      </c>
      <c r="F3770">
        <v>1160934019</v>
      </c>
      <c r="G3770">
        <v>931427313</v>
      </c>
      <c r="H3770">
        <v>953405981</v>
      </c>
      <c r="I3770">
        <v>761858950</v>
      </c>
      <c r="J3770">
        <v>366343829</v>
      </c>
      <c r="P3770">
        <v>194</v>
      </c>
      <c r="Q3770" t="s">
        <v>7889</v>
      </c>
    </row>
    <row r="3771" spans="1:17" x14ac:dyDescent="0.3">
      <c r="A3771" t="s">
        <v>47</v>
      </c>
      <c r="B3771" t="str">
        <f>"300909"</f>
        <v>300909</v>
      </c>
      <c r="C3771" t="s">
        <v>7890</v>
      </c>
      <c r="D3771" t="s">
        <v>181</v>
      </c>
      <c r="E3771">
        <v>1603206918</v>
      </c>
      <c r="F3771">
        <v>1387093346</v>
      </c>
      <c r="P3771">
        <v>65</v>
      </c>
      <c r="Q3771" t="s">
        <v>7891</v>
      </c>
    </row>
    <row r="3772" spans="1:17" x14ac:dyDescent="0.3">
      <c r="A3772" t="s">
        <v>17</v>
      </c>
      <c r="B3772" t="str">
        <f>"600838"</f>
        <v>600838</v>
      </c>
      <c r="C3772" t="s">
        <v>7892</v>
      </c>
      <c r="D3772" t="s">
        <v>780</v>
      </c>
      <c r="E3772">
        <v>1602041065</v>
      </c>
      <c r="F3772">
        <v>1471635760</v>
      </c>
      <c r="G3772">
        <v>1408623427</v>
      </c>
      <c r="H3772">
        <v>1431920932</v>
      </c>
      <c r="I3772">
        <v>1380457892</v>
      </c>
      <c r="J3772">
        <v>1424060927</v>
      </c>
      <c r="K3772">
        <v>1478207900</v>
      </c>
      <c r="L3772">
        <v>1002571579</v>
      </c>
      <c r="M3772">
        <v>1040597940</v>
      </c>
      <c r="N3772">
        <v>1089820743</v>
      </c>
      <c r="O3772">
        <v>1008587005</v>
      </c>
      <c r="P3772">
        <v>79</v>
      </c>
      <c r="Q3772" t="s">
        <v>7893</v>
      </c>
    </row>
    <row r="3773" spans="1:17" x14ac:dyDescent="0.3">
      <c r="A3773" t="s">
        <v>17</v>
      </c>
      <c r="B3773" t="str">
        <f>"603536"</f>
        <v>603536</v>
      </c>
      <c r="C3773" t="s">
        <v>7894</v>
      </c>
      <c r="D3773" t="s">
        <v>2224</v>
      </c>
      <c r="E3773">
        <v>1601642885</v>
      </c>
      <c r="F3773">
        <v>1450129145</v>
      </c>
      <c r="G3773">
        <v>1255419825</v>
      </c>
      <c r="H3773">
        <v>1082147918</v>
      </c>
      <c r="I3773">
        <v>1034396099</v>
      </c>
      <c r="P3773">
        <v>125</v>
      </c>
      <c r="Q3773" t="s">
        <v>7895</v>
      </c>
    </row>
    <row r="3774" spans="1:17" x14ac:dyDescent="0.3">
      <c r="A3774" t="s">
        <v>17</v>
      </c>
      <c r="B3774" t="str">
        <f>"688218"</f>
        <v>688218</v>
      </c>
      <c r="C3774" t="s">
        <v>7896</v>
      </c>
      <c r="D3774" t="s">
        <v>2592</v>
      </c>
      <c r="E3774">
        <v>1600765753</v>
      </c>
      <c r="F3774">
        <v>1314774634</v>
      </c>
      <c r="G3774">
        <v>1263000119</v>
      </c>
      <c r="H3774">
        <v>763805593</v>
      </c>
      <c r="I3774">
        <v>642506329</v>
      </c>
      <c r="P3774">
        <v>47</v>
      </c>
      <c r="Q3774" t="s">
        <v>7897</v>
      </c>
    </row>
    <row r="3775" spans="1:17" x14ac:dyDescent="0.3">
      <c r="A3775" t="s">
        <v>17</v>
      </c>
      <c r="B3775" t="str">
        <f>"605488"</f>
        <v>605488</v>
      </c>
      <c r="C3775" t="s">
        <v>7898</v>
      </c>
      <c r="D3775" t="s">
        <v>3077</v>
      </c>
      <c r="E3775">
        <v>1597332184</v>
      </c>
      <c r="F3775">
        <v>894796766</v>
      </c>
      <c r="P3775">
        <v>28</v>
      </c>
      <c r="Q3775" t="s">
        <v>7899</v>
      </c>
    </row>
    <row r="3776" spans="1:17" x14ac:dyDescent="0.3">
      <c r="A3776" t="s">
        <v>47</v>
      </c>
      <c r="B3776" t="str">
        <f>"300448"</f>
        <v>300448</v>
      </c>
      <c r="C3776" t="s">
        <v>7900</v>
      </c>
      <c r="D3776" t="s">
        <v>700</v>
      </c>
      <c r="E3776">
        <v>1597151659</v>
      </c>
      <c r="F3776">
        <v>1700910605</v>
      </c>
      <c r="G3776">
        <v>1725585619</v>
      </c>
      <c r="H3776">
        <v>1586977538</v>
      </c>
      <c r="I3776">
        <v>1345444350</v>
      </c>
      <c r="J3776">
        <v>874257564</v>
      </c>
      <c r="K3776">
        <v>650159164</v>
      </c>
      <c r="L3776">
        <v>311077159</v>
      </c>
      <c r="P3776">
        <v>157</v>
      </c>
      <c r="Q3776" t="s">
        <v>7901</v>
      </c>
    </row>
    <row r="3777" spans="1:17" x14ac:dyDescent="0.3">
      <c r="A3777" t="s">
        <v>47</v>
      </c>
      <c r="B3777" t="str">
        <f>"300356"</f>
        <v>300356</v>
      </c>
      <c r="C3777" t="s">
        <v>7902</v>
      </c>
      <c r="D3777" t="s">
        <v>2197</v>
      </c>
      <c r="E3777">
        <v>1596441576</v>
      </c>
      <c r="F3777">
        <v>1842567907</v>
      </c>
      <c r="G3777">
        <v>1817105068</v>
      </c>
      <c r="H3777">
        <v>1774980742</v>
      </c>
      <c r="I3777">
        <v>1753372120</v>
      </c>
      <c r="J3777">
        <v>2149273751</v>
      </c>
      <c r="K3777">
        <v>2211355906</v>
      </c>
      <c r="L3777">
        <v>1858488169</v>
      </c>
      <c r="M3777">
        <v>962280444</v>
      </c>
      <c r="N3777">
        <v>754353621</v>
      </c>
      <c r="P3777">
        <v>67</v>
      </c>
      <c r="Q3777" t="s">
        <v>7903</v>
      </c>
    </row>
    <row r="3778" spans="1:17" x14ac:dyDescent="0.3">
      <c r="A3778" t="s">
        <v>47</v>
      </c>
      <c r="B3778" t="str">
        <f>"002827"</f>
        <v>002827</v>
      </c>
      <c r="C3778" t="s">
        <v>7904</v>
      </c>
      <c r="D3778" t="s">
        <v>1995</v>
      </c>
      <c r="E3778">
        <v>1595352647</v>
      </c>
      <c r="F3778">
        <v>1493546069</v>
      </c>
      <c r="G3778">
        <v>1190012704</v>
      </c>
      <c r="H3778">
        <v>958236988</v>
      </c>
      <c r="I3778">
        <v>889039980</v>
      </c>
      <c r="J3778">
        <v>900284994</v>
      </c>
      <c r="P3778">
        <v>89</v>
      </c>
      <c r="Q3778" t="s">
        <v>7905</v>
      </c>
    </row>
    <row r="3779" spans="1:17" x14ac:dyDescent="0.3">
      <c r="A3779" t="s">
        <v>47</v>
      </c>
      <c r="B3779" t="str">
        <f>"002942"</f>
        <v>002942</v>
      </c>
      <c r="C3779" t="s">
        <v>7906</v>
      </c>
      <c r="D3779" t="s">
        <v>819</v>
      </c>
      <c r="E3779">
        <v>1594120139</v>
      </c>
      <c r="F3779">
        <v>1379854721</v>
      </c>
      <c r="G3779">
        <v>1286702422</v>
      </c>
      <c r="H3779">
        <v>1160357064</v>
      </c>
      <c r="I3779">
        <v>703840981</v>
      </c>
      <c r="P3779">
        <v>414</v>
      </c>
      <c r="Q3779" t="s">
        <v>7907</v>
      </c>
    </row>
    <row r="3780" spans="1:17" x14ac:dyDescent="0.3">
      <c r="A3780" t="s">
        <v>17</v>
      </c>
      <c r="B3780" t="str">
        <f>"603663"</f>
        <v>603663</v>
      </c>
      <c r="C3780" t="s">
        <v>7908</v>
      </c>
      <c r="D3780" t="s">
        <v>1930</v>
      </c>
      <c r="E3780">
        <v>1594007270</v>
      </c>
      <c r="F3780">
        <v>1417549095</v>
      </c>
      <c r="G3780">
        <v>1214439625</v>
      </c>
      <c r="H3780">
        <v>933517448</v>
      </c>
      <c r="I3780">
        <v>617789066</v>
      </c>
      <c r="J3780">
        <v>492259821</v>
      </c>
      <c r="K3780">
        <v>302479775</v>
      </c>
      <c r="P3780">
        <v>143</v>
      </c>
      <c r="Q3780" t="s">
        <v>7909</v>
      </c>
    </row>
    <row r="3781" spans="1:17" x14ac:dyDescent="0.3">
      <c r="A3781" t="s">
        <v>47</v>
      </c>
      <c r="B3781" t="str">
        <f>"002861"</f>
        <v>002861</v>
      </c>
      <c r="C3781" t="s">
        <v>7910</v>
      </c>
      <c r="D3781" t="s">
        <v>283</v>
      </c>
      <c r="E3781">
        <v>1593811170</v>
      </c>
      <c r="F3781">
        <v>1720878823</v>
      </c>
      <c r="G3781">
        <v>1370354950</v>
      </c>
      <c r="H3781">
        <v>1391230303</v>
      </c>
      <c r="I3781">
        <v>1179964743</v>
      </c>
      <c r="J3781">
        <v>694315686</v>
      </c>
      <c r="P3781">
        <v>155</v>
      </c>
      <c r="Q3781" t="s">
        <v>7911</v>
      </c>
    </row>
    <row r="3782" spans="1:17" x14ac:dyDescent="0.3">
      <c r="A3782" t="s">
        <v>47</v>
      </c>
      <c r="B3782" t="str">
        <f>"301063"</f>
        <v>301063</v>
      </c>
      <c r="C3782" t="s">
        <v>7912</v>
      </c>
      <c r="D3782" t="s">
        <v>401</v>
      </c>
      <c r="E3782">
        <v>1592671667</v>
      </c>
      <c r="G3782">
        <v>915603255</v>
      </c>
      <c r="P3782">
        <v>17</v>
      </c>
      <c r="Q3782" t="s">
        <v>7913</v>
      </c>
    </row>
    <row r="3783" spans="1:17" x14ac:dyDescent="0.3">
      <c r="A3783" t="s">
        <v>17</v>
      </c>
      <c r="B3783" t="str">
        <f>"603336"</f>
        <v>603336</v>
      </c>
      <c r="C3783" t="s">
        <v>7914</v>
      </c>
      <c r="D3783" t="s">
        <v>1780</v>
      </c>
      <c r="E3783">
        <v>1591252263</v>
      </c>
      <c r="F3783">
        <v>1542435355</v>
      </c>
      <c r="G3783">
        <v>1468500626</v>
      </c>
      <c r="H3783">
        <v>954208517</v>
      </c>
      <c r="I3783">
        <v>821871772</v>
      </c>
      <c r="J3783">
        <v>792126878</v>
      </c>
      <c r="P3783">
        <v>179</v>
      </c>
      <c r="Q3783" t="s">
        <v>7915</v>
      </c>
    </row>
    <row r="3784" spans="1:17" x14ac:dyDescent="0.3">
      <c r="A3784" t="s">
        <v>47</v>
      </c>
      <c r="B3784" t="str">
        <f>"301101"</f>
        <v>301101</v>
      </c>
      <c r="C3784" t="s">
        <v>7916</v>
      </c>
      <c r="D3784" t="s">
        <v>2631</v>
      </c>
      <c r="E3784">
        <v>1590760669</v>
      </c>
      <c r="P3784">
        <v>19</v>
      </c>
      <c r="Q3784" t="s">
        <v>7917</v>
      </c>
    </row>
    <row r="3785" spans="1:17" x14ac:dyDescent="0.3">
      <c r="A3785" t="s">
        <v>17</v>
      </c>
      <c r="B3785" t="str">
        <f>"603059"</f>
        <v>603059</v>
      </c>
      <c r="C3785" t="s">
        <v>7918</v>
      </c>
      <c r="D3785" t="s">
        <v>6339</v>
      </c>
      <c r="E3785">
        <v>1590702612</v>
      </c>
      <c r="F3785">
        <v>1511365611</v>
      </c>
      <c r="G3785">
        <v>1200482200</v>
      </c>
      <c r="H3785">
        <v>1102062411</v>
      </c>
      <c r="I3785">
        <v>1034015411</v>
      </c>
      <c r="P3785">
        <v>99</v>
      </c>
      <c r="Q3785" t="s">
        <v>7919</v>
      </c>
    </row>
    <row r="3786" spans="1:17" x14ac:dyDescent="0.3">
      <c r="A3786" t="s">
        <v>47</v>
      </c>
      <c r="B3786" t="str">
        <f>"002873"</f>
        <v>002873</v>
      </c>
      <c r="C3786" t="s">
        <v>7920</v>
      </c>
      <c r="D3786" t="s">
        <v>695</v>
      </c>
      <c r="E3786">
        <v>1588465962</v>
      </c>
      <c r="F3786">
        <v>1525743416</v>
      </c>
      <c r="G3786">
        <v>1239994714</v>
      </c>
      <c r="H3786">
        <v>977057400</v>
      </c>
      <c r="I3786">
        <v>914718606</v>
      </c>
      <c r="J3786">
        <v>545845082</v>
      </c>
      <c r="P3786">
        <v>166</v>
      </c>
      <c r="Q3786" t="s">
        <v>7921</v>
      </c>
    </row>
    <row r="3787" spans="1:17" x14ac:dyDescent="0.3">
      <c r="A3787" t="s">
        <v>47</v>
      </c>
      <c r="B3787" t="str">
        <f>"300875"</f>
        <v>300875</v>
      </c>
      <c r="C3787" t="s">
        <v>7922</v>
      </c>
      <c r="D3787" t="s">
        <v>1344</v>
      </c>
      <c r="E3787">
        <v>1588003189</v>
      </c>
      <c r="F3787">
        <v>1430636083</v>
      </c>
      <c r="I3787">
        <v>99638200</v>
      </c>
      <c r="P3787">
        <v>106</v>
      </c>
      <c r="Q3787" t="s">
        <v>7923</v>
      </c>
    </row>
    <row r="3788" spans="1:17" x14ac:dyDescent="0.3">
      <c r="A3788" t="s">
        <v>17</v>
      </c>
      <c r="B3788" t="str">
        <f>"603048"</f>
        <v>603048</v>
      </c>
      <c r="C3788" t="s">
        <v>7924</v>
      </c>
      <c r="D3788" t="s">
        <v>1815</v>
      </c>
      <c r="E3788">
        <v>1587696961</v>
      </c>
      <c r="P3788">
        <v>16</v>
      </c>
      <c r="Q3788" t="s">
        <v>7925</v>
      </c>
    </row>
    <row r="3789" spans="1:17" x14ac:dyDescent="0.3">
      <c r="A3789" t="s">
        <v>17</v>
      </c>
      <c r="B3789" t="str">
        <f>"688456"</f>
        <v>688456</v>
      </c>
      <c r="C3789" t="s">
        <v>7926</v>
      </c>
      <c r="D3789" t="s">
        <v>301</v>
      </c>
      <c r="E3789">
        <v>1583934418</v>
      </c>
      <c r="F3789">
        <v>1328671747</v>
      </c>
      <c r="P3789">
        <v>28</v>
      </c>
      <c r="Q3789" t="s">
        <v>7927</v>
      </c>
    </row>
    <row r="3790" spans="1:17" x14ac:dyDescent="0.3">
      <c r="A3790" t="s">
        <v>47</v>
      </c>
      <c r="B3790" t="str">
        <f>"002192"</f>
        <v>002192</v>
      </c>
      <c r="C3790" t="s">
        <v>7928</v>
      </c>
      <c r="D3790" t="s">
        <v>1490</v>
      </c>
      <c r="E3790">
        <v>1583030652</v>
      </c>
      <c r="F3790">
        <v>1011247475</v>
      </c>
      <c r="G3790">
        <v>834065145</v>
      </c>
      <c r="H3790">
        <v>1095025150</v>
      </c>
      <c r="I3790">
        <v>1079955264</v>
      </c>
      <c r="J3790">
        <v>911982224</v>
      </c>
      <c r="K3790">
        <v>967742815</v>
      </c>
      <c r="L3790">
        <v>870485777</v>
      </c>
      <c r="M3790">
        <v>1218739527</v>
      </c>
      <c r="N3790">
        <v>1229680736</v>
      </c>
      <c r="O3790">
        <v>1275976751</v>
      </c>
      <c r="P3790">
        <v>230</v>
      </c>
      <c r="Q3790" t="s">
        <v>7929</v>
      </c>
    </row>
    <row r="3791" spans="1:17" x14ac:dyDescent="0.3">
      <c r="A3791" t="s">
        <v>47</v>
      </c>
      <c r="B3791" t="str">
        <f>"300915"</f>
        <v>300915</v>
      </c>
      <c r="C3791" t="s">
        <v>7930</v>
      </c>
      <c r="D3791" t="s">
        <v>487</v>
      </c>
      <c r="E3791">
        <v>1580910538</v>
      </c>
      <c r="F3791">
        <v>1460875479</v>
      </c>
      <c r="P3791">
        <v>101</v>
      </c>
      <c r="Q3791" t="s">
        <v>7931</v>
      </c>
    </row>
    <row r="3792" spans="1:17" x14ac:dyDescent="0.3">
      <c r="A3792" t="s">
        <v>17</v>
      </c>
      <c r="B3792" t="str">
        <f>"600860"</f>
        <v>600860</v>
      </c>
      <c r="C3792" t="s">
        <v>7932</v>
      </c>
      <c r="D3792" t="s">
        <v>401</v>
      </c>
      <c r="E3792">
        <v>1580028001</v>
      </c>
      <c r="F3792">
        <v>1656361236</v>
      </c>
      <c r="G3792">
        <v>1646520604</v>
      </c>
      <c r="H3792">
        <v>1755699726</v>
      </c>
      <c r="I3792">
        <v>1935148969</v>
      </c>
      <c r="J3792">
        <v>1849850082</v>
      </c>
      <c r="K3792">
        <v>1989807729</v>
      </c>
      <c r="L3792">
        <v>2432303668</v>
      </c>
      <c r="M3792">
        <v>2708255837</v>
      </c>
      <c r="N3792">
        <v>1453648451</v>
      </c>
      <c r="O3792">
        <v>1493954316</v>
      </c>
      <c r="P3792">
        <v>108</v>
      </c>
      <c r="Q3792" t="s">
        <v>7933</v>
      </c>
    </row>
    <row r="3793" spans="1:17" x14ac:dyDescent="0.3">
      <c r="A3793" t="s">
        <v>47</v>
      </c>
      <c r="B3793" t="str">
        <f>"300551"</f>
        <v>300551</v>
      </c>
      <c r="C3793" t="s">
        <v>7934</v>
      </c>
      <c r="D3793" t="s">
        <v>765</v>
      </c>
      <c r="E3793">
        <v>1578835134</v>
      </c>
      <c r="F3793">
        <v>792634228</v>
      </c>
      <c r="G3793">
        <v>792959665</v>
      </c>
      <c r="H3793">
        <v>733162482</v>
      </c>
      <c r="I3793">
        <v>657813214</v>
      </c>
      <c r="J3793">
        <v>659679899</v>
      </c>
      <c r="P3793">
        <v>89</v>
      </c>
      <c r="Q3793" t="s">
        <v>7935</v>
      </c>
    </row>
    <row r="3794" spans="1:17" x14ac:dyDescent="0.3">
      <c r="A3794" t="s">
        <v>47</v>
      </c>
      <c r="B3794" t="str">
        <f>"002515"</f>
        <v>002515</v>
      </c>
      <c r="C3794" t="s">
        <v>7936</v>
      </c>
      <c r="D3794" t="s">
        <v>1078</v>
      </c>
      <c r="E3794">
        <v>1578648937</v>
      </c>
      <c r="F3794">
        <v>1547274376</v>
      </c>
      <c r="G3794">
        <v>1704541265</v>
      </c>
      <c r="H3794">
        <v>1432173864</v>
      </c>
      <c r="I3794">
        <v>2128649001</v>
      </c>
      <c r="J3794">
        <v>2067473611</v>
      </c>
      <c r="K3794">
        <v>1447294321</v>
      </c>
      <c r="L3794">
        <v>1491669207</v>
      </c>
      <c r="M3794">
        <v>1173339040</v>
      </c>
      <c r="N3794">
        <v>1130208974</v>
      </c>
      <c r="O3794">
        <v>905365179</v>
      </c>
      <c r="P3794">
        <v>296</v>
      </c>
      <c r="Q3794" t="s">
        <v>7937</v>
      </c>
    </row>
    <row r="3795" spans="1:17" x14ac:dyDescent="0.3">
      <c r="A3795" t="s">
        <v>17</v>
      </c>
      <c r="B3795" t="str">
        <f>"688418"</f>
        <v>688418</v>
      </c>
      <c r="C3795" t="s">
        <v>7938</v>
      </c>
      <c r="D3795" t="s">
        <v>4914</v>
      </c>
      <c r="E3795">
        <v>1578022386</v>
      </c>
      <c r="F3795">
        <v>1474398985</v>
      </c>
      <c r="G3795">
        <v>740280471</v>
      </c>
      <c r="P3795">
        <v>40</v>
      </c>
      <c r="Q3795" t="s">
        <v>7939</v>
      </c>
    </row>
    <row r="3796" spans="1:17" x14ac:dyDescent="0.3">
      <c r="A3796" t="s">
        <v>17</v>
      </c>
      <c r="B3796" t="str">
        <f>"603121"</f>
        <v>603121</v>
      </c>
      <c r="C3796" t="s">
        <v>7940</v>
      </c>
      <c r="D3796" t="s">
        <v>274</v>
      </c>
      <c r="E3796">
        <v>1577060066</v>
      </c>
      <c r="F3796">
        <v>1672184338</v>
      </c>
      <c r="G3796">
        <v>1382577981</v>
      </c>
      <c r="H3796">
        <v>1228305034</v>
      </c>
      <c r="P3796">
        <v>77</v>
      </c>
      <c r="Q3796" t="s">
        <v>7941</v>
      </c>
    </row>
    <row r="3797" spans="1:17" x14ac:dyDescent="0.3">
      <c r="A3797" t="s">
        <v>47</v>
      </c>
      <c r="B3797" t="str">
        <f>"002995"</f>
        <v>002995</v>
      </c>
      <c r="C3797" t="s">
        <v>7942</v>
      </c>
      <c r="D3797" t="s">
        <v>1824</v>
      </c>
      <c r="E3797">
        <v>1572447541</v>
      </c>
      <c r="F3797">
        <v>1684578807</v>
      </c>
      <c r="G3797">
        <v>814093335</v>
      </c>
      <c r="P3797">
        <v>74</v>
      </c>
      <c r="Q3797" t="s">
        <v>7943</v>
      </c>
    </row>
    <row r="3798" spans="1:17" x14ac:dyDescent="0.3">
      <c r="A3798" t="s">
        <v>47</v>
      </c>
      <c r="B3798" t="str">
        <f>"300716"</f>
        <v>300716</v>
      </c>
      <c r="C3798" t="s">
        <v>7944</v>
      </c>
      <c r="D3798" t="s">
        <v>833</v>
      </c>
      <c r="E3798">
        <v>1571154640</v>
      </c>
      <c r="F3798">
        <v>2198518411</v>
      </c>
      <c r="G3798">
        <v>2017129169</v>
      </c>
      <c r="H3798">
        <v>1570686677</v>
      </c>
      <c r="I3798">
        <v>1147715262</v>
      </c>
      <c r="P3798">
        <v>59</v>
      </c>
      <c r="Q3798" t="s">
        <v>7945</v>
      </c>
    </row>
    <row r="3799" spans="1:17" x14ac:dyDescent="0.3">
      <c r="A3799" t="s">
        <v>17</v>
      </c>
      <c r="B3799" t="str">
        <f>"603602"</f>
        <v>603602</v>
      </c>
      <c r="C3799" t="s">
        <v>7946</v>
      </c>
      <c r="D3799" t="s">
        <v>2804</v>
      </c>
      <c r="E3799">
        <v>1569890884</v>
      </c>
      <c r="F3799">
        <v>1483314990</v>
      </c>
      <c r="G3799">
        <v>1108865165</v>
      </c>
      <c r="H3799">
        <v>1145158703</v>
      </c>
      <c r="I3799">
        <v>948908928</v>
      </c>
      <c r="P3799">
        <v>193</v>
      </c>
      <c r="Q3799" t="s">
        <v>7947</v>
      </c>
    </row>
    <row r="3800" spans="1:17" x14ac:dyDescent="0.3">
      <c r="A3800" t="s">
        <v>47</v>
      </c>
      <c r="B3800" t="str">
        <f>"002796"</f>
        <v>002796</v>
      </c>
      <c r="C3800" t="s">
        <v>7948</v>
      </c>
      <c r="D3800" t="s">
        <v>1092</v>
      </c>
      <c r="E3800">
        <v>1569745737</v>
      </c>
      <c r="F3800">
        <v>2369115448</v>
      </c>
      <c r="G3800">
        <v>2270869617</v>
      </c>
      <c r="H3800">
        <v>2129126781</v>
      </c>
      <c r="I3800">
        <v>1889303916</v>
      </c>
      <c r="J3800">
        <v>633531316</v>
      </c>
      <c r="K3800">
        <v>348437626</v>
      </c>
      <c r="P3800">
        <v>248</v>
      </c>
      <c r="Q3800" t="s">
        <v>7949</v>
      </c>
    </row>
    <row r="3801" spans="1:17" x14ac:dyDescent="0.3">
      <c r="A3801" t="s">
        <v>17</v>
      </c>
      <c r="B3801" t="str">
        <f>"603383"</f>
        <v>603383</v>
      </c>
      <c r="C3801" t="s">
        <v>7950</v>
      </c>
      <c r="D3801" t="s">
        <v>1859</v>
      </c>
      <c r="E3801">
        <v>1569289148</v>
      </c>
      <c r="F3801">
        <v>1437486653</v>
      </c>
      <c r="G3801">
        <v>1289450146</v>
      </c>
      <c r="H3801">
        <v>1201449682</v>
      </c>
      <c r="I3801">
        <v>1139528777</v>
      </c>
      <c r="J3801">
        <v>620883100</v>
      </c>
      <c r="P3801">
        <v>190</v>
      </c>
      <c r="Q3801" t="s">
        <v>7951</v>
      </c>
    </row>
    <row r="3802" spans="1:17" x14ac:dyDescent="0.3">
      <c r="A3802" t="s">
        <v>47</v>
      </c>
      <c r="B3802" t="str">
        <f>"300334"</f>
        <v>300334</v>
      </c>
      <c r="C3802" t="s">
        <v>7952</v>
      </c>
      <c r="D3802" t="s">
        <v>520</v>
      </c>
      <c r="E3802">
        <v>1568728463</v>
      </c>
      <c r="F3802">
        <v>1879526071</v>
      </c>
      <c r="G3802">
        <v>1992124955</v>
      </c>
      <c r="H3802">
        <v>2812099464</v>
      </c>
      <c r="I3802">
        <v>2830822267</v>
      </c>
      <c r="J3802">
        <v>2452269449</v>
      </c>
      <c r="K3802">
        <v>1946827641</v>
      </c>
      <c r="L3802">
        <v>1291169356</v>
      </c>
      <c r="M3802">
        <v>1058568180</v>
      </c>
      <c r="N3802">
        <v>859209733</v>
      </c>
      <c r="O3802">
        <v>311272201</v>
      </c>
      <c r="P3802">
        <v>80</v>
      </c>
      <c r="Q3802" t="s">
        <v>7953</v>
      </c>
    </row>
    <row r="3803" spans="1:17" x14ac:dyDescent="0.3">
      <c r="A3803" t="s">
        <v>47</v>
      </c>
      <c r="B3803" t="str">
        <f>"002881"</f>
        <v>002881</v>
      </c>
      <c r="C3803" t="s">
        <v>7954</v>
      </c>
      <c r="D3803" t="s">
        <v>283</v>
      </c>
      <c r="E3803">
        <v>1563805949</v>
      </c>
      <c r="F3803">
        <v>996055376</v>
      </c>
      <c r="G3803">
        <v>764675415</v>
      </c>
      <c r="H3803">
        <v>794668868</v>
      </c>
      <c r="I3803">
        <v>811973727</v>
      </c>
      <c r="J3803">
        <v>489515672</v>
      </c>
      <c r="P3803">
        <v>240</v>
      </c>
      <c r="Q3803" t="s">
        <v>7955</v>
      </c>
    </row>
    <row r="3804" spans="1:17" x14ac:dyDescent="0.3">
      <c r="A3804" t="s">
        <v>47</v>
      </c>
      <c r="B3804" t="str">
        <f>"002778"</f>
        <v>002778</v>
      </c>
      <c r="C3804" t="s">
        <v>7956</v>
      </c>
      <c r="D3804" t="s">
        <v>615</v>
      </c>
      <c r="E3804">
        <v>1562762317</v>
      </c>
      <c r="F3804">
        <v>1560769650</v>
      </c>
      <c r="G3804">
        <v>766588598</v>
      </c>
      <c r="H3804">
        <v>789804722</v>
      </c>
      <c r="I3804">
        <v>765812412</v>
      </c>
      <c r="J3804">
        <v>718698508</v>
      </c>
      <c r="K3804">
        <v>703597148</v>
      </c>
      <c r="L3804">
        <v>593058179</v>
      </c>
      <c r="P3804">
        <v>75</v>
      </c>
      <c r="Q3804" t="s">
        <v>7957</v>
      </c>
    </row>
    <row r="3805" spans="1:17" x14ac:dyDescent="0.3">
      <c r="A3805" t="s">
        <v>47</v>
      </c>
      <c r="B3805" t="str">
        <f>"002370"</f>
        <v>002370</v>
      </c>
      <c r="C3805" t="s">
        <v>7958</v>
      </c>
      <c r="D3805" t="s">
        <v>550</v>
      </c>
      <c r="E3805">
        <v>1561545912</v>
      </c>
      <c r="F3805">
        <v>1946644012</v>
      </c>
      <c r="G3805">
        <v>2262774706</v>
      </c>
      <c r="H3805">
        <v>3583514759</v>
      </c>
      <c r="I3805">
        <v>2970623123</v>
      </c>
      <c r="J3805">
        <v>2544899364</v>
      </c>
      <c r="K3805">
        <v>1954089365</v>
      </c>
      <c r="L3805">
        <v>897194565</v>
      </c>
      <c r="M3805">
        <v>782083562</v>
      </c>
      <c r="N3805">
        <v>775610547</v>
      </c>
      <c r="O3805">
        <v>851384904</v>
      </c>
      <c r="P3805">
        <v>201</v>
      </c>
      <c r="Q3805" t="s">
        <v>7959</v>
      </c>
    </row>
    <row r="3806" spans="1:17" x14ac:dyDescent="0.3">
      <c r="A3806" t="s">
        <v>47</v>
      </c>
      <c r="B3806" t="str">
        <f>"001212"</f>
        <v>001212</v>
      </c>
      <c r="C3806" t="s">
        <v>7960</v>
      </c>
      <c r="D3806" t="s">
        <v>1418</v>
      </c>
      <c r="E3806">
        <v>1561327340</v>
      </c>
      <c r="F3806">
        <v>774154933</v>
      </c>
      <c r="P3806">
        <v>19</v>
      </c>
      <c r="Q3806" t="s">
        <v>7961</v>
      </c>
    </row>
    <row r="3807" spans="1:17" x14ac:dyDescent="0.3">
      <c r="A3807" t="s">
        <v>47</v>
      </c>
      <c r="B3807" t="str">
        <f>"301028"</f>
        <v>301028</v>
      </c>
      <c r="C3807" t="s">
        <v>7962</v>
      </c>
      <c r="D3807" t="s">
        <v>1433</v>
      </c>
      <c r="E3807">
        <v>1560823281</v>
      </c>
      <c r="F3807">
        <v>945430637</v>
      </c>
      <c r="G3807">
        <v>719192617</v>
      </c>
      <c r="P3807">
        <v>53</v>
      </c>
      <c r="Q3807" t="s">
        <v>7963</v>
      </c>
    </row>
    <row r="3808" spans="1:17" x14ac:dyDescent="0.3">
      <c r="A3808" t="s">
        <v>47</v>
      </c>
      <c r="B3808" t="str">
        <f>"301010"</f>
        <v>301010</v>
      </c>
      <c r="C3808" t="s">
        <v>7964</v>
      </c>
      <c r="D3808" t="s">
        <v>1418</v>
      </c>
      <c r="E3808">
        <v>1560623040</v>
      </c>
      <c r="F3808">
        <v>1090554059</v>
      </c>
      <c r="P3808">
        <v>33</v>
      </c>
      <c r="Q3808" t="s">
        <v>7965</v>
      </c>
    </row>
    <row r="3809" spans="1:17" x14ac:dyDescent="0.3">
      <c r="A3809" t="s">
        <v>47</v>
      </c>
      <c r="B3809" t="str">
        <f>"301110"</f>
        <v>301110</v>
      </c>
      <c r="C3809" t="s">
        <v>7966</v>
      </c>
      <c r="E3809">
        <v>1557250051</v>
      </c>
      <c r="P3809">
        <v>9</v>
      </c>
      <c r="Q3809" t="s">
        <v>7967</v>
      </c>
    </row>
    <row r="3810" spans="1:17" x14ac:dyDescent="0.3">
      <c r="A3810" t="s">
        <v>47</v>
      </c>
      <c r="B3810" t="str">
        <f>"300050"</f>
        <v>300050</v>
      </c>
      <c r="C3810" t="s">
        <v>7968</v>
      </c>
      <c r="D3810" t="s">
        <v>2804</v>
      </c>
      <c r="E3810">
        <v>1554521898</v>
      </c>
      <c r="F3810">
        <v>2979512628</v>
      </c>
      <c r="G3810">
        <v>3222982110</v>
      </c>
      <c r="H3810">
        <v>3660594084</v>
      </c>
      <c r="I3810">
        <v>3463887661</v>
      </c>
      <c r="J3810">
        <v>2515259789</v>
      </c>
      <c r="K3810">
        <v>2418416125</v>
      </c>
      <c r="L3810">
        <v>2200959641</v>
      </c>
      <c r="M3810">
        <v>1514977813</v>
      </c>
      <c r="N3810">
        <v>1626293743</v>
      </c>
      <c r="O3810">
        <v>1677233091</v>
      </c>
      <c r="P3810">
        <v>164</v>
      </c>
      <c r="Q3810" t="s">
        <v>7969</v>
      </c>
    </row>
    <row r="3811" spans="1:17" x14ac:dyDescent="0.3">
      <c r="A3811" t="s">
        <v>17</v>
      </c>
      <c r="B3811" t="str">
        <f>"603676"</f>
        <v>603676</v>
      </c>
      <c r="C3811" t="s">
        <v>7970</v>
      </c>
      <c r="D3811" t="s">
        <v>550</v>
      </c>
      <c r="E3811">
        <v>1554367465</v>
      </c>
      <c r="F3811">
        <v>1386068512</v>
      </c>
      <c r="G3811">
        <v>1290655146</v>
      </c>
      <c r="H3811">
        <v>1324709466</v>
      </c>
      <c r="I3811">
        <v>1093738405</v>
      </c>
      <c r="J3811">
        <v>553831100</v>
      </c>
      <c r="P3811">
        <v>108</v>
      </c>
      <c r="Q3811" t="s">
        <v>7971</v>
      </c>
    </row>
    <row r="3812" spans="1:17" x14ac:dyDescent="0.3">
      <c r="A3812" t="s">
        <v>17</v>
      </c>
      <c r="B3812" t="str">
        <f>"688379"</f>
        <v>688379</v>
      </c>
      <c r="C3812" t="s">
        <v>7972</v>
      </c>
      <c r="D3812" t="s">
        <v>401</v>
      </c>
      <c r="E3812">
        <v>1554332140</v>
      </c>
      <c r="F3812">
        <v>1278835814</v>
      </c>
      <c r="G3812">
        <v>729124148</v>
      </c>
      <c r="P3812">
        <v>36</v>
      </c>
      <c r="Q3812" t="s">
        <v>7973</v>
      </c>
    </row>
    <row r="3813" spans="1:17" x14ac:dyDescent="0.3">
      <c r="A3813" t="s">
        <v>47</v>
      </c>
      <c r="B3813" t="str">
        <f>"300202"</f>
        <v>300202</v>
      </c>
      <c r="C3813" t="s">
        <v>7974</v>
      </c>
      <c r="D3813" t="s">
        <v>765</v>
      </c>
      <c r="E3813">
        <v>1554206366</v>
      </c>
      <c r="F3813">
        <v>2331945919</v>
      </c>
      <c r="G3813">
        <v>2216912419</v>
      </c>
      <c r="H3813">
        <v>2359272678</v>
      </c>
      <c r="I3813">
        <v>2547372663</v>
      </c>
      <c r="J3813">
        <v>2604400778</v>
      </c>
      <c r="K3813">
        <v>1821093248</v>
      </c>
      <c r="L3813">
        <v>1585809647</v>
      </c>
      <c r="M3813">
        <v>1171436429</v>
      </c>
      <c r="N3813">
        <v>914607588</v>
      </c>
      <c r="O3813">
        <v>702471276</v>
      </c>
      <c r="P3813">
        <v>2978</v>
      </c>
      <c r="Q3813" t="s">
        <v>7975</v>
      </c>
    </row>
    <row r="3814" spans="1:17" x14ac:dyDescent="0.3">
      <c r="A3814" t="s">
        <v>47</v>
      </c>
      <c r="B3814" t="str">
        <f>"300895"</f>
        <v>300895</v>
      </c>
      <c r="C3814" t="s">
        <v>7976</v>
      </c>
      <c r="D3814" t="s">
        <v>700</v>
      </c>
      <c r="E3814">
        <v>1552049301</v>
      </c>
      <c r="F3814">
        <v>1383339805</v>
      </c>
      <c r="P3814">
        <v>48</v>
      </c>
      <c r="Q3814" t="s">
        <v>7977</v>
      </c>
    </row>
    <row r="3815" spans="1:17" x14ac:dyDescent="0.3">
      <c r="A3815" t="s">
        <v>47</v>
      </c>
      <c r="B3815" t="str">
        <f>"300085"</f>
        <v>300085</v>
      </c>
      <c r="C3815" t="s">
        <v>7978</v>
      </c>
      <c r="D3815" t="s">
        <v>1859</v>
      </c>
      <c r="E3815">
        <v>1548376696</v>
      </c>
      <c r="F3815">
        <v>2007463881</v>
      </c>
      <c r="G3815">
        <v>2164962144</v>
      </c>
      <c r="H3815">
        <v>2164634772</v>
      </c>
      <c r="I3815">
        <v>2204249810</v>
      </c>
      <c r="J3815">
        <v>1445586532</v>
      </c>
      <c r="K3815">
        <v>1190504974</v>
      </c>
      <c r="L3815">
        <v>977346123</v>
      </c>
      <c r="M3815">
        <v>535312808</v>
      </c>
      <c r="N3815">
        <v>532175012</v>
      </c>
      <c r="O3815">
        <v>529458433</v>
      </c>
      <c r="P3815">
        <v>255</v>
      </c>
      <c r="Q3815" t="s">
        <v>7979</v>
      </c>
    </row>
    <row r="3816" spans="1:17" x14ac:dyDescent="0.3">
      <c r="A3816" t="s">
        <v>47</v>
      </c>
      <c r="B3816" t="str">
        <f>"300881"</f>
        <v>300881</v>
      </c>
      <c r="C3816" t="s">
        <v>7980</v>
      </c>
      <c r="D3816" t="s">
        <v>555</v>
      </c>
      <c r="E3816">
        <v>1547734582</v>
      </c>
      <c r="F3816">
        <v>1243602748</v>
      </c>
      <c r="P3816">
        <v>31</v>
      </c>
      <c r="Q3816" t="s">
        <v>7981</v>
      </c>
    </row>
    <row r="3817" spans="1:17" x14ac:dyDescent="0.3">
      <c r="A3817" t="s">
        <v>47</v>
      </c>
      <c r="B3817" t="str">
        <f>"301188"</f>
        <v>301188</v>
      </c>
      <c r="C3817" t="s">
        <v>7982</v>
      </c>
      <c r="D3817" t="s">
        <v>2016</v>
      </c>
      <c r="E3817">
        <v>1547107758</v>
      </c>
      <c r="P3817">
        <v>18</v>
      </c>
      <c r="Q3817" t="s">
        <v>7983</v>
      </c>
    </row>
    <row r="3818" spans="1:17" x14ac:dyDescent="0.3">
      <c r="A3818" t="s">
        <v>47</v>
      </c>
      <c r="B3818" t="str">
        <f>"002795"</f>
        <v>002795</v>
      </c>
      <c r="C3818" t="s">
        <v>7984</v>
      </c>
      <c r="D3818" t="s">
        <v>401</v>
      </c>
      <c r="E3818">
        <v>1541440427</v>
      </c>
      <c r="F3818">
        <v>1258335757</v>
      </c>
      <c r="G3818">
        <v>793193826</v>
      </c>
      <c r="H3818">
        <v>725873036</v>
      </c>
      <c r="I3818">
        <v>718991470</v>
      </c>
      <c r="J3818">
        <v>697465314</v>
      </c>
      <c r="K3818">
        <v>421628546</v>
      </c>
      <c r="P3818">
        <v>73</v>
      </c>
      <c r="Q3818" t="s">
        <v>7985</v>
      </c>
    </row>
    <row r="3819" spans="1:17" x14ac:dyDescent="0.3">
      <c r="A3819" t="s">
        <v>17</v>
      </c>
      <c r="B3819" t="str">
        <f>"603168"</f>
        <v>603168</v>
      </c>
      <c r="C3819" t="s">
        <v>7986</v>
      </c>
      <c r="D3819" t="s">
        <v>550</v>
      </c>
      <c r="E3819">
        <v>1540916954</v>
      </c>
      <c r="F3819">
        <v>1663726722</v>
      </c>
      <c r="G3819">
        <v>1559474015</v>
      </c>
      <c r="H3819">
        <v>1642608779</v>
      </c>
      <c r="I3819">
        <v>1878521415</v>
      </c>
      <c r="J3819">
        <v>1832893914</v>
      </c>
      <c r="K3819">
        <v>1368303829</v>
      </c>
      <c r="L3819">
        <v>918888711</v>
      </c>
      <c r="M3819">
        <v>628871900</v>
      </c>
      <c r="P3819">
        <v>528</v>
      </c>
      <c r="Q3819" t="s">
        <v>7987</v>
      </c>
    </row>
    <row r="3820" spans="1:17" x14ac:dyDescent="0.3">
      <c r="A3820" t="s">
        <v>17</v>
      </c>
      <c r="B3820" t="str">
        <f>"688639"</f>
        <v>688639</v>
      </c>
      <c r="C3820" t="s">
        <v>7988</v>
      </c>
      <c r="D3820" t="s">
        <v>1699</v>
      </c>
      <c r="E3820">
        <v>1539643839</v>
      </c>
      <c r="F3820">
        <v>810149974</v>
      </c>
      <c r="P3820">
        <v>58</v>
      </c>
      <c r="Q3820" t="s">
        <v>7989</v>
      </c>
    </row>
    <row r="3821" spans="1:17" x14ac:dyDescent="0.3">
      <c r="A3821" t="s">
        <v>47</v>
      </c>
      <c r="B3821" t="str">
        <f>"002830"</f>
        <v>002830</v>
      </c>
      <c r="C3821" t="s">
        <v>7990</v>
      </c>
      <c r="D3821" t="s">
        <v>1163</v>
      </c>
      <c r="E3821">
        <v>1539333171</v>
      </c>
      <c r="F3821">
        <v>1445835081</v>
      </c>
      <c r="G3821">
        <v>1201641500</v>
      </c>
      <c r="H3821">
        <v>1146323728</v>
      </c>
      <c r="I3821">
        <v>1057137551</v>
      </c>
      <c r="J3821">
        <v>908698559</v>
      </c>
      <c r="P3821">
        <v>78</v>
      </c>
      <c r="Q3821" t="s">
        <v>7991</v>
      </c>
    </row>
    <row r="3822" spans="1:17" x14ac:dyDescent="0.3">
      <c r="A3822" t="s">
        <v>47</v>
      </c>
      <c r="B3822" t="str">
        <f>"300812"</f>
        <v>300812</v>
      </c>
      <c r="C3822" t="s">
        <v>7992</v>
      </c>
      <c r="D3822" t="s">
        <v>1252</v>
      </c>
      <c r="E3822">
        <v>1538243117</v>
      </c>
      <c r="F3822">
        <v>1296274411</v>
      </c>
      <c r="G3822">
        <v>1090654667</v>
      </c>
      <c r="P3822">
        <v>111</v>
      </c>
      <c r="Q3822" t="s">
        <v>7993</v>
      </c>
    </row>
    <row r="3823" spans="1:17" x14ac:dyDescent="0.3">
      <c r="A3823" t="s">
        <v>17</v>
      </c>
      <c r="B3823" t="str">
        <f>"600228"</f>
        <v>600228</v>
      </c>
      <c r="C3823" t="s">
        <v>7994</v>
      </c>
      <c r="D3823" t="s">
        <v>4377</v>
      </c>
      <c r="E3823">
        <v>1537093205</v>
      </c>
      <c r="F3823">
        <v>1058666684</v>
      </c>
      <c r="G3823">
        <v>259497082</v>
      </c>
      <c r="H3823">
        <v>283486075</v>
      </c>
      <c r="I3823">
        <v>305335647</v>
      </c>
      <c r="J3823">
        <v>470086012</v>
      </c>
      <c r="K3823">
        <v>527096561</v>
      </c>
      <c r="L3823">
        <v>638352773</v>
      </c>
      <c r="M3823">
        <v>715897486</v>
      </c>
      <c r="N3823">
        <v>845906738</v>
      </c>
      <c r="O3823">
        <v>900142674</v>
      </c>
      <c r="P3823">
        <v>68</v>
      </c>
      <c r="Q3823" t="s">
        <v>7995</v>
      </c>
    </row>
    <row r="3824" spans="1:17" x14ac:dyDescent="0.3">
      <c r="A3824" t="s">
        <v>47</v>
      </c>
      <c r="B3824" t="str">
        <f>"000670"</f>
        <v>000670</v>
      </c>
      <c r="C3824" t="s">
        <v>7996</v>
      </c>
      <c r="D3824" t="s">
        <v>967</v>
      </c>
      <c r="E3824">
        <v>1536513093</v>
      </c>
      <c r="F3824">
        <v>1317598861</v>
      </c>
      <c r="G3824">
        <v>52566112</v>
      </c>
      <c r="H3824">
        <v>218688387</v>
      </c>
      <c r="I3824">
        <v>421546275</v>
      </c>
      <c r="J3824">
        <v>793497537</v>
      </c>
      <c r="K3824">
        <v>796891263</v>
      </c>
      <c r="L3824">
        <v>772725307</v>
      </c>
      <c r="M3824">
        <v>397191764</v>
      </c>
      <c r="N3824">
        <v>313849067</v>
      </c>
      <c r="O3824">
        <v>294769300</v>
      </c>
      <c r="P3824">
        <v>116</v>
      </c>
      <c r="Q3824" t="s">
        <v>7997</v>
      </c>
    </row>
    <row r="3825" spans="1:17" x14ac:dyDescent="0.3">
      <c r="A3825" t="s">
        <v>17</v>
      </c>
      <c r="B3825" t="str">
        <f>"688138"</f>
        <v>688138</v>
      </c>
      <c r="C3825" t="s">
        <v>7998</v>
      </c>
      <c r="D3825" t="s">
        <v>567</v>
      </c>
      <c r="E3825">
        <v>1535760579</v>
      </c>
      <c r="F3825">
        <v>1508036742</v>
      </c>
      <c r="G3825">
        <v>1362668435</v>
      </c>
      <c r="P3825">
        <v>92</v>
      </c>
      <c r="Q3825" t="s">
        <v>7999</v>
      </c>
    </row>
    <row r="3826" spans="1:17" x14ac:dyDescent="0.3">
      <c r="A3826" t="s">
        <v>47</v>
      </c>
      <c r="B3826" t="str">
        <f>"300685"</f>
        <v>300685</v>
      </c>
      <c r="C3826" t="s">
        <v>8000</v>
      </c>
      <c r="D3826" t="s">
        <v>2322</v>
      </c>
      <c r="E3826">
        <v>1535133046</v>
      </c>
      <c r="F3826">
        <v>1346320457</v>
      </c>
      <c r="G3826">
        <v>1116983104</v>
      </c>
      <c r="H3826">
        <v>837093402</v>
      </c>
      <c r="I3826">
        <v>716288130</v>
      </c>
      <c r="P3826">
        <v>974</v>
      </c>
      <c r="Q3826" t="s">
        <v>8001</v>
      </c>
    </row>
    <row r="3827" spans="1:17" x14ac:dyDescent="0.3">
      <c r="A3827" t="s">
        <v>47</v>
      </c>
      <c r="B3827" t="str">
        <f>"300786"</f>
        <v>300786</v>
      </c>
      <c r="C3827" t="s">
        <v>8002</v>
      </c>
      <c r="D3827" t="s">
        <v>1347</v>
      </c>
      <c r="E3827">
        <v>1534530085</v>
      </c>
      <c r="F3827">
        <v>1155228462</v>
      </c>
      <c r="G3827">
        <v>950717096</v>
      </c>
      <c r="H3827">
        <v>614180658</v>
      </c>
      <c r="P3827">
        <v>95</v>
      </c>
      <c r="Q3827" t="s">
        <v>8003</v>
      </c>
    </row>
    <row r="3828" spans="1:17" x14ac:dyDescent="0.3">
      <c r="A3828" t="s">
        <v>47</v>
      </c>
      <c r="B3828" t="str">
        <f>"300749"</f>
        <v>300749</v>
      </c>
      <c r="C3828" t="s">
        <v>8004</v>
      </c>
      <c r="D3828" t="s">
        <v>1505</v>
      </c>
      <c r="E3828">
        <v>1534392743</v>
      </c>
      <c r="F3828">
        <v>1455963824</v>
      </c>
      <c r="G3828">
        <v>1118271704</v>
      </c>
      <c r="H3828">
        <v>993437071</v>
      </c>
      <c r="P3828">
        <v>97</v>
      </c>
      <c r="Q3828" t="s">
        <v>8005</v>
      </c>
    </row>
    <row r="3829" spans="1:17" x14ac:dyDescent="0.3">
      <c r="A3829" t="s">
        <v>47</v>
      </c>
      <c r="B3829" t="str">
        <f>"002983"</f>
        <v>002983</v>
      </c>
      <c r="C3829" t="s">
        <v>8006</v>
      </c>
      <c r="D3829" t="s">
        <v>862</v>
      </c>
      <c r="E3829">
        <v>1534018369</v>
      </c>
      <c r="F3829">
        <v>1437194110</v>
      </c>
      <c r="G3829">
        <v>792070619</v>
      </c>
      <c r="P3829">
        <v>109</v>
      </c>
      <c r="Q3829" t="s">
        <v>8007</v>
      </c>
    </row>
    <row r="3830" spans="1:17" x14ac:dyDescent="0.3">
      <c r="A3830" t="s">
        <v>47</v>
      </c>
      <c r="B3830" t="str">
        <f>"301077"</f>
        <v>301077</v>
      </c>
      <c r="C3830" t="s">
        <v>8008</v>
      </c>
      <c r="D3830" t="s">
        <v>710</v>
      </c>
      <c r="E3830">
        <v>1533592338</v>
      </c>
      <c r="P3830">
        <v>30</v>
      </c>
      <c r="Q3830" t="s">
        <v>8009</v>
      </c>
    </row>
    <row r="3831" spans="1:17" x14ac:dyDescent="0.3">
      <c r="A3831" t="s">
        <v>47</v>
      </c>
      <c r="B3831" t="str">
        <f>"300096"</f>
        <v>300096</v>
      </c>
      <c r="C3831" t="s">
        <v>8010</v>
      </c>
      <c r="D3831" t="s">
        <v>700</v>
      </c>
      <c r="E3831">
        <v>1532381086</v>
      </c>
      <c r="F3831">
        <v>1831066955</v>
      </c>
      <c r="G3831">
        <v>1613637990</v>
      </c>
      <c r="H3831">
        <v>1915622997</v>
      </c>
      <c r="I3831">
        <v>1862998129</v>
      </c>
      <c r="J3831">
        <v>1390556364</v>
      </c>
      <c r="K3831">
        <v>897913450</v>
      </c>
      <c r="L3831">
        <v>904848984</v>
      </c>
      <c r="M3831">
        <v>811125428</v>
      </c>
      <c r="N3831">
        <v>775054469</v>
      </c>
      <c r="O3831">
        <v>728129632</v>
      </c>
      <c r="P3831">
        <v>169</v>
      </c>
      <c r="Q3831" t="s">
        <v>8011</v>
      </c>
    </row>
    <row r="3832" spans="1:17" x14ac:dyDescent="0.3">
      <c r="A3832" t="s">
        <v>47</v>
      </c>
      <c r="B3832" t="str">
        <f>"300169"</f>
        <v>300169</v>
      </c>
      <c r="C3832" t="s">
        <v>8012</v>
      </c>
      <c r="D3832" t="s">
        <v>710</v>
      </c>
      <c r="E3832">
        <v>1531081041</v>
      </c>
      <c r="F3832">
        <v>1719354695</v>
      </c>
      <c r="G3832">
        <v>1786629552</v>
      </c>
      <c r="H3832">
        <v>2103916580</v>
      </c>
      <c r="I3832">
        <v>2091285461</v>
      </c>
      <c r="J3832">
        <v>1975718231</v>
      </c>
      <c r="K3832">
        <v>1873860541</v>
      </c>
      <c r="L3832">
        <v>1824896813</v>
      </c>
      <c r="M3832">
        <v>1595111940</v>
      </c>
      <c r="N3832">
        <v>1411181572</v>
      </c>
      <c r="O3832">
        <v>1313960905</v>
      </c>
      <c r="P3832">
        <v>68</v>
      </c>
      <c r="Q3832" t="s">
        <v>8013</v>
      </c>
    </row>
    <row r="3833" spans="1:17" x14ac:dyDescent="0.3">
      <c r="A3833" t="s">
        <v>47</v>
      </c>
      <c r="B3833" t="str">
        <f>"301097"</f>
        <v>301097</v>
      </c>
      <c r="C3833" t="s">
        <v>8014</v>
      </c>
      <c r="E3833">
        <v>1530805738</v>
      </c>
      <c r="P3833">
        <v>2</v>
      </c>
      <c r="Q3833" t="s">
        <v>8015</v>
      </c>
    </row>
    <row r="3834" spans="1:17" x14ac:dyDescent="0.3">
      <c r="A3834" t="s">
        <v>47</v>
      </c>
      <c r="B3834" t="str">
        <f>"300254"</f>
        <v>300254</v>
      </c>
      <c r="C3834" t="s">
        <v>8016</v>
      </c>
      <c r="D3834" t="s">
        <v>550</v>
      </c>
      <c r="E3834">
        <v>1530572088</v>
      </c>
      <c r="F3834">
        <v>1744408505</v>
      </c>
      <c r="G3834">
        <v>1895651033</v>
      </c>
      <c r="H3834">
        <v>1455251349</v>
      </c>
      <c r="I3834">
        <v>1479243585</v>
      </c>
      <c r="J3834">
        <v>1462222234</v>
      </c>
      <c r="K3834">
        <v>1342937523</v>
      </c>
      <c r="L3834">
        <v>1136741422</v>
      </c>
      <c r="M3834">
        <v>1069022264</v>
      </c>
      <c r="N3834">
        <v>783161268</v>
      </c>
      <c r="O3834">
        <v>716935300</v>
      </c>
      <c r="P3834">
        <v>82</v>
      </c>
      <c r="Q3834" t="s">
        <v>8017</v>
      </c>
    </row>
    <row r="3835" spans="1:17" x14ac:dyDescent="0.3">
      <c r="A3835" t="s">
        <v>17</v>
      </c>
      <c r="B3835" t="str">
        <f>"688021"</f>
        <v>688021</v>
      </c>
      <c r="C3835" t="s">
        <v>8018</v>
      </c>
      <c r="D3835" t="s">
        <v>1815</v>
      </c>
      <c r="E3835">
        <v>1529547247</v>
      </c>
      <c r="F3835">
        <v>1287722422</v>
      </c>
      <c r="G3835">
        <v>1126502532</v>
      </c>
      <c r="P3835">
        <v>79</v>
      </c>
      <c r="Q3835" t="s">
        <v>8019</v>
      </c>
    </row>
    <row r="3836" spans="1:17" x14ac:dyDescent="0.3">
      <c r="A3836" t="s">
        <v>17</v>
      </c>
      <c r="B3836" t="str">
        <f>"603102"</f>
        <v>603102</v>
      </c>
      <c r="C3836" t="s">
        <v>8020</v>
      </c>
      <c r="E3836">
        <v>1528826502</v>
      </c>
      <c r="P3836">
        <v>13</v>
      </c>
      <c r="Q3836" t="s">
        <v>8021</v>
      </c>
    </row>
    <row r="3837" spans="1:17" x14ac:dyDescent="0.3">
      <c r="A3837" t="s">
        <v>17</v>
      </c>
      <c r="B3837" t="str">
        <f>"603136"</f>
        <v>603136</v>
      </c>
      <c r="C3837" t="s">
        <v>8022</v>
      </c>
      <c r="D3837" t="s">
        <v>1942</v>
      </c>
      <c r="E3837">
        <v>1528779862</v>
      </c>
      <c r="F3837">
        <v>1543989993</v>
      </c>
      <c r="G3837">
        <v>1482182412</v>
      </c>
      <c r="H3837">
        <v>1115439263</v>
      </c>
      <c r="I3837">
        <v>1094589139</v>
      </c>
      <c r="P3837">
        <v>194</v>
      </c>
      <c r="Q3837" t="s">
        <v>8023</v>
      </c>
    </row>
    <row r="3838" spans="1:17" x14ac:dyDescent="0.3">
      <c r="A3838" t="s">
        <v>47</v>
      </c>
      <c r="B3838" t="str">
        <f>"003041"</f>
        <v>003041</v>
      </c>
      <c r="C3838" t="s">
        <v>8024</v>
      </c>
      <c r="D3838" t="s">
        <v>3807</v>
      </c>
      <c r="E3838">
        <v>1527352887</v>
      </c>
      <c r="F3838">
        <v>1238209147</v>
      </c>
      <c r="P3838">
        <v>30</v>
      </c>
      <c r="Q3838" t="s">
        <v>8025</v>
      </c>
    </row>
    <row r="3839" spans="1:17" x14ac:dyDescent="0.3">
      <c r="A3839" t="s">
        <v>47</v>
      </c>
      <c r="B3839" t="str">
        <f>"300540"</f>
        <v>300540</v>
      </c>
      <c r="C3839" t="s">
        <v>8026</v>
      </c>
      <c r="D3839" t="s">
        <v>1973</v>
      </c>
      <c r="E3839">
        <v>1524050738</v>
      </c>
      <c r="F3839">
        <v>1251983876</v>
      </c>
      <c r="G3839">
        <v>934086888</v>
      </c>
      <c r="H3839">
        <v>1072512409</v>
      </c>
      <c r="I3839">
        <v>986652123</v>
      </c>
      <c r="J3839">
        <v>864064780</v>
      </c>
      <c r="P3839">
        <v>65</v>
      </c>
      <c r="Q3839" t="s">
        <v>8027</v>
      </c>
    </row>
    <row r="3840" spans="1:17" x14ac:dyDescent="0.3">
      <c r="A3840" t="s">
        <v>47</v>
      </c>
      <c r="B3840" t="str">
        <f>"300642"</f>
        <v>300642</v>
      </c>
      <c r="C3840" t="s">
        <v>8028</v>
      </c>
      <c r="D3840" t="s">
        <v>2322</v>
      </c>
      <c r="E3840">
        <v>1523258717</v>
      </c>
      <c r="F3840">
        <v>1379928006</v>
      </c>
      <c r="G3840">
        <v>1210759924</v>
      </c>
      <c r="H3840">
        <v>1116811126</v>
      </c>
      <c r="I3840">
        <v>976218070</v>
      </c>
      <c r="J3840">
        <v>352826103</v>
      </c>
      <c r="P3840">
        <v>417</v>
      </c>
      <c r="Q3840" t="s">
        <v>8029</v>
      </c>
    </row>
    <row r="3841" spans="1:17" x14ac:dyDescent="0.3">
      <c r="A3841" t="s">
        <v>47</v>
      </c>
      <c r="B3841" t="str">
        <f>"002719"</f>
        <v>002719</v>
      </c>
      <c r="C3841" t="s">
        <v>8030</v>
      </c>
      <c r="D3841" t="s">
        <v>487</v>
      </c>
      <c r="E3841">
        <v>1522522204</v>
      </c>
      <c r="F3841">
        <v>1480606636</v>
      </c>
      <c r="G3841">
        <v>1200453890</v>
      </c>
      <c r="H3841">
        <v>1324122027</v>
      </c>
      <c r="I3841">
        <v>1422616159</v>
      </c>
      <c r="J3841">
        <v>1408964569</v>
      </c>
      <c r="K3841">
        <v>1407357872</v>
      </c>
      <c r="L3841">
        <v>1213785781</v>
      </c>
      <c r="M3841">
        <v>783535160</v>
      </c>
      <c r="P3841">
        <v>97</v>
      </c>
      <c r="Q3841" t="s">
        <v>8031</v>
      </c>
    </row>
    <row r="3842" spans="1:17" x14ac:dyDescent="0.3">
      <c r="A3842" t="s">
        <v>17</v>
      </c>
      <c r="B3842" t="str">
        <f>"688233"</f>
        <v>688233</v>
      </c>
      <c r="C3842" t="s">
        <v>8032</v>
      </c>
      <c r="D3842" t="s">
        <v>567</v>
      </c>
      <c r="E3842">
        <v>1520849677</v>
      </c>
      <c r="F3842">
        <v>1398620109</v>
      </c>
      <c r="G3842">
        <v>1157489327</v>
      </c>
      <c r="P3842">
        <v>170</v>
      </c>
      <c r="Q3842" t="s">
        <v>8033</v>
      </c>
    </row>
    <row r="3843" spans="1:17" x14ac:dyDescent="0.3">
      <c r="A3843" t="s">
        <v>47</v>
      </c>
      <c r="B3843" t="str">
        <f>"300465"</f>
        <v>300465</v>
      </c>
      <c r="C3843" t="s">
        <v>8034</v>
      </c>
      <c r="D3843" t="s">
        <v>1859</v>
      </c>
      <c r="E3843">
        <v>1519464066</v>
      </c>
      <c r="F3843">
        <v>1509635732</v>
      </c>
      <c r="G3843">
        <v>2427158009</v>
      </c>
      <c r="H3843">
        <v>2312256455</v>
      </c>
      <c r="I3843">
        <v>2217604528</v>
      </c>
      <c r="J3843">
        <v>1666644935</v>
      </c>
      <c r="K3843">
        <v>913121765</v>
      </c>
      <c r="L3843">
        <v>563281244</v>
      </c>
      <c r="P3843">
        <v>252</v>
      </c>
      <c r="Q3843" t="s">
        <v>8035</v>
      </c>
    </row>
    <row r="3844" spans="1:17" x14ac:dyDescent="0.3">
      <c r="A3844" t="s">
        <v>17</v>
      </c>
      <c r="B3844" t="str">
        <f>"688700"</f>
        <v>688700</v>
      </c>
      <c r="C3844" t="s">
        <v>8036</v>
      </c>
      <c r="D3844" t="s">
        <v>1973</v>
      </c>
      <c r="E3844">
        <v>1519347961</v>
      </c>
      <c r="F3844">
        <v>908088874</v>
      </c>
      <c r="P3844">
        <v>34</v>
      </c>
      <c r="Q3844" t="s">
        <v>8037</v>
      </c>
    </row>
    <row r="3845" spans="1:17" x14ac:dyDescent="0.3">
      <c r="A3845" t="s">
        <v>47</v>
      </c>
      <c r="B3845" t="str">
        <f>"300550"</f>
        <v>300550</v>
      </c>
      <c r="C3845" t="s">
        <v>8038</v>
      </c>
      <c r="D3845" t="s">
        <v>1859</v>
      </c>
      <c r="E3845">
        <v>1518010712</v>
      </c>
      <c r="F3845">
        <v>1463232546</v>
      </c>
      <c r="G3845">
        <v>948660977</v>
      </c>
      <c r="H3845">
        <v>957076456</v>
      </c>
      <c r="I3845">
        <v>721273323</v>
      </c>
      <c r="J3845">
        <v>568837907</v>
      </c>
      <c r="P3845">
        <v>123</v>
      </c>
      <c r="Q3845" t="s">
        <v>8039</v>
      </c>
    </row>
    <row r="3846" spans="1:17" x14ac:dyDescent="0.3">
      <c r="A3846" t="s">
        <v>47</v>
      </c>
      <c r="B3846" t="str">
        <f>"300644"</f>
        <v>300644</v>
      </c>
      <c r="C3846" t="s">
        <v>8040</v>
      </c>
      <c r="D3846" t="s">
        <v>833</v>
      </c>
      <c r="E3846">
        <v>1515379703</v>
      </c>
      <c r="F3846">
        <v>1431288745</v>
      </c>
      <c r="G3846">
        <v>1009178920</v>
      </c>
      <c r="H3846">
        <v>979449073</v>
      </c>
      <c r="I3846">
        <v>1052029441</v>
      </c>
      <c r="P3846">
        <v>133</v>
      </c>
      <c r="Q3846" t="s">
        <v>8041</v>
      </c>
    </row>
    <row r="3847" spans="1:17" x14ac:dyDescent="0.3">
      <c r="A3847" t="s">
        <v>47</v>
      </c>
      <c r="B3847" t="str">
        <f>"003002"</f>
        <v>003002</v>
      </c>
      <c r="C3847" t="s">
        <v>8042</v>
      </c>
      <c r="D3847" t="s">
        <v>1995</v>
      </c>
      <c r="E3847">
        <v>1513459858</v>
      </c>
      <c r="F3847">
        <v>1379508889</v>
      </c>
      <c r="P3847">
        <v>39</v>
      </c>
      <c r="Q3847" t="s">
        <v>8043</v>
      </c>
    </row>
    <row r="3848" spans="1:17" x14ac:dyDescent="0.3">
      <c r="A3848" t="s">
        <v>47</v>
      </c>
      <c r="B3848" t="str">
        <f>"300127"</f>
        <v>300127</v>
      </c>
      <c r="C3848" t="s">
        <v>8044</v>
      </c>
      <c r="D3848" t="s">
        <v>2108</v>
      </c>
      <c r="E3848">
        <v>1512746592</v>
      </c>
      <c r="F3848">
        <v>1415981256</v>
      </c>
      <c r="G3848">
        <v>1358495193</v>
      </c>
      <c r="H3848">
        <v>1315119791</v>
      </c>
      <c r="I3848">
        <v>1307187530</v>
      </c>
      <c r="J3848">
        <v>1202082099</v>
      </c>
      <c r="K3848">
        <v>1140490203</v>
      </c>
      <c r="L3848">
        <v>1112038554</v>
      </c>
      <c r="M3848">
        <v>1080365877</v>
      </c>
      <c r="N3848">
        <v>1087833889</v>
      </c>
      <c r="O3848">
        <v>1113213234</v>
      </c>
      <c r="P3848">
        <v>205</v>
      </c>
      <c r="Q3848" t="s">
        <v>8045</v>
      </c>
    </row>
    <row r="3849" spans="1:17" x14ac:dyDescent="0.3">
      <c r="A3849" t="s">
        <v>47</v>
      </c>
      <c r="B3849" t="str">
        <f>"300624"</f>
        <v>300624</v>
      </c>
      <c r="C3849" t="s">
        <v>8046</v>
      </c>
      <c r="D3849" t="s">
        <v>1010</v>
      </c>
      <c r="E3849">
        <v>1510754237</v>
      </c>
      <c r="F3849">
        <v>1049384037</v>
      </c>
      <c r="G3849">
        <v>921362219</v>
      </c>
      <c r="H3849">
        <v>720248397</v>
      </c>
      <c r="I3849">
        <v>599405406</v>
      </c>
      <c r="P3849">
        <v>332</v>
      </c>
      <c r="Q3849" t="s">
        <v>8047</v>
      </c>
    </row>
    <row r="3850" spans="1:17" x14ac:dyDescent="0.3">
      <c r="A3850" t="s">
        <v>47</v>
      </c>
      <c r="B3850" t="str">
        <f>"002136"</f>
        <v>002136</v>
      </c>
      <c r="C3850" t="s">
        <v>8048</v>
      </c>
      <c r="D3850" t="s">
        <v>851</v>
      </c>
      <c r="E3850">
        <v>1509101333</v>
      </c>
      <c r="F3850">
        <v>1208792533</v>
      </c>
      <c r="G3850">
        <v>958714587</v>
      </c>
      <c r="H3850">
        <v>981001341</v>
      </c>
      <c r="I3850">
        <v>1043363271</v>
      </c>
      <c r="J3850">
        <v>1006413493</v>
      </c>
      <c r="K3850">
        <v>969808797</v>
      </c>
      <c r="L3850">
        <v>1040370332</v>
      </c>
      <c r="M3850">
        <v>1073033594</v>
      </c>
      <c r="N3850">
        <v>1058735425</v>
      </c>
      <c r="O3850">
        <v>899628322</v>
      </c>
      <c r="P3850">
        <v>131</v>
      </c>
      <c r="Q3850" t="s">
        <v>8049</v>
      </c>
    </row>
    <row r="3851" spans="1:17" x14ac:dyDescent="0.3">
      <c r="A3851" t="s">
        <v>47</v>
      </c>
      <c r="B3851" t="str">
        <f>"300796"</f>
        <v>300796</v>
      </c>
      <c r="C3851" t="s">
        <v>8050</v>
      </c>
      <c r="D3851" t="s">
        <v>819</v>
      </c>
      <c r="E3851">
        <v>1508237805</v>
      </c>
      <c r="F3851">
        <v>1261178730</v>
      </c>
      <c r="G3851">
        <v>1186133410</v>
      </c>
      <c r="P3851">
        <v>45</v>
      </c>
      <c r="Q3851" t="s">
        <v>8051</v>
      </c>
    </row>
    <row r="3852" spans="1:17" x14ac:dyDescent="0.3">
      <c r="A3852" t="s">
        <v>17</v>
      </c>
      <c r="B3852" t="str">
        <f>"688389"</f>
        <v>688389</v>
      </c>
      <c r="C3852" t="s">
        <v>8052</v>
      </c>
      <c r="D3852" t="s">
        <v>2322</v>
      </c>
      <c r="E3852">
        <v>1507836657</v>
      </c>
      <c r="F3852">
        <v>1326137338</v>
      </c>
      <c r="G3852">
        <v>1212463001</v>
      </c>
      <c r="P3852">
        <v>161</v>
      </c>
      <c r="Q3852" t="s">
        <v>8053</v>
      </c>
    </row>
    <row r="3853" spans="1:17" x14ac:dyDescent="0.3">
      <c r="A3853" t="s">
        <v>17</v>
      </c>
      <c r="B3853" t="str">
        <f>"600354"</f>
        <v>600354</v>
      </c>
      <c r="C3853" t="s">
        <v>8054</v>
      </c>
      <c r="D3853" t="s">
        <v>2235</v>
      </c>
      <c r="E3853">
        <v>1507739249</v>
      </c>
      <c r="F3853">
        <v>1493279853</v>
      </c>
      <c r="G3853">
        <v>1840559023</v>
      </c>
      <c r="H3853">
        <v>1982204614</v>
      </c>
      <c r="I3853">
        <v>2145031021</v>
      </c>
      <c r="J3853">
        <v>3205837508</v>
      </c>
      <c r="K3853">
        <v>3140972446</v>
      </c>
      <c r="L3853">
        <v>3503767982</v>
      </c>
      <c r="M3853">
        <v>3426947942</v>
      </c>
      <c r="N3853">
        <v>3921679245</v>
      </c>
      <c r="O3853">
        <v>3916510909</v>
      </c>
      <c r="P3853">
        <v>121</v>
      </c>
      <c r="Q3853" t="s">
        <v>8055</v>
      </c>
    </row>
    <row r="3854" spans="1:17" x14ac:dyDescent="0.3">
      <c r="A3854" t="s">
        <v>47</v>
      </c>
      <c r="B3854" t="str">
        <f>"300965"</f>
        <v>300965</v>
      </c>
      <c r="C3854" t="s">
        <v>8056</v>
      </c>
      <c r="D3854" t="s">
        <v>570</v>
      </c>
      <c r="E3854">
        <v>1506879238</v>
      </c>
      <c r="F3854">
        <v>1466726308</v>
      </c>
      <c r="P3854">
        <v>31</v>
      </c>
      <c r="Q3854" t="s">
        <v>8057</v>
      </c>
    </row>
    <row r="3855" spans="1:17" x14ac:dyDescent="0.3">
      <c r="A3855" t="s">
        <v>17</v>
      </c>
      <c r="B3855" t="str">
        <f>"603032"</f>
        <v>603032</v>
      </c>
      <c r="C3855" t="s">
        <v>8058</v>
      </c>
      <c r="D3855" t="s">
        <v>1773</v>
      </c>
      <c r="E3855">
        <v>1504096006</v>
      </c>
      <c r="F3855">
        <v>794841554</v>
      </c>
      <c r="G3855">
        <v>817415506</v>
      </c>
      <c r="H3855">
        <v>860193815</v>
      </c>
      <c r="I3855">
        <v>493009786</v>
      </c>
      <c r="J3855">
        <v>495425308</v>
      </c>
      <c r="P3855">
        <v>73</v>
      </c>
      <c r="Q3855" t="s">
        <v>8059</v>
      </c>
    </row>
    <row r="3856" spans="1:17" x14ac:dyDescent="0.3">
      <c r="A3856" t="s">
        <v>47</v>
      </c>
      <c r="B3856" t="str">
        <f>"300977"</f>
        <v>300977</v>
      </c>
      <c r="C3856" t="s">
        <v>8060</v>
      </c>
      <c r="D3856" t="s">
        <v>2178</v>
      </c>
      <c r="E3856">
        <v>1501686586</v>
      </c>
      <c r="F3856">
        <v>443930386</v>
      </c>
      <c r="P3856">
        <v>46</v>
      </c>
      <c r="Q3856" t="s">
        <v>8061</v>
      </c>
    </row>
    <row r="3857" spans="1:17" x14ac:dyDescent="0.3">
      <c r="A3857" t="s">
        <v>17</v>
      </c>
      <c r="B3857" t="str">
        <f>"688488"</f>
        <v>688488</v>
      </c>
      <c r="C3857" t="s">
        <v>8062</v>
      </c>
      <c r="D3857" t="s">
        <v>1480</v>
      </c>
      <c r="E3857">
        <v>1500559389</v>
      </c>
      <c r="F3857">
        <v>1462603786</v>
      </c>
      <c r="G3857">
        <v>739874177</v>
      </c>
      <c r="P3857">
        <v>44</v>
      </c>
      <c r="Q3857" t="s">
        <v>8063</v>
      </c>
    </row>
    <row r="3858" spans="1:17" x14ac:dyDescent="0.3">
      <c r="A3858" t="s">
        <v>47</v>
      </c>
      <c r="B3858" t="str">
        <f>"301069"</f>
        <v>301069</v>
      </c>
      <c r="C3858" t="s">
        <v>8064</v>
      </c>
      <c r="D3858" t="s">
        <v>2874</v>
      </c>
      <c r="E3858">
        <v>1499796542</v>
      </c>
      <c r="G3858">
        <v>764414435</v>
      </c>
      <c r="P3858">
        <v>29</v>
      </c>
      <c r="Q3858" t="s">
        <v>8065</v>
      </c>
    </row>
    <row r="3859" spans="1:17" x14ac:dyDescent="0.3">
      <c r="A3859" t="s">
        <v>47</v>
      </c>
      <c r="B3859" t="str">
        <f>"300579"</f>
        <v>300579</v>
      </c>
      <c r="C3859" t="s">
        <v>8066</v>
      </c>
      <c r="D3859" t="s">
        <v>1859</v>
      </c>
      <c r="E3859">
        <v>1499654407</v>
      </c>
      <c r="F3859">
        <v>1475137861</v>
      </c>
      <c r="G3859">
        <v>1219050888</v>
      </c>
      <c r="H3859">
        <v>997896427</v>
      </c>
      <c r="I3859">
        <v>874820967</v>
      </c>
      <c r="J3859">
        <v>725502504</v>
      </c>
      <c r="P3859">
        <v>335</v>
      </c>
      <c r="Q3859" t="s">
        <v>8067</v>
      </c>
    </row>
    <row r="3860" spans="1:17" x14ac:dyDescent="0.3">
      <c r="A3860" t="s">
        <v>47</v>
      </c>
      <c r="B3860" t="str">
        <f>"300837"</f>
        <v>300837</v>
      </c>
      <c r="C3860" t="s">
        <v>8068</v>
      </c>
      <c r="D3860" t="s">
        <v>607</v>
      </c>
      <c r="E3860">
        <v>1499357884</v>
      </c>
      <c r="F3860">
        <v>1342499551</v>
      </c>
      <c r="G3860">
        <v>682490262</v>
      </c>
      <c r="P3860">
        <v>154</v>
      </c>
      <c r="Q3860" t="s">
        <v>8069</v>
      </c>
    </row>
    <row r="3861" spans="1:17" x14ac:dyDescent="0.3">
      <c r="A3861" t="s">
        <v>47</v>
      </c>
      <c r="B3861" t="str">
        <f>"300557"</f>
        <v>300557</v>
      </c>
      <c r="C3861" t="s">
        <v>8070</v>
      </c>
      <c r="D3861" t="s">
        <v>3722</v>
      </c>
      <c r="E3861">
        <v>1497452670</v>
      </c>
      <c r="F3861">
        <v>1006808522</v>
      </c>
      <c r="G3861">
        <v>875021443</v>
      </c>
      <c r="H3861">
        <v>638912917</v>
      </c>
      <c r="I3861">
        <v>557987342</v>
      </c>
      <c r="J3861">
        <v>554634546</v>
      </c>
      <c r="P3861">
        <v>61</v>
      </c>
      <c r="Q3861" t="s">
        <v>8071</v>
      </c>
    </row>
    <row r="3862" spans="1:17" x14ac:dyDescent="0.3">
      <c r="A3862" t="s">
        <v>17</v>
      </c>
      <c r="B3862" t="str">
        <f>"688226"</f>
        <v>688226</v>
      </c>
      <c r="C3862" t="s">
        <v>8072</v>
      </c>
      <c r="D3862" t="s">
        <v>1616</v>
      </c>
      <c r="E3862">
        <v>1497339144</v>
      </c>
      <c r="F3862">
        <v>1229118391</v>
      </c>
      <c r="P3862">
        <v>19</v>
      </c>
      <c r="Q3862" t="s">
        <v>8073</v>
      </c>
    </row>
    <row r="3863" spans="1:17" x14ac:dyDescent="0.3">
      <c r="A3863" t="s">
        <v>47</v>
      </c>
      <c r="B3863" t="str">
        <f>"300089"</f>
        <v>300089</v>
      </c>
      <c r="C3863" t="s">
        <v>8074</v>
      </c>
      <c r="D3863" t="s">
        <v>2954</v>
      </c>
      <c r="E3863">
        <v>1496999092</v>
      </c>
      <c r="F3863">
        <v>1785215145</v>
      </c>
      <c r="G3863">
        <v>2057890019</v>
      </c>
      <c r="H3863">
        <v>2113811019</v>
      </c>
      <c r="I3863">
        <v>2705074110</v>
      </c>
      <c r="J3863">
        <v>2704818351</v>
      </c>
      <c r="K3863">
        <v>1184116732</v>
      </c>
      <c r="L3863">
        <v>1162659079</v>
      </c>
      <c r="M3863">
        <v>1106840634</v>
      </c>
      <c r="N3863">
        <v>1031860876</v>
      </c>
      <c r="O3863">
        <v>966332782</v>
      </c>
      <c r="P3863">
        <v>101</v>
      </c>
      <c r="Q3863" t="s">
        <v>8075</v>
      </c>
    </row>
    <row r="3864" spans="1:17" x14ac:dyDescent="0.3">
      <c r="A3864" t="s">
        <v>47</v>
      </c>
      <c r="B3864" t="str">
        <f>"300392"</f>
        <v>300392</v>
      </c>
      <c r="C3864" t="s">
        <v>8076</v>
      </c>
      <c r="D3864" t="s">
        <v>1824</v>
      </c>
      <c r="E3864">
        <v>1495557768</v>
      </c>
      <c r="F3864">
        <v>1692502065</v>
      </c>
      <c r="G3864">
        <v>1623220567</v>
      </c>
      <c r="H3864">
        <v>1480376085</v>
      </c>
      <c r="I3864">
        <v>1473690270</v>
      </c>
      <c r="J3864">
        <v>1405402898</v>
      </c>
      <c r="K3864">
        <v>1355882307</v>
      </c>
      <c r="L3864">
        <v>935777855</v>
      </c>
      <c r="M3864">
        <v>534600187</v>
      </c>
      <c r="P3864">
        <v>66</v>
      </c>
      <c r="Q3864" t="s">
        <v>8077</v>
      </c>
    </row>
    <row r="3865" spans="1:17" x14ac:dyDescent="0.3">
      <c r="A3865" t="s">
        <v>47</v>
      </c>
      <c r="B3865" t="str">
        <f>"300693"</f>
        <v>300693</v>
      </c>
      <c r="C3865" t="s">
        <v>8078</v>
      </c>
      <c r="D3865" t="s">
        <v>2256</v>
      </c>
      <c r="E3865">
        <v>1494556205</v>
      </c>
      <c r="F3865">
        <v>1236818154</v>
      </c>
      <c r="G3865">
        <v>1054448612</v>
      </c>
      <c r="H3865">
        <v>882598692</v>
      </c>
      <c r="I3865">
        <v>765436808</v>
      </c>
      <c r="J3865">
        <v>484954720</v>
      </c>
      <c r="P3865">
        <v>214</v>
      </c>
      <c r="Q3865" t="s">
        <v>8079</v>
      </c>
    </row>
    <row r="3866" spans="1:17" x14ac:dyDescent="0.3">
      <c r="A3866" t="s">
        <v>17</v>
      </c>
      <c r="B3866" t="str">
        <f>"688338"</f>
        <v>688338</v>
      </c>
      <c r="C3866" t="s">
        <v>8080</v>
      </c>
      <c r="D3866" t="s">
        <v>2322</v>
      </c>
      <c r="E3866">
        <v>1494380159</v>
      </c>
      <c r="F3866">
        <v>1420928668</v>
      </c>
      <c r="G3866">
        <v>416143300</v>
      </c>
      <c r="P3866">
        <v>56</v>
      </c>
      <c r="Q3866" t="s">
        <v>8081</v>
      </c>
    </row>
    <row r="3867" spans="1:17" x14ac:dyDescent="0.3">
      <c r="A3867" t="s">
        <v>47</v>
      </c>
      <c r="B3867" t="str">
        <f>"300436"</f>
        <v>300436</v>
      </c>
      <c r="C3867" t="s">
        <v>8082</v>
      </c>
      <c r="D3867" t="s">
        <v>550</v>
      </c>
      <c r="E3867">
        <v>1493133372</v>
      </c>
      <c r="F3867">
        <v>998772887</v>
      </c>
      <c r="G3867">
        <v>910815499</v>
      </c>
      <c r="H3867">
        <v>913093010</v>
      </c>
      <c r="I3867">
        <v>741391103</v>
      </c>
      <c r="J3867">
        <v>717333113</v>
      </c>
      <c r="K3867">
        <v>617719530</v>
      </c>
      <c r="L3867">
        <v>249560920</v>
      </c>
      <c r="P3867">
        <v>135</v>
      </c>
      <c r="Q3867" t="s">
        <v>8083</v>
      </c>
    </row>
    <row r="3868" spans="1:17" x14ac:dyDescent="0.3">
      <c r="A3868" t="s">
        <v>47</v>
      </c>
      <c r="B3868" t="str">
        <f>"301040"</f>
        <v>301040</v>
      </c>
      <c r="C3868" t="s">
        <v>8084</v>
      </c>
      <c r="D3868" t="s">
        <v>2013</v>
      </c>
      <c r="E3868">
        <v>1492563873</v>
      </c>
      <c r="F3868">
        <v>1060591353</v>
      </c>
      <c r="P3868">
        <v>22</v>
      </c>
      <c r="Q3868" t="s">
        <v>8085</v>
      </c>
    </row>
    <row r="3869" spans="1:17" x14ac:dyDescent="0.3">
      <c r="A3869" t="s">
        <v>17</v>
      </c>
      <c r="B3869" t="str">
        <f>"688278"</f>
        <v>688278</v>
      </c>
      <c r="C3869" t="s">
        <v>8086</v>
      </c>
      <c r="D3869" t="s">
        <v>1480</v>
      </c>
      <c r="E3869">
        <v>1491411761</v>
      </c>
      <c r="F3869">
        <v>1220101545</v>
      </c>
      <c r="G3869">
        <v>1134452278</v>
      </c>
      <c r="P3869">
        <v>154</v>
      </c>
      <c r="Q3869" t="s">
        <v>8087</v>
      </c>
    </row>
    <row r="3870" spans="1:17" x14ac:dyDescent="0.3">
      <c r="A3870" t="s">
        <v>47</v>
      </c>
      <c r="B3870" t="str">
        <f>"003018"</f>
        <v>003018</v>
      </c>
      <c r="C3870" t="s">
        <v>8088</v>
      </c>
      <c r="D3870" t="s">
        <v>2442</v>
      </c>
      <c r="E3870">
        <v>1491404619</v>
      </c>
      <c r="F3870">
        <v>1367258606</v>
      </c>
      <c r="P3870">
        <v>38</v>
      </c>
      <c r="Q3870" t="s">
        <v>8089</v>
      </c>
    </row>
    <row r="3871" spans="1:17" x14ac:dyDescent="0.3">
      <c r="A3871" t="s">
        <v>47</v>
      </c>
      <c r="B3871" t="str">
        <f>"301071"</f>
        <v>301071</v>
      </c>
      <c r="C3871" t="s">
        <v>8090</v>
      </c>
      <c r="D3871" t="s">
        <v>2646</v>
      </c>
      <c r="E3871">
        <v>1490871929</v>
      </c>
      <c r="G3871">
        <v>577996529</v>
      </c>
      <c r="P3871">
        <v>76</v>
      </c>
      <c r="Q3871" t="s">
        <v>8091</v>
      </c>
    </row>
    <row r="3872" spans="1:17" x14ac:dyDescent="0.3">
      <c r="A3872" t="s">
        <v>47</v>
      </c>
      <c r="B3872" t="str">
        <f>"002875"</f>
        <v>002875</v>
      </c>
      <c r="C3872" t="s">
        <v>8092</v>
      </c>
      <c r="D3872" t="s">
        <v>628</v>
      </c>
      <c r="E3872">
        <v>1490527364</v>
      </c>
      <c r="F3872">
        <v>1182511430</v>
      </c>
      <c r="G3872">
        <v>1211533413</v>
      </c>
      <c r="H3872">
        <v>1110651212</v>
      </c>
      <c r="I3872">
        <v>1056271257</v>
      </c>
      <c r="J3872">
        <v>542423900</v>
      </c>
      <c r="P3872">
        <v>92</v>
      </c>
      <c r="Q3872" t="s">
        <v>8093</v>
      </c>
    </row>
    <row r="3873" spans="1:17" x14ac:dyDescent="0.3">
      <c r="A3873" t="s">
        <v>47</v>
      </c>
      <c r="B3873" t="str">
        <f>"300697"</f>
        <v>300697</v>
      </c>
      <c r="C3873" t="s">
        <v>8094</v>
      </c>
      <c r="D3873" t="s">
        <v>301</v>
      </c>
      <c r="E3873">
        <v>1489722985</v>
      </c>
      <c r="F3873">
        <v>1347328051</v>
      </c>
      <c r="G3873">
        <v>1242223416</v>
      </c>
      <c r="H3873">
        <v>1219275152</v>
      </c>
      <c r="I3873">
        <v>1083700346</v>
      </c>
      <c r="P3873">
        <v>77</v>
      </c>
      <c r="Q3873" t="s">
        <v>8095</v>
      </c>
    </row>
    <row r="3874" spans="1:17" x14ac:dyDescent="0.3">
      <c r="A3874" t="s">
        <v>47</v>
      </c>
      <c r="B3874" t="str">
        <f>"300493"</f>
        <v>300493</v>
      </c>
      <c r="C3874" t="s">
        <v>8096</v>
      </c>
      <c r="D3874" t="s">
        <v>1609</v>
      </c>
      <c r="E3874">
        <v>1487538500</v>
      </c>
      <c r="F3874">
        <v>1141442975</v>
      </c>
      <c r="G3874">
        <v>1019709250</v>
      </c>
      <c r="H3874">
        <v>1117833526</v>
      </c>
      <c r="I3874">
        <v>1149095341</v>
      </c>
      <c r="J3874">
        <v>962255580</v>
      </c>
      <c r="K3874">
        <v>634639259</v>
      </c>
      <c r="L3874">
        <v>483789700</v>
      </c>
      <c r="M3874">
        <v>440000800</v>
      </c>
      <c r="P3874">
        <v>187</v>
      </c>
      <c r="Q3874" t="s">
        <v>8097</v>
      </c>
    </row>
    <row r="3875" spans="1:17" x14ac:dyDescent="0.3">
      <c r="A3875" t="s">
        <v>47</v>
      </c>
      <c r="B3875" t="str">
        <f>"300516"</f>
        <v>300516</v>
      </c>
      <c r="C3875" t="s">
        <v>8098</v>
      </c>
      <c r="D3875" t="s">
        <v>1609</v>
      </c>
      <c r="E3875">
        <v>1486519245</v>
      </c>
      <c r="F3875">
        <v>1456283551</v>
      </c>
      <c r="G3875">
        <v>1179287542</v>
      </c>
      <c r="H3875">
        <v>1179334536</v>
      </c>
      <c r="I3875">
        <v>1272418876</v>
      </c>
      <c r="J3875">
        <v>1316566088</v>
      </c>
      <c r="K3875">
        <v>641087926</v>
      </c>
      <c r="P3875">
        <v>118</v>
      </c>
      <c r="Q3875" t="s">
        <v>8099</v>
      </c>
    </row>
    <row r="3876" spans="1:17" x14ac:dyDescent="0.3">
      <c r="A3876" t="s">
        <v>47</v>
      </c>
      <c r="B3876" t="str">
        <f>"300843"</f>
        <v>300843</v>
      </c>
      <c r="C3876" t="s">
        <v>8100</v>
      </c>
      <c r="D3876" t="s">
        <v>283</v>
      </c>
      <c r="E3876">
        <v>1485787338</v>
      </c>
      <c r="F3876">
        <v>1406759624</v>
      </c>
      <c r="G3876">
        <v>720867375</v>
      </c>
      <c r="P3876">
        <v>80</v>
      </c>
      <c r="Q3876" t="s">
        <v>8101</v>
      </c>
    </row>
    <row r="3877" spans="1:17" x14ac:dyDescent="0.3">
      <c r="A3877" t="s">
        <v>47</v>
      </c>
      <c r="B3877" t="str">
        <f>"300905"</f>
        <v>300905</v>
      </c>
      <c r="C3877" t="s">
        <v>8102</v>
      </c>
      <c r="D3877" t="s">
        <v>703</v>
      </c>
      <c r="E3877">
        <v>1485521813</v>
      </c>
      <c r="F3877">
        <v>1389136189</v>
      </c>
      <c r="P3877">
        <v>54</v>
      </c>
      <c r="Q3877" t="s">
        <v>8103</v>
      </c>
    </row>
    <row r="3878" spans="1:17" x14ac:dyDescent="0.3">
      <c r="A3878" t="s">
        <v>47</v>
      </c>
      <c r="B3878" t="str">
        <f>"300210"</f>
        <v>300210</v>
      </c>
      <c r="C3878" t="s">
        <v>8104</v>
      </c>
      <c r="D3878" t="s">
        <v>1347</v>
      </c>
      <c r="E3878">
        <v>1484230078</v>
      </c>
      <c r="F3878">
        <v>1767508545</v>
      </c>
      <c r="G3878">
        <v>1766995877</v>
      </c>
      <c r="H3878">
        <v>2247008809</v>
      </c>
      <c r="I3878">
        <v>2276379044</v>
      </c>
      <c r="J3878">
        <v>2239627321</v>
      </c>
      <c r="K3878">
        <v>1828229581</v>
      </c>
      <c r="L3878">
        <v>1382107945</v>
      </c>
      <c r="M3878">
        <v>1239439450</v>
      </c>
      <c r="N3878">
        <v>1019247509</v>
      </c>
      <c r="O3878">
        <v>660031728</v>
      </c>
      <c r="P3878">
        <v>50</v>
      </c>
      <c r="Q3878" t="s">
        <v>8105</v>
      </c>
    </row>
    <row r="3879" spans="1:17" x14ac:dyDescent="0.3">
      <c r="A3879" t="s">
        <v>47</v>
      </c>
      <c r="B3879" t="str">
        <f>"300269"</f>
        <v>300269</v>
      </c>
      <c r="C3879" t="s">
        <v>8106</v>
      </c>
      <c r="D3879" t="s">
        <v>1824</v>
      </c>
      <c r="E3879">
        <v>1483651556</v>
      </c>
      <c r="F3879">
        <v>1622910571</v>
      </c>
      <c r="G3879">
        <v>2456531244</v>
      </c>
      <c r="H3879">
        <v>4546082483</v>
      </c>
      <c r="I3879">
        <v>7957960426</v>
      </c>
      <c r="J3879">
        <v>7566550300</v>
      </c>
      <c r="K3879">
        <v>3572235477</v>
      </c>
      <c r="L3879">
        <v>3153304332</v>
      </c>
      <c r="M3879">
        <v>846063360</v>
      </c>
      <c r="N3879">
        <v>918368044</v>
      </c>
      <c r="O3879">
        <v>811771188</v>
      </c>
      <c r="P3879">
        <v>125</v>
      </c>
      <c r="Q3879" t="s">
        <v>8107</v>
      </c>
    </row>
    <row r="3880" spans="1:17" x14ac:dyDescent="0.3">
      <c r="A3880" t="s">
        <v>47</v>
      </c>
      <c r="B3880" t="str">
        <f>"002908"</f>
        <v>002908</v>
      </c>
      <c r="C3880" t="s">
        <v>8108</v>
      </c>
      <c r="D3880" t="s">
        <v>962</v>
      </c>
      <c r="E3880">
        <v>1481876842</v>
      </c>
      <c r="F3880">
        <v>1003870653</v>
      </c>
      <c r="G3880">
        <v>888824505</v>
      </c>
      <c r="H3880">
        <v>806480058</v>
      </c>
      <c r="I3880">
        <v>772416856</v>
      </c>
      <c r="P3880">
        <v>126</v>
      </c>
      <c r="Q3880" t="s">
        <v>8109</v>
      </c>
    </row>
    <row r="3881" spans="1:17" x14ac:dyDescent="0.3">
      <c r="A3881" t="s">
        <v>47</v>
      </c>
      <c r="B3881" t="str">
        <f>"300565"</f>
        <v>300565</v>
      </c>
      <c r="C3881" t="s">
        <v>8110</v>
      </c>
      <c r="D3881" t="s">
        <v>367</v>
      </c>
      <c r="E3881">
        <v>1480248251</v>
      </c>
      <c r="F3881">
        <v>1326021342</v>
      </c>
      <c r="G3881">
        <v>1007647323</v>
      </c>
      <c r="H3881">
        <v>949841490</v>
      </c>
      <c r="I3881">
        <v>1043152360</v>
      </c>
      <c r="J3881">
        <v>1085549107</v>
      </c>
      <c r="P3881">
        <v>113</v>
      </c>
      <c r="Q3881" t="s">
        <v>8111</v>
      </c>
    </row>
    <row r="3882" spans="1:17" x14ac:dyDescent="0.3">
      <c r="A3882" t="s">
        <v>47</v>
      </c>
      <c r="B3882" t="str">
        <f>"002702"</f>
        <v>002702</v>
      </c>
      <c r="C3882" t="s">
        <v>8112</v>
      </c>
      <c r="D3882" t="s">
        <v>2224</v>
      </c>
      <c r="E3882">
        <v>1478749094</v>
      </c>
      <c r="F3882">
        <v>1280286476</v>
      </c>
      <c r="G3882">
        <v>1176751067</v>
      </c>
      <c r="H3882">
        <v>1093023994</v>
      </c>
      <c r="I3882">
        <v>1018710433</v>
      </c>
      <c r="J3882">
        <v>1149637694</v>
      </c>
      <c r="K3882">
        <v>957496681</v>
      </c>
      <c r="L3882">
        <v>991728130</v>
      </c>
      <c r="M3882">
        <v>959886417</v>
      </c>
      <c r="N3882">
        <v>927119164</v>
      </c>
      <c r="P3882">
        <v>186</v>
      </c>
      <c r="Q3882" t="s">
        <v>8113</v>
      </c>
    </row>
    <row r="3883" spans="1:17" x14ac:dyDescent="0.3">
      <c r="A3883" t="s">
        <v>17</v>
      </c>
      <c r="B3883" t="str">
        <f>"605218"</f>
        <v>605218</v>
      </c>
      <c r="C3883" t="s">
        <v>8114</v>
      </c>
      <c r="D3883" t="s">
        <v>181</v>
      </c>
      <c r="E3883">
        <v>1477109804</v>
      </c>
      <c r="F3883">
        <v>1410720156</v>
      </c>
      <c r="P3883">
        <v>56</v>
      </c>
      <c r="Q3883" t="s">
        <v>8115</v>
      </c>
    </row>
    <row r="3884" spans="1:17" x14ac:dyDescent="0.3">
      <c r="A3884" t="s">
        <v>17</v>
      </c>
      <c r="B3884" t="str">
        <f>"603895"</f>
        <v>603895</v>
      </c>
      <c r="C3884" t="s">
        <v>8116</v>
      </c>
      <c r="D3884" t="s">
        <v>1973</v>
      </c>
      <c r="E3884">
        <v>1474251723</v>
      </c>
      <c r="F3884">
        <v>1283638574</v>
      </c>
      <c r="G3884">
        <v>1247476336</v>
      </c>
      <c r="H3884">
        <v>1177346080</v>
      </c>
      <c r="I3884">
        <v>1031684005</v>
      </c>
      <c r="P3884">
        <v>65</v>
      </c>
      <c r="Q3884" t="s">
        <v>8117</v>
      </c>
    </row>
    <row r="3885" spans="1:17" x14ac:dyDescent="0.3">
      <c r="A3885" t="s">
        <v>47</v>
      </c>
      <c r="B3885" t="str">
        <f>"300488"</f>
        <v>300488</v>
      </c>
      <c r="C3885" t="s">
        <v>8118</v>
      </c>
      <c r="D3885" t="s">
        <v>401</v>
      </c>
      <c r="E3885">
        <v>1473895354</v>
      </c>
      <c r="F3885">
        <v>1270896578</v>
      </c>
      <c r="G3885">
        <v>1179639662</v>
      </c>
      <c r="H3885">
        <v>1113733956</v>
      </c>
      <c r="I3885">
        <v>1062212372</v>
      </c>
      <c r="J3885">
        <v>908007212</v>
      </c>
      <c r="K3885">
        <v>635763608</v>
      </c>
      <c r="L3885">
        <v>365031300</v>
      </c>
      <c r="P3885">
        <v>120</v>
      </c>
      <c r="Q3885" t="s">
        <v>8119</v>
      </c>
    </row>
    <row r="3886" spans="1:17" x14ac:dyDescent="0.3">
      <c r="A3886" t="s">
        <v>47</v>
      </c>
      <c r="B3886" t="str">
        <f>"001209"</f>
        <v>001209</v>
      </c>
      <c r="C3886" t="s">
        <v>8120</v>
      </c>
      <c r="D3886" t="s">
        <v>628</v>
      </c>
      <c r="E3886">
        <v>1473463035</v>
      </c>
      <c r="F3886">
        <v>753378396</v>
      </c>
      <c r="P3886">
        <v>22</v>
      </c>
      <c r="Q3886" t="s">
        <v>8121</v>
      </c>
    </row>
    <row r="3887" spans="1:17" x14ac:dyDescent="0.3">
      <c r="A3887" t="s">
        <v>17</v>
      </c>
      <c r="B3887" t="str">
        <f>"688335"</f>
        <v>688335</v>
      </c>
      <c r="C3887" t="s">
        <v>8122</v>
      </c>
      <c r="D3887" t="s">
        <v>520</v>
      </c>
      <c r="E3887">
        <v>1472933041</v>
      </c>
      <c r="F3887">
        <v>1196350245</v>
      </c>
      <c r="G3887">
        <v>405107097</v>
      </c>
      <c r="I3887">
        <v>205823813</v>
      </c>
      <c r="P3887">
        <v>61</v>
      </c>
      <c r="Q3887" t="s">
        <v>8123</v>
      </c>
    </row>
    <row r="3888" spans="1:17" x14ac:dyDescent="0.3">
      <c r="A3888" t="s">
        <v>17</v>
      </c>
      <c r="B3888" t="str">
        <f>"688112"</f>
        <v>688112</v>
      </c>
      <c r="C3888" t="s">
        <v>8124</v>
      </c>
      <c r="D3888" t="s">
        <v>3722</v>
      </c>
      <c r="E3888">
        <v>1472611169</v>
      </c>
      <c r="P3888">
        <v>42</v>
      </c>
      <c r="Q3888" t="s">
        <v>8125</v>
      </c>
    </row>
    <row r="3889" spans="1:17" x14ac:dyDescent="0.3">
      <c r="A3889" t="s">
        <v>17</v>
      </c>
      <c r="B3889" t="str">
        <f>"688210"</f>
        <v>688210</v>
      </c>
      <c r="C3889" t="s">
        <v>8126</v>
      </c>
      <c r="D3889" t="s">
        <v>283</v>
      </c>
      <c r="E3889">
        <v>1472503206</v>
      </c>
      <c r="P3889">
        <v>9</v>
      </c>
      <c r="Q3889" t="s">
        <v>8127</v>
      </c>
    </row>
    <row r="3890" spans="1:17" x14ac:dyDescent="0.3">
      <c r="A3890" t="s">
        <v>47</v>
      </c>
      <c r="B3890" t="str">
        <f>"300985"</f>
        <v>300985</v>
      </c>
      <c r="C3890" t="s">
        <v>8128</v>
      </c>
      <c r="D3890" t="s">
        <v>401</v>
      </c>
      <c r="E3890">
        <v>1471927187</v>
      </c>
      <c r="F3890">
        <v>939062968</v>
      </c>
      <c r="G3890">
        <v>799977897</v>
      </c>
      <c r="P3890">
        <v>32</v>
      </c>
      <c r="Q3890" t="s">
        <v>8129</v>
      </c>
    </row>
    <row r="3891" spans="1:17" x14ac:dyDescent="0.3">
      <c r="A3891" t="s">
        <v>17</v>
      </c>
      <c r="B3891" t="str">
        <f>"688557"</f>
        <v>688557</v>
      </c>
      <c r="C3891" t="s">
        <v>8130</v>
      </c>
      <c r="D3891" t="s">
        <v>1433</v>
      </c>
      <c r="E3891">
        <v>1470983714</v>
      </c>
      <c r="F3891">
        <v>1089039812</v>
      </c>
      <c r="P3891">
        <v>47</v>
      </c>
      <c r="Q3891" t="s">
        <v>8131</v>
      </c>
    </row>
    <row r="3892" spans="1:17" x14ac:dyDescent="0.3">
      <c r="A3892" t="s">
        <v>17</v>
      </c>
      <c r="B3892" t="str">
        <f>"688468"</f>
        <v>688468</v>
      </c>
      <c r="C3892" t="s">
        <v>8132</v>
      </c>
      <c r="D3892" t="s">
        <v>2322</v>
      </c>
      <c r="E3892">
        <v>1470694840</v>
      </c>
      <c r="F3892">
        <v>1080465148</v>
      </c>
      <c r="P3892">
        <v>39</v>
      </c>
      <c r="Q3892" t="s">
        <v>8133</v>
      </c>
    </row>
    <row r="3893" spans="1:17" x14ac:dyDescent="0.3">
      <c r="A3893" t="s">
        <v>17</v>
      </c>
      <c r="B3893" t="str">
        <f>"688089"</f>
        <v>688089</v>
      </c>
      <c r="C3893" t="s">
        <v>8134</v>
      </c>
      <c r="D3893" t="s">
        <v>1699</v>
      </c>
      <c r="E3893">
        <v>1470211469</v>
      </c>
      <c r="F3893">
        <v>1396974473</v>
      </c>
      <c r="G3893">
        <v>1319806915</v>
      </c>
      <c r="P3893">
        <v>150</v>
      </c>
      <c r="Q3893" t="s">
        <v>8135</v>
      </c>
    </row>
    <row r="3894" spans="1:17" x14ac:dyDescent="0.3">
      <c r="A3894" t="s">
        <v>17</v>
      </c>
      <c r="B3894" t="str">
        <f>"603917"</f>
        <v>603917</v>
      </c>
      <c r="C3894" t="s">
        <v>8136</v>
      </c>
      <c r="D3894" t="s">
        <v>1815</v>
      </c>
      <c r="E3894">
        <v>1469254692</v>
      </c>
      <c r="F3894">
        <v>1312547485</v>
      </c>
      <c r="G3894">
        <v>1259698555</v>
      </c>
      <c r="H3894">
        <v>1282249679</v>
      </c>
      <c r="I3894">
        <v>1135981267</v>
      </c>
      <c r="P3894">
        <v>73</v>
      </c>
      <c r="Q3894" t="s">
        <v>8137</v>
      </c>
    </row>
    <row r="3895" spans="1:17" x14ac:dyDescent="0.3">
      <c r="A3895" t="s">
        <v>17</v>
      </c>
      <c r="B3895" t="str">
        <f>"603122"</f>
        <v>603122</v>
      </c>
      <c r="C3895" t="s">
        <v>8138</v>
      </c>
      <c r="E3895">
        <v>1468577882</v>
      </c>
      <c r="F3895">
        <v>1082980346</v>
      </c>
      <c r="P3895">
        <v>12</v>
      </c>
      <c r="Q3895" t="s">
        <v>8139</v>
      </c>
    </row>
    <row r="3896" spans="1:17" x14ac:dyDescent="0.3">
      <c r="A3896" t="s">
        <v>47</v>
      </c>
      <c r="B3896" t="str">
        <f>"300939"</f>
        <v>300939</v>
      </c>
      <c r="C3896" t="s">
        <v>8140</v>
      </c>
      <c r="D3896" t="s">
        <v>181</v>
      </c>
      <c r="E3896">
        <v>1468257043</v>
      </c>
      <c r="F3896">
        <v>1333806159</v>
      </c>
      <c r="P3896">
        <v>31</v>
      </c>
      <c r="Q3896" t="s">
        <v>8141</v>
      </c>
    </row>
    <row r="3897" spans="1:17" x14ac:dyDescent="0.3">
      <c r="A3897" t="s">
        <v>17</v>
      </c>
      <c r="B3897" t="str">
        <f>"688312"</f>
        <v>688312</v>
      </c>
      <c r="C3897" t="s">
        <v>8142</v>
      </c>
      <c r="D3897" t="s">
        <v>1973</v>
      </c>
      <c r="E3897">
        <v>1467131187</v>
      </c>
      <c r="F3897">
        <v>1327877506</v>
      </c>
      <c r="G3897">
        <v>611310657</v>
      </c>
      <c r="H3897">
        <v>470351290</v>
      </c>
      <c r="P3897">
        <v>64</v>
      </c>
      <c r="Q3897" t="s">
        <v>8143</v>
      </c>
    </row>
    <row r="3898" spans="1:17" x14ac:dyDescent="0.3">
      <c r="A3898" t="s">
        <v>47</v>
      </c>
      <c r="B3898" t="str">
        <f>"301158"</f>
        <v>301158</v>
      </c>
      <c r="C3898" t="s">
        <v>8144</v>
      </c>
      <c r="D3898" t="s">
        <v>607</v>
      </c>
      <c r="E3898">
        <v>1467074094</v>
      </c>
      <c r="P3898">
        <v>12</v>
      </c>
      <c r="Q3898" t="s">
        <v>8145</v>
      </c>
    </row>
    <row r="3899" spans="1:17" x14ac:dyDescent="0.3">
      <c r="A3899" t="s">
        <v>17</v>
      </c>
      <c r="B3899" t="str">
        <f>"600088"</f>
        <v>600088</v>
      </c>
      <c r="C3899" t="s">
        <v>8146</v>
      </c>
      <c r="D3899" t="s">
        <v>1824</v>
      </c>
      <c r="E3899">
        <v>1465077040</v>
      </c>
      <c r="F3899">
        <v>1441725232</v>
      </c>
      <c r="G3899">
        <v>1525886125</v>
      </c>
      <c r="H3899">
        <v>1542230580</v>
      </c>
      <c r="I3899">
        <v>1414407356</v>
      </c>
      <c r="J3899">
        <v>1353977652</v>
      </c>
      <c r="K3899">
        <v>1406329779</v>
      </c>
      <c r="L3899">
        <v>1431956556</v>
      </c>
      <c r="M3899">
        <v>1462854982</v>
      </c>
      <c r="N3899">
        <v>1698490661</v>
      </c>
      <c r="O3899">
        <v>2171058288</v>
      </c>
      <c r="P3899">
        <v>114</v>
      </c>
      <c r="Q3899" t="s">
        <v>8147</v>
      </c>
    </row>
    <row r="3900" spans="1:17" x14ac:dyDescent="0.3">
      <c r="A3900" t="s">
        <v>17</v>
      </c>
      <c r="B3900" t="str">
        <f>"688102"</f>
        <v>688102</v>
      </c>
      <c r="C3900" t="s">
        <v>8148</v>
      </c>
      <c r="E3900">
        <v>1464216873</v>
      </c>
      <c r="P3900">
        <v>3</v>
      </c>
      <c r="Q3900" t="s">
        <v>8149</v>
      </c>
    </row>
    <row r="3901" spans="1:17" x14ac:dyDescent="0.3">
      <c r="A3901" t="s">
        <v>47</v>
      </c>
      <c r="B3901" t="str">
        <f>"002235"</f>
        <v>002235</v>
      </c>
      <c r="C3901" t="s">
        <v>8150</v>
      </c>
      <c r="D3901" t="s">
        <v>2612</v>
      </c>
      <c r="E3901">
        <v>1462867753</v>
      </c>
      <c r="F3901">
        <v>1580651818</v>
      </c>
      <c r="G3901">
        <v>2219967123</v>
      </c>
      <c r="H3901">
        <v>2478101230</v>
      </c>
      <c r="I3901">
        <v>2489659416</v>
      </c>
      <c r="J3901">
        <v>2661386206</v>
      </c>
      <c r="K3901">
        <v>617506227</v>
      </c>
      <c r="L3901">
        <v>717757994</v>
      </c>
      <c r="M3901">
        <v>741808060</v>
      </c>
      <c r="N3901">
        <v>767409176</v>
      </c>
      <c r="O3901">
        <v>766326144</v>
      </c>
      <c r="P3901">
        <v>142</v>
      </c>
      <c r="Q3901" t="s">
        <v>8151</v>
      </c>
    </row>
    <row r="3902" spans="1:17" x14ac:dyDescent="0.3">
      <c r="A3902" t="s">
        <v>47</v>
      </c>
      <c r="B3902" t="str">
        <f>"300300"</f>
        <v>300300</v>
      </c>
      <c r="C3902" t="s">
        <v>8152</v>
      </c>
      <c r="D3902" t="s">
        <v>700</v>
      </c>
      <c r="E3902">
        <v>1461289440</v>
      </c>
      <c r="F3902">
        <v>1913046551</v>
      </c>
      <c r="G3902">
        <v>2399454222</v>
      </c>
      <c r="H3902">
        <v>3574670213</v>
      </c>
      <c r="I3902">
        <v>3320156735</v>
      </c>
      <c r="J3902">
        <v>3515295421</v>
      </c>
      <c r="K3902">
        <v>1851112289</v>
      </c>
      <c r="L3902">
        <v>1233035120</v>
      </c>
      <c r="M3902">
        <v>976794219</v>
      </c>
      <c r="N3902">
        <v>838055411</v>
      </c>
      <c r="O3902">
        <v>681448867</v>
      </c>
      <c r="P3902">
        <v>121</v>
      </c>
      <c r="Q3902" t="s">
        <v>8153</v>
      </c>
    </row>
    <row r="3903" spans="1:17" x14ac:dyDescent="0.3">
      <c r="A3903" t="s">
        <v>47</v>
      </c>
      <c r="B3903" t="str">
        <f>"300281"</f>
        <v>300281</v>
      </c>
      <c r="C3903" t="s">
        <v>8154</v>
      </c>
      <c r="D3903" t="s">
        <v>1973</v>
      </c>
      <c r="E3903">
        <v>1460720006</v>
      </c>
      <c r="F3903">
        <v>1438634598</v>
      </c>
      <c r="G3903">
        <v>1493941518</v>
      </c>
      <c r="H3903">
        <v>1539194667</v>
      </c>
      <c r="I3903">
        <v>1461701268</v>
      </c>
      <c r="J3903">
        <v>1165514481</v>
      </c>
      <c r="K3903">
        <v>1085430416</v>
      </c>
      <c r="L3903">
        <v>979135316</v>
      </c>
      <c r="M3903">
        <v>927145442</v>
      </c>
      <c r="N3903">
        <v>681738763</v>
      </c>
      <c r="O3903">
        <v>625871975</v>
      </c>
      <c r="P3903">
        <v>48</v>
      </c>
      <c r="Q3903" t="s">
        <v>8155</v>
      </c>
    </row>
    <row r="3904" spans="1:17" x14ac:dyDescent="0.3">
      <c r="A3904" t="s">
        <v>17</v>
      </c>
      <c r="B3904" t="str">
        <f>"603598"</f>
        <v>603598</v>
      </c>
      <c r="C3904" t="s">
        <v>8156</v>
      </c>
      <c r="D3904" t="s">
        <v>1824</v>
      </c>
      <c r="E3904">
        <v>1459314665</v>
      </c>
      <c r="F3904">
        <v>1795838573</v>
      </c>
      <c r="G3904">
        <v>1551266318</v>
      </c>
      <c r="H3904">
        <v>1684867372</v>
      </c>
      <c r="I3904">
        <v>2099932696</v>
      </c>
      <c r="J3904">
        <v>966589919</v>
      </c>
      <c r="K3904">
        <v>788416838</v>
      </c>
      <c r="L3904">
        <v>581047495</v>
      </c>
      <c r="P3904">
        <v>113</v>
      </c>
      <c r="Q3904" t="s">
        <v>8157</v>
      </c>
    </row>
    <row r="3905" spans="1:17" x14ac:dyDescent="0.3">
      <c r="A3905" t="s">
        <v>47</v>
      </c>
      <c r="B3905" t="str">
        <f>"301248"</f>
        <v>301248</v>
      </c>
      <c r="C3905" t="s">
        <v>8158</v>
      </c>
      <c r="E3905">
        <v>1459023227</v>
      </c>
      <c r="P3905">
        <v>2</v>
      </c>
      <c r="Q3905" t="s">
        <v>8159</v>
      </c>
    </row>
    <row r="3906" spans="1:17" x14ac:dyDescent="0.3">
      <c r="A3906" t="s">
        <v>47</v>
      </c>
      <c r="B3906" t="str">
        <f>"002968"</f>
        <v>002968</v>
      </c>
      <c r="C3906" t="s">
        <v>8160</v>
      </c>
      <c r="D3906" t="s">
        <v>1988</v>
      </c>
      <c r="E3906">
        <v>1457019464</v>
      </c>
      <c r="F3906">
        <v>1202625792</v>
      </c>
      <c r="G3906">
        <v>989843264</v>
      </c>
      <c r="P3906">
        <v>234</v>
      </c>
      <c r="Q3906" t="s">
        <v>8161</v>
      </c>
    </row>
    <row r="3907" spans="1:17" x14ac:dyDescent="0.3">
      <c r="A3907" t="s">
        <v>17</v>
      </c>
      <c r="B3907" t="str">
        <f>"688159"</f>
        <v>688159</v>
      </c>
      <c r="C3907" t="s">
        <v>8162</v>
      </c>
      <c r="D3907" t="s">
        <v>962</v>
      </c>
      <c r="E3907">
        <v>1456082406</v>
      </c>
      <c r="F3907">
        <v>1310851491</v>
      </c>
      <c r="G3907">
        <v>1357570256</v>
      </c>
      <c r="H3907">
        <v>759297266</v>
      </c>
      <c r="P3907">
        <v>94</v>
      </c>
      <c r="Q3907" t="s">
        <v>8163</v>
      </c>
    </row>
    <row r="3908" spans="1:17" x14ac:dyDescent="0.3">
      <c r="A3908" t="s">
        <v>17</v>
      </c>
      <c r="B3908" t="str">
        <f>"603239"</f>
        <v>603239</v>
      </c>
      <c r="C3908" t="s">
        <v>8164</v>
      </c>
      <c r="D3908" t="s">
        <v>1815</v>
      </c>
      <c r="E3908">
        <v>1455418372</v>
      </c>
      <c r="F3908">
        <v>1205769287</v>
      </c>
      <c r="G3908">
        <v>1177280658</v>
      </c>
      <c r="H3908">
        <v>1166259106</v>
      </c>
      <c r="I3908">
        <v>1229509815</v>
      </c>
      <c r="J3908">
        <v>1072306582</v>
      </c>
      <c r="P3908">
        <v>166</v>
      </c>
      <c r="Q3908" t="s">
        <v>8165</v>
      </c>
    </row>
    <row r="3909" spans="1:17" x14ac:dyDescent="0.3">
      <c r="A3909" t="s">
        <v>17</v>
      </c>
      <c r="B3909" t="str">
        <f>"605118"</f>
        <v>605118</v>
      </c>
      <c r="C3909" t="s">
        <v>8166</v>
      </c>
      <c r="D3909" t="s">
        <v>523</v>
      </c>
      <c r="E3909">
        <v>1454642579</v>
      </c>
      <c r="F3909">
        <v>1286109199</v>
      </c>
      <c r="G3909">
        <v>826820712</v>
      </c>
      <c r="P3909">
        <v>114</v>
      </c>
      <c r="Q3909" t="s">
        <v>8167</v>
      </c>
    </row>
    <row r="3910" spans="1:17" x14ac:dyDescent="0.3">
      <c r="A3910" t="s">
        <v>17</v>
      </c>
      <c r="B3910" t="str">
        <f>"605128"</f>
        <v>605128</v>
      </c>
      <c r="C3910" t="s">
        <v>8168</v>
      </c>
      <c r="D3910" t="s">
        <v>416</v>
      </c>
      <c r="E3910">
        <v>1454584102</v>
      </c>
      <c r="F3910">
        <v>1346073196</v>
      </c>
      <c r="P3910">
        <v>53</v>
      </c>
      <c r="Q3910" t="s">
        <v>8169</v>
      </c>
    </row>
    <row r="3911" spans="1:17" x14ac:dyDescent="0.3">
      <c r="A3911" t="s">
        <v>47</v>
      </c>
      <c r="B3911" t="str">
        <f>"300652"</f>
        <v>300652</v>
      </c>
      <c r="C3911" t="s">
        <v>8170</v>
      </c>
      <c r="D3911" t="s">
        <v>1102</v>
      </c>
      <c r="E3911">
        <v>1452323850</v>
      </c>
      <c r="F3911">
        <v>1334714967</v>
      </c>
      <c r="G3911">
        <v>1420516167</v>
      </c>
      <c r="H3911">
        <v>1412391392</v>
      </c>
      <c r="I3911">
        <v>887471445</v>
      </c>
      <c r="J3911">
        <v>541765964</v>
      </c>
      <c r="P3911">
        <v>92</v>
      </c>
      <c r="Q3911" t="s">
        <v>8171</v>
      </c>
    </row>
    <row r="3912" spans="1:17" x14ac:dyDescent="0.3">
      <c r="A3912" t="s">
        <v>17</v>
      </c>
      <c r="B3912" t="str">
        <f>"605277"</f>
        <v>605277</v>
      </c>
      <c r="C3912" t="s">
        <v>8172</v>
      </c>
      <c r="D3912" t="s">
        <v>283</v>
      </c>
      <c r="E3912">
        <v>1451692849</v>
      </c>
      <c r="F3912">
        <v>1215506285</v>
      </c>
      <c r="P3912">
        <v>68</v>
      </c>
      <c r="Q3912" t="s">
        <v>8173</v>
      </c>
    </row>
    <row r="3913" spans="1:17" x14ac:dyDescent="0.3">
      <c r="A3913" t="s">
        <v>47</v>
      </c>
      <c r="B3913" t="str">
        <f>"002896"</f>
        <v>002896</v>
      </c>
      <c r="C3913" t="s">
        <v>8174</v>
      </c>
      <c r="D3913" t="s">
        <v>401</v>
      </c>
      <c r="E3913">
        <v>1449654125</v>
      </c>
      <c r="F3913">
        <v>1112562765</v>
      </c>
      <c r="G3913">
        <v>1021535311</v>
      </c>
      <c r="H3913">
        <v>957291589</v>
      </c>
      <c r="I3913">
        <v>799581352</v>
      </c>
      <c r="P3913">
        <v>137</v>
      </c>
      <c r="Q3913" t="s">
        <v>8175</v>
      </c>
    </row>
    <row r="3914" spans="1:17" x14ac:dyDescent="0.3">
      <c r="A3914" t="s">
        <v>17</v>
      </c>
      <c r="B3914" t="str">
        <f>"603909"</f>
        <v>603909</v>
      </c>
      <c r="C3914" t="s">
        <v>8176</v>
      </c>
      <c r="D3914" t="s">
        <v>2178</v>
      </c>
      <c r="E3914">
        <v>1448826532</v>
      </c>
      <c r="F3914">
        <v>1390184504</v>
      </c>
      <c r="G3914">
        <v>1314356243</v>
      </c>
      <c r="H3914">
        <v>1275676603</v>
      </c>
      <c r="I3914">
        <v>1027046194</v>
      </c>
      <c r="J3914">
        <v>653157089</v>
      </c>
      <c r="K3914">
        <v>398427505</v>
      </c>
      <c r="P3914">
        <v>65</v>
      </c>
      <c r="Q3914" t="s">
        <v>8177</v>
      </c>
    </row>
    <row r="3915" spans="1:17" x14ac:dyDescent="0.3">
      <c r="A3915" t="s">
        <v>47</v>
      </c>
      <c r="B3915" t="str">
        <f>"300808"</f>
        <v>300808</v>
      </c>
      <c r="C3915" t="s">
        <v>8178</v>
      </c>
      <c r="D3915" t="s">
        <v>862</v>
      </c>
      <c r="E3915">
        <v>1448531623</v>
      </c>
      <c r="F3915">
        <v>1349872260</v>
      </c>
      <c r="G3915">
        <v>1362922147</v>
      </c>
      <c r="P3915">
        <v>55</v>
      </c>
      <c r="Q3915" t="s">
        <v>8179</v>
      </c>
    </row>
    <row r="3916" spans="1:17" x14ac:dyDescent="0.3">
      <c r="A3916" t="s">
        <v>47</v>
      </c>
      <c r="B3916" t="str">
        <f>"002514"</f>
        <v>002514</v>
      </c>
      <c r="C3916" t="s">
        <v>8180</v>
      </c>
      <c r="D3916" t="s">
        <v>401</v>
      </c>
      <c r="E3916">
        <v>1448457777</v>
      </c>
      <c r="F3916">
        <v>1488443993</v>
      </c>
      <c r="G3916">
        <v>1758364521</v>
      </c>
      <c r="H3916">
        <v>1851804815</v>
      </c>
      <c r="I3916">
        <v>1643731671</v>
      </c>
      <c r="J3916">
        <v>1490854356</v>
      </c>
      <c r="K3916">
        <v>1491319506</v>
      </c>
      <c r="L3916">
        <v>1240946311</v>
      </c>
      <c r="M3916">
        <v>653794212</v>
      </c>
      <c r="N3916">
        <v>579563639</v>
      </c>
      <c r="O3916">
        <v>569781068</v>
      </c>
      <c r="P3916">
        <v>61</v>
      </c>
      <c r="Q3916" t="s">
        <v>8181</v>
      </c>
    </row>
    <row r="3917" spans="1:17" x14ac:dyDescent="0.3">
      <c r="A3917" t="s">
        <v>17</v>
      </c>
      <c r="B3917" t="str">
        <f>"605033"</f>
        <v>605033</v>
      </c>
      <c r="C3917" t="s">
        <v>8182</v>
      </c>
      <c r="D3917" t="s">
        <v>819</v>
      </c>
      <c r="E3917">
        <v>1446430467</v>
      </c>
      <c r="F3917">
        <v>756082215</v>
      </c>
      <c r="P3917">
        <v>14</v>
      </c>
      <c r="Q3917" t="s">
        <v>8183</v>
      </c>
    </row>
    <row r="3918" spans="1:17" x14ac:dyDescent="0.3">
      <c r="A3918" t="s">
        <v>47</v>
      </c>
      <c r="B3918" t="str">
        <f>"300892"</f>
        <v>300892</v>
      </c>
      <c r="C3918" t="s">
        <v>8184</v>
      </c>
      <c r="D3918" t="s">
        <v>768</v>
      </c>
      <c r="E3918">
        <v>1445046284</v>
      </c>
      <c r="F3918">
        <v>1410059350</v>
      </c>
      <c r="P3918">
        <v>99</v>
      </c>
      <c r="Q3918" t="s">
        <v>8185</v>
      </c>
    </row>
    <row r="3919" spans="1:17" x14ac:dyDescent="0.3">
      <c r="A3919" t="s">
        <v>47</v>
      </c>
      <c r="B3919" t="str">
        <f>"002667"</f>
        <v>002667</v>
      </c>
      <c r="C3919" t="s">
        <v>8186</v>
      </c>
      <c r="D3919" t="s">
        <v>607</v>
      </c>
      <c r="E3919">
        <v>1444591414</v>
      </c>
      <c r="F3919">
        <v>899983038</v>
      </c>
      <c r="G3919">
        <v>903414534</v>
      </c>
      <c r="H3919">
        <v>940245245</v>
      </c>
      <c r="I3919">
        <v>885621933</v>
      </c>
      <c r="J3919">
        <v>846424840</v>
      </c>
      <c r="K3919">
        <v>838520250</v>
      </c>
      <c r="L3919">
        <v>886471993</v>
      </c>
      <c r="M3919">
        <v>892145041</v>
      </c>
      <c r="N3919">
        <v>828450212</v>
      </c>
      <c r="O3919">
        <v>780816665</v>
      </c>
      <c r="P3919">
        <v>73</v>
      </c>
      <c r="Q3919" t="s">
        <v>8187</v>
      </c>
    </row>
    <row r="3920" spans="1:17" x14ac:dyDescent="0.3">
      <c r="A3920" t="s">
        <v>47</v>
      </c>
      <c r="B3920" t="str">
        <f>"300453"</f>
        <v>300453</v>
      </c>
      <c r="C3920" t="s">
        <v>8188</v>
      </c>
      <c r="D3920" t="s">
        <v>1650</v>
      </c>
      <c r="E3920">
        <v>1442878734</v>
      </c>
      <c r="F3920">
        <v>1174150381</v>
      </c>
      <c r="G3920">
        <v>1146295323</v>
      </c>
      <c r="H3920">
        <v>855539155</v>
      </c>
      <c r="I3920">
        <v>705991536</v>
      </c>
      <c r="J3920">
        <v>633408420</v>
      </c>
      <c r="K3920">
        <v>590872739</v>
      </c>
      <c r="L3920">
        <v>404915900</v>
      </c>
      <c r="M3920">
        <v>381370000</v>
      </c>
      <c r="P3920">
        <v>226</v>
      </c>
      <c r="Q3920" t="s">
        <v>8189</v>
      </c>
    </row>
    <row r="3921" spans="1:17" x14ac:dyDescent="0.3">
      <c r="A3921" t="s">
        <v>17</v>
      </c>
      <c r="B3921" t="str">
        <f>"603439"</f>
        <v>603439</v>
      </c>
      <c r="C3921" t="s">
        <v>8190</v>
      </c>
      <c r="D3921" t="s">
        <v>695</v>
      </c>
      <c r="E3921">
        <v>1442860298</v>
      </c>
      <c r="F3921">
        <v>1305721003</v>
      </c>
      <c r="G3921">
        <v>767377126</v>
      </c>
      <c r="P3921">
        <v>293</v>
      </c>
      <c r="Q3921" t="s">
        <v>8191</v>
      </c>
    </row>
    <row r="3922" spans="1:17" x14ac:dyDescent="0.3">
      <c r="A3922" t="s">
        <v>47</v>
      </c>
      <c r="B3922" t="str">
        <f>"002972"</f>
        <v>002972</v>
      </c>
      <c r="C3922" t="s">
        <v>8192</v>
      </c>
      <c r="D3922" t="s">
        <v>193</v>
      </c>
      <c r="E3922">
        <v>1442267224</v>
      </c>
      <c r="F3922">
        <v>1309310607</v>
      </c>
      <c r="G3922">
        <v>1219690988</v>
      </c>
      <c r="H3922">
        <v>641667776</v>
      </c>
      <c r="I3922">
        <v>530001796</v>
      </c>
      <c r="P3922">
        <v>188</v>
      </c>
      <c r="Q3922" t="s">
        <v>8193</v>
      </c>
    </row>
    <row r="3923" spans="1:17" x14ac:dyDescent="0.3">
      <c r="A3923" t="s">
        <v>47</v>
      </c>
      <c r="B3923" t="str">
        <f>"300419"</f>
        <v>300419</v>
      </c>
      <c r="C3923" t="s">
        <v>8194</v>
      </c>
      <c r="D3923" t="s">
        <v>700</v>
      </c>
      <c r="E3923">
        <v>1439115371</v>
      </c>
      <c r="F3923">
        <v>1358046317</v>
      </c>
      <c r="G3923">
        <v>1214783602</v>
      </c>
      <c r="H3923">
        <v>1229106684</v>
      </c>
      <c r="I3923">
        <v>1772274493</v>
      </c>
      <c r="J3923">
        <v>1763448851</v>
      </c>
      <c r="K3923">
        <v>1440683105</v>
      </c>
      <c r="L3923">
        <v>600817875</v>
      </c>
      <c r="P3923">
        <v>89</v>
      </c>
      <c r="Q3923" t="s">
        <v>8195</v>
      </c>
    </row>
    <row r="3924" spans="1:17" x14ac:dyDescent="0.3">
      <c r="A3924" t="s">
        <v>47</v>
      </c>
      <c r="B3924" t="str">
        <f>"002021"</f>
        <v>002021</v>
      </c>
      <c r="C3924" t="s">
        <v>8196</v>
      </c>
      <c r="D3924" t="s">
        <v>2603</v>
      </c>
      <c r="E3924">
        <v>1438858502</v>
      </c>
      <c r="F3924">
        <v>936973276</v>
      </c>
      <c r="G3924">
        <v>1042114467</v>
      </c>
      <c r="H3924">
        <v>1278049873</v>
      </c>
      <c r="I3924">
        <v>1781277383</v>
      </c>
      <c r="J3924">
        <v>1891227898</v>
      </c>
      <c r="K3924">
        <v>1687722021</v>
      </c>
      <c r="L3924">
        <v>1903295849</v>
      </c>
      <c r="M3924">
        <v>3405491809</v>
      </c>
      <c r="N3924">
        <v>3151096702</v>
      </c>
      <c r="O3924">
        <v>2644022316</v>
      </c>
      <c r="P3924">
        <v>57</v>
      </c>
      <c r="Q3924" t="s">
        <v>8197</v>
      </c>
    </row>
    <row r="3925" spans="1:17" x14ac:dyDescent="0.3">
      <c r="A3925" t="s">
        <v>47</v>
      </c>
      <c r="B3925" t="str">
        <f>"300162"</f>
        <v>300162</v>
      </c>
      <c r="C3925" t="s">
        <v>8198</v>
      </c>
      <c r="D3925" t="s">
        <v>862</v>
      </c>
      <c r="E3925">
        <v>1438710311</v>
      </c>
      <c r="F3925">
        <v>1239430912</v>
      </c>
      <c r="G3925">
        <v>1332271371</v>
      </c>
      <c r="H3925">
        <v>1356553120</v>
      </c>
      <c r="I3925">
        <v>1309104732</v>
      </c>
      <c r="J3925">
        <v>1523027271</v>
      </c>
      <c r="K3925">
        <v>1250662332</v>
      </c>
      <c r="L3925">
        <v>918503321</v>
      </c>
      <c r="M3925">
        <v>858353933</v>
      </c>
      <c r="N3925">
        <v>870836706</v>
      </c>
      <c r="O3925">
        <v>827850874</v>
      </c>
      <c r="P3925">
        <v>76</v>
      </c>
      <c r="Q3925" t="s">
        <v>8199</v>
      </c>
    </row>
    <row r="3926" spans="1:17" x14ac:dyDescent="0.3">
      <c r="A3926" t="s">
        <v>17</v>
      </c>
      <c r="B3926" t="str">
        <f>"688197"</f>
        <v>688197</v>
      </c>
      <c r="C3926" t="s">
        <v>8200</v>
      </c>
      <c r="E3926">
        <v>1438542169</v>
      </c>
      <c r="P3926">
        <v>3</v>
      </c>
      <c r="Q3926" t="s">
        <v>8201</v>
      </c>
    </row>
    <row r="3927" spans="1:17" x14ac:dyDescent="0.3">
      <c r="A3927" t="s">
        <v>47</v>
      </c>
      <c r="B3927" t="str">
        <f>"300742"</f>
        <v>300742</v>
      </c>
      <c r="C3927" t="s">
        <v>8202</v>
      </c>
      <c r="D3927" t="s">
        <v>274</v>
      </c>
      <c r="E3927">
        <v>1438305677</v>
      </c>
      <c r="F3927">
        <v>1566701281</v>
      </c>
      <c r="G3927">
        <v>1613262502</v>
      </c>
      <c r="H3927">
        <v>2531873259</v>
      </c>
      <c r="I3927">
        <v>1721620579</v>
      </c>
      <c r="P3927">
        <v>90</v>
      </c>
      <c r="Q3927" t="s">
        <v>8203</v>
      </c>
    </row>
    <row r="3928" spans="1:17" x14ac:dyDescent="0.3">
      <c r="A3928" t="s">
        <v>47</v>
      </c>
      <c r="B3928" t="str">
        <f>"300637"</f>
        <v>300637</v>
      </c>
      <c r="C3928" t="s">
        <v>8204</v>
      </c>
      <c r="D3928" t="s">
        <v>3050</v>
      </c>
      <c r="E3928">
        <v>1438130215</v>
      </c>
      <c r="F3928">
        <v>1264348414</v>
      </c>
      <c r="G3928">
        <v>1213315109</v>
      </c>
      <c r="H3928">
        <v>820341085</v>
      </c>
      <c r="I3928">
        <v>662002036</v>
      </c>
      <c r="J3928">
        <v>451617811</v>
      </c>
      <c r="P3928">
        <v>117</v>
      </c>
      <c r="Q3928" t="s">
        <v>8205</v>
      </c>
    </row>
    <row r="3929" spans="1:17" x14ac:dyDescent="0.3">
      <c r="A3929" t="s">
        <v>47</v>
      </c>
      <c r="B3929" t="str">
        <f>"002937"</f>
        <v>002937</v>
      </c>
      <c r="C3929" t="s">
        <v>8206</v>
      </c>
      <c r="D3929" t="s">
        <v>283</v>
      </c>
      <c r="E3929">
        <v>1437488780</v>
      </c>
      <c r="F3929">
        <v>1301779805</v>
      </c>
      <c r="G3929">
        <v>1121454340</v>
      </c>
      <c r="H3929">
        <v>1077310529</v>
      </c>
      <c r="P3929">
        <v>209</v>
      </c>
      <c r="Q3929" t="s">
        <v>8207</v>
      </c>
    </row>
    <row r="3930" spans="1:17" x14ac:dyDescent="0.3">
      <c r="A3930" t="s">
        <v>47</v>
      </c>
      <c r="B3930" t="str">
        <f>"002553"</f>
        <v>002553</v>
      </c>
      <c r="C3930" t="s">
        <v>8208</v>
      </c>
      <c r="D3930" t="s">
        <v>274</v>
      </c>
      <c r="E3930">
        <v>1437472150</v>
      </c>
      <c r="F3930">
        <v>1314684596</v>
      </c>
      <c r="G3930">
        <v>794133857</v>
      </c>
      <c r="H3930">
        <v>830879906</v>
      </c>
      <c r="I3930">
        <v>811327157</v>
      </c>
      <c r="J3930">
        <v>775955863</v>
      </c>
      <c r="K3930">
        <v>722471669</v>
      </c>
      <c r="L3930">
        <v>692328948</v>
      </c>
      <c r="M3930">
        <v>625326795</v>
      </c>
      <c r="N3930">
        <v>616688313</v>
      </c>
      <c r="O3930">
        <v>577107879</v>
      </c>
      <c r="P3930">
        <v>140</v>
      </c>
      <c r="Q3930" t="s">
        <v>8209</v>
      </c>
    </row>
    <row r="3931" spans="1:17" x14ac:dyDescent="0.3">
      <c r="A3931" t="s">
        <v>17</v>
      </c>
      <c r="B3931" t="str">
        <f>"603516"</f>
        <v>603516</v>
      </c>
      <c r="C3931" t="s">
        <v>8210</v>
      </c>
      <c r="D3931" t="s">
        <v>765</v>
      </c>
      <c r="E3931">
        <v>1436751101</v>
      </c>
      <c r="F3931">
        <v>1391740775</v>
      </c>
      <c r="G3931">
        <v>925730853</v>
      </c>
      <c r="H3931">
        <v>814885301</v>
      </c>
      <c r="I3931">
        <v>765153923</v>
      </c>
      <c r="P3931">
        <v>202</v>
      </c>
      <c r="Q3931" t="s">
        <v>8211</v>
      </c>
    </row>
    <row r="3932" spans="1:17" x14ac:dyDescent="0.3">
      <c r="A3932" t="s">
        <v>47</v>
      </c>
      <c r="B3932" t="str">
        <f>"300920"</f>
        <v>300920</v>
      </c>
      <c r="C3932" t="s">
        <v>8212</v>
      </c>
      <c r="D3932" t="s">
        <v>3077</v>
      </c>
      <c r="E3932">
        <v>1432221058</v>
      </c>
      <c r="F3932">
        <v>1375410175</v>
      </c>
      <c r="P3932">
        <v>46</v>
      </c>
      <c r="Q3932" t="s">
        <v>8213</v>
      </c>
    </row>
    <row r="3933" spans="1:17" x14ac:dyDescent="0.3">
      <c r="A3933" t="s">
        <v>17</v>
      </c>
      <c r="B3933" t="str">
        <f>"688613"</f>
        <v>688613</v>
      </c>
      <c r="C3933" t="s">
        <v>8214</v>
      </c>
      <c r="D3933" t="s">
        <v>1650</v>
      </c>
      <c r="E3933">
        <v>1431884177</v>
      </c>
      <c r="F3933">
        <v>841581077</v>
      </c>
      <c r="P3933">
        <v>51</v>
      </c>
      <c r="Q3933" t="s">
        <v>8215</v>
      </c>
    </row>
    <row r="3934" spans="1:17" x14ac:dyDescent="0.3">
      <c r="A3934" t="s">
        <v>17</v>
      </c>
      <c r="B3934" t="str">
        <f>"603199"</f>
        <v>603199</v>
      </c>
      <c r="C3934" t="s">
        <v>8216</v>
      </c>
      <c r="D3934" t="s">
        <v>4410</v>
      </c>
      <c r="E3934">
        <v>1431208065</v>
      </c>
      <c r="F3934">
        <v>1418205310</v>
      </c>
      <c r="G3934">
        <v>1347787799</v>
      </c>
      <c r="H3934">
        <v>1313484837</v>
      </c>
      <c r="I3934">
        <v>1187954245</v>
      </c>
      <c r="J3934">
        <v>1108871588</v>
      </c>
      <c r="K3934">
        <v>1021025683</v>
      </c>
      <c r="L3934">
        <v>1217578032</v>
      </c>
      <c r="P3934">
        <v>144</v>
      </c>
      <c r="Q3934" t="s">
        <v>8217</v>
      </c>
    </row>
    <row r="3935" spans="1:17" x14ac:dyDescent="0.3">
      <c r="A3935" t="s">
        <v>17</v>
      </c>
      <c r="B3935" t="str">
        <f>"688365"</f>
        <v>688365</v>
      </c>
      <c r="C3935" t="s">
        <v>8218</v>
      </c>
      <c r="D3935" t="s">
        <v>700</v>
      </c>
      <c r="E3935">
        <v>1430562849</v>
      </c>
      <c r="F3935">
        <v>1347185058</v>
      </c>
      <c r="G3935">
        <v>858835999</v>
      </c>
      <c r="P3935">
        <v>72</v>
      </c>
      <c r="Q3935" t="s">
        <v>8219</v>
      </c>
    </row>
    <row r="3936" spans="1:17" x14ac:dyDescent="0.3">
      <c r="A3936" t="s">
        <v>17</v>
      </c>
      <c r="B3936" t="str">
        <f>"688328"</f>
        <v>688328</v>
      </c>
      <c r="C3936" t="s">
        <v>8220</v>
      </c>
      <c r="D3936" t="s">
        <v>1973</v>
      </c>
      <c r="E3936">
        <v>1429044438</v>
      </c>
      <c r="F3936">
        <v>1405915768</v>
      </c>
      <c r="P3936">
        <v>39</v>
      </c>
      <c r="Q3936" t="s">
        <v>8221</v>
      </c>
    </row>
    <row r="3937" spans="1:17" x14ac:dyDescent="0.3">
      <c r="A3937" t="s">
        <v>47</v>
      </c>
      <c r="B3937" t="str">
        <f>"301138"</f>
        <v>301138</v>
      </c>
      <c r="C3937" t="s">
        <v>8222</v>
      </c>
      <c r="D3937" t="s">
        <v>1973</v>
      </c>
      <c r="E3937">
        <v>1424956715</v>
      </c>
      <c r="P3937">
        <v>16</v>
      </c>
      <c r="Q3937" t="s">
        <v>8223</v>
      </c>
    </row>
    <row r="3938" spans="1:17" x14ac:dyDescent="0.3">
      <c r="A3938" t="s">
        <v>47</v>
      </c>
      <c r="B3938" t="str">
        <f>"300835"</f>
        <v>300835</v>
      </c>
      <c r="C3938" t="s">
        <v>8224</v>
      </c>
      <c r="D3938" t="s">
        <v>2108</v>
      </c>
      <c r="E3938">
        <v>1424781121</v>
      </c>
      <c r="F3938">
        <v>1098535727</v>
      </c>
      <c r="G3938">
        <v>826593814</v>
      </c>
      <c r="P3938">
        <v>67</v>
      </c>
      <c r="Q3938" t="s">
        <v>8225</v>
      </c>
    </row>
    <row r="3939" spans="1:17" x14ac:dyDescent="0.3">
      <c r="A3939" t="s">
        <v>47</v>
      </c>
      <c r="B3939" t="str">
        <f>"002770"</f>
        <v>002770</v>
      </c>
      <c r="C3939" t="s">
        <v>8226</v>
      </c>
      <c r="D3939" t="s">
        <v>487</v>
      </c>
      <c r="E3939">
        <v>1424754198</v>
      </c>
      <c r="F3939">
        <v>2361705662</v>
      </c>
      <c r="G3939">
        <v>3498248082</v>
      </c>
      <c r="H3939">
        <v>3466331632</v>
      </c>
      <c r="I3939">
        <v>2907137983</v>
      </c>
      <c r="J3939">
        <v>2739048990</v>
      </c>
      <c r="K3939">
        <v>2045198759</v>
      </c>
      <c r="L3939">
        <v>1246874394</v>
      </c>
      <c r="P3939">
        <v>163</v>
      </c>
      <c r="Q3939" t="s">
        <v>8227</v>
      </c>
    </row>
    <row r="3940" spans="1:17" x14ac:dyDescent="0.3">
      <c r="A3940" t="s">
        <v>47</v>
      </c>
      <c r="B3940" t="str">
        <f>"301073"</f>
        <v>301073</v>
      </c>
      <c r="C3940" t="s">
        <v>8228</v>
      </c>
      <c r="D3940" t="s">
        <v>899</v>
      </c>
      <c r="E3940">
        <v>1424728660</v>
      </c>
      <c r="P3940">
        <v>22</v>
      </c>
      <c r="Q3940" t="s">
        <v>8229</v>
      </c>
    </row>
    <row r="3941" spans="1:17" x14ac:dyDescent="0.3">
      <c r="A3941" t="s">
        <v>17</v>
      </c>
      <c r="B3941" t="str">
        <f>"600306"</f>
        <v>600306</v>
      </c>
      <c r="C3941" t="s">
        <v>8230</v>
      </c>
      <c r="D3941" t="s">
        <v>1073</v>
      </c>
      <c r="E3941">
        <v>1422196355</v>
      </c>
      <c r="F3941">
        <v>1323198170</v>
      </c>
      <c r="G3941">
        <v>1385739590</v>
      </c>
      <c r="H3941">
        <v>1495439125</v>
      </c>
      <c r="I3941">
        <v>1925891740</v>
      </c>
      <c r="J3941">
        <v>1632495579</v>
      </c>
      <c r="K3941">
        <v>2131750601</v>
      </c>
      <c r="L3941">
        <v>2371852838</v>
      </c>
      <c r="M3941">
        <v>3429428848</v>
      </c>
      <c r="N3941">
        <v>3753361319</v>
      </c>
      <c r="O3941">
        <v>2953355229</v>
      </c>
      <c r="P3941">
        <v>71</v>
      </c>
      <c r="Q3941" t="s">
        <v>8231</v>
      </c>
    </row>
    <row r="3942" spans="1:17" x14ac:dyDescent="0.3">
      <c r="A3942" t="s">
        <v>47</v>
      </c>
      <c r="B3942" t="str">
        <f>"002222"</f>
        <v>002222</v>
      </c>
      <c r="C3942" t="s">
        <v>8232</v>
      </c>
      <c r="D3942" t="s">
        <v>1487</v>
      </c>
      <c r="E3942">
        <v>1421456776</v>
      </c>
      <c r="F3942">
        <v>1227281212</v>
      </c>
      <c r="G3942">
        <v>1096739795</v>
      </c>
      <c r="H3942">
        <v>1011951301</v>
      </c>
      <c r="I3942">
        <v>916290893</v>
      </c>
      <c r="J3942">
        <v>799984449</v>
      </c>
      <c r="K3942">
        <v>707474964</v>
      </c>
      <c r="L3942">
        <v>671027890</v>
      </c>
      <c r="M3942">
        <v>726144984</v>
      </c>
      <c r="N3942">
        <v>692719204</v>
      </c>
      <c r="O3942">
        <v>694590548</v>
      </c>
      <c r="P3942">
        <v>517</v>
      </c>
      <c r="Q3942" t="s">
        <v>8233</v>
      </c>
    </row>
    <row r="3943" spans="1:17" x14ac:dyDescent="0.3">
      <c r="A3943" t="s">
        <v>17</v>
      </c>
      <c r="B3943" t="str">
        <f>"605378"</f>
        <v>605378</v>
      </c>
      <c r="C3943" t="s">
        <v>8234</v>
      </c>
      <c r="D3943" t="s">
        <v>1357</v>
      </c>
      <c r="E3943">
        <v>1421326049</v>
      </c>
      <c r="F3943">
        <v>886121737</v>
      </c>
      <c r="P3943">
        <v>32</v>
      </c>
      <c r="Q3943" t="s">
        <v>8235</v>
      </c>
    </row>
    <row r="3944" spans="1:17" x14ac:dyDescent="0.3">
      <c r="A3944" t="s">
        <v>47</v>
      </c>
      <c r="B3944" t="str">
        <f>"300855"</f>
        <v>300855</v>
      </c>
      <c r="C3944" t="s">
        <v>8236</v>
      </c>
      <c r="D3944" t="s">
        <v>2432</v>
      </c>
      <c r="E3944">
        <v>1419542482</v>
      </c>
      <c r="F3944">
        <v>1155680755</v>
      </c>
      <c r="G3944">
        <v>611495552</v>
      </c>
      <c r="P3944">
        <v>139</v>
      </c>
      <c r="Q3944" t="s">
        <v>8237</v>
      </c>
    </row>
    <row r="3945" spans="1:17" x14ac:dyDescent="0.3">
      <c r="A3945" t="s">
        <v>17</v>
      </c>
      <c r="B3945" t="str">
        <f>"688355"</f>
        <v>688355</v>
      </c>
      <c r="C3945" t="s">
        <v>8238</v>
      </c>
      <c r="D3945" t="s">
        <v>401</v>
      </c>
      <c r="E3945">
        <v>1418245888</v>
      </c>
      <c r="F3945">
        <v>752552522</v>
      </c>
      <c r="P3945">
        <v>21</v>
      </c>
      <c r="Q3945" t="s">
        <v>8239</v>
      </c>
    </row>
    <row r="3946" spans="1:17" x14ac:dyDescent="0.3">
      <c r="A3946" t="s">
        <v>17</v>
      </c>
      <c r="B3946" t="str">
        <f>"603931"</f>
        <v>603931</v>
      </c>
      <c r="C3946" t="s">
        <v>8240</v>
      </c>
      <c r="D3946" t="s">
        <v>3050</v>
      </c>
      <c r="E3946">
        <v>1417949210</v>
      </c>
      <c r="F3946">
        <v>1254019170</v>
      </c>
      <c r="G3946">
        <v>714035239</v>
      </c>
      <c r="P3946">
        <v>88</v>
      </c>
      <c r="Q3946" t="s">
        <v>8241</v>
      </c>
    </row>
    <row r="3947" spans="1:17" x14ac:dyDescent="0.3">
      <c r="A3947" t="s">
        <v>47</v>
      </c>
      <c r="B3947" t="str">
        <f>"002927"</f>
        <v>002927</v>
      </c>
      <c r="C3947" t="s">
        <v>8242</v>
      </c>
      <c r="D3947" t="s">
        <v>562</v>
      </c>
      <c r="E3947">
        <v>1417625988</v>
      </c>
      <c r="F3947">
        <v>1241024050</v>
      </c>
      <c r="G3947">
        <v>1119318542</v>
      </c>
      <c r="H3947">
        <v>840749624</v>
      </c>
      <c r="I3947">
        <v>775860395</v>
      </c>
      <c r="P3947">
        <v>117</v>
      </c>
      <c r="Q3947" t="s">
        <v>8243</v>
      </c>
    </row>
    <row r="3948" spans="1:17" x14ac:dyDescent="0.3">
      <c r="A3948" t="s">
        <v>47</v>
      </c>
      <c r="B3948" t="str">
        <f>"300594"</f>
        <v>300594</v>
      </c>
      <c r="C3948" t="s">
        <v>8244</v>
      </c>
      <c r="D3948" t="s">
        <v>193</v>
      </c>
      <c r="E3948">
        <v>1417233362</v>
      </c>
      <c r="F3948">
        <v>1267805003</v>
      </c>
      <c r="G3948">
        <v>1166575011</v>
      </c>
      <c r="H3948">
        <v>645743397</v>
      </c>
      <c r="P3948">
        <v>72</v>
      </c>
      <c r="Q3948" t="s">
        <v>8245</v>
      </c>
    </row>
    <row r="3949" spans="1:17" x14ac:dyDescent="0.3">
      <c r="A3949" t="s">
        <v>47</v>
      </c>
      <c r="B3949" t="str">
        <f>"300854"</f>
        <v>300854</v>
      </c>
      <c r="C3949" t="s">
        <v>8246</v>
      </c>
      <c r="D3949" t="s">
        <v>1310</v>
      </c>
      <c r="E3949">
        <v>1415031069</v>
      </c>
      <c r="P3949">
        <v>19</v>
      </c>
      <c r="Q3949" t="s">
        <v>8247</v>
      </c>
    </row>
    <row r="3950" spans="1:17" x14ac:dyDescent="0.3">
      <c r="A3950" t="s">
        <v>17</v>
      </c>
      <c r="B3950" t="str">
        <f>"603177"</f>
        <v>603177</v>
      </c>
      <c r="C3950" t="s">
        <v>8248</v>
      </c>
      <c r="D3950" t="s">
        <v>1426</v>
      </c>
      <c r="E3950">
        <v>1408905471</v>
      </c>
      <c r="F3950">
        <v>1217543836</v>
      </c>
      <c r="G3950">
        <v>1291224417</v>
      </c>
      <c r="H3950">
        <v>1256382569</v>
      </c>
      <c r="I3950">
        <v>1136020919</v>
      </c>
      <c r="J3950">
        <v>1129307276</v>
      </c>
      <c r="P3950">
        <v>68</v>
      </c>
      <c r="Q3950" t="s">
        <v>8249</v>
      </c>
    </row>
    <row r="3951" spans="1:17" x14ac:dyDescent="0.3">
      <c r="A3951" t="s">
        <v>17</v>
      </c>
      <c r="B3951" t="str">
        <f>"603215"</f>
        <v>603215</v>
      </c>
      <c r="C3951" t="s">
        <v>8250</v>
      </c>
      <c r="E3951">
        <v>1408805827</v>
      </c>
      <c r="P3951">
        <v>13</v>
      </c>
      <c r="Q3951" t="s">
        <v>8251</v>
      </c>
    </row>
    <row r="3952" spans="1:17" x14ac:dyDescent="0.3">
      <c r="A3952" t="s">
        <v>47</v>
      </c>
      <c r="B3952" t="str">
        <f>"000790"</f>
        <v>000790</v>
      </c>
      <c r="C3952" t="s">
        <v>8252</v>
      </c>
      <c r="D3952" t="s">
        <v>695</v>
      </c>
      <c r="E3952">
        <v>1406259885</v>
      </c>
      <c r="F3952">
        <v>1177794235</v>
      </c>
      <c r="G3952">
        <v>1098721687</v>
      </c>
      <c r="H3952">
        <v>1098404605</v>
      </c>
      <c r="I3952">
        <v>1308441056</v>
      </c>
      <c r="J3952">
        <v>1007618167</v>
      </c>
      <c r="K3952">
        <v>869685047</v>
      </c>
      <c r="L3952">
        <v>998648814</v>
      </c>
      <c r="M3952">
        <v>964065386</v>
      </c>
      <c r="N3952">
        <v>912118909</v>
      </c>
      <c r="O3952">
        <v>852026962</v>
      </c>
      <c r="P3952">
        <v>175</v>
      </c>
      <c r="Q3952" t="s">
        <v>8253</v>
      </c>
    </row>
    <row r="3953" spans="1:17" x14ac:dyDescent="0.3">
      <c r="A3953" t="s">
        <v>47</v>
      </c>
      <c r="B3953" t="str">
        <f>"300917"</f>
        <v>300917</v>
      </c>
      <c r="C3953" t="s">
        <v>8254</v>
      </c>
      <c r="D3953" t="s">
        <v>1988</v>
      </c>
      <c r="E3953">
        <v>1406220737</v>
      </c>
      <c r="F3953">
        <v>1119434275</v>
      </c>
      <c r="P3953">
        <v>80</v>
      </c>
      <c r="Q3953" t="s">
        <v>8255</v>
      </c>
    </row>
    <row r="3954" spans="1:17" x14ac:dyDescent="0.3">
      <c r="A3954" t="s">
        <v>47</v>
      </c>
      <c r="B3954" t="str">
        <f>"300329"</f>
        <v>300329</v>
      </c>
      <c r="C3954" t="s">
        <v>8256</v>
      </c>
      <c r="D3954" t="s">
        <v>4263</v>
      </c>
      <c r="E3954">
        <v>1404776369</v>
      </c>
      <c r="F3954">
        <v>1317582701</v>
      </c>
      <c r="G3954">
        <v>1270845625</v>
      </c>
      <c r="H3954">
        <v>1178935123</v>
      </c>
      <c r="I3954">
        <v>1017159835</v>
      </c>
      <c r="J3954">
        <v>943548608</v>
      </c>
      <c r="K3954">
        <v>887156811</v>
      </c>
      <c r="L3954">
        <v>656772613</v>
      </c>
      <c r="M3954">
        <v>658451965</v>
      </c>
      <c r="N3954">
        <v>646148030</v>
      </c>
      <c r="O3954">
        <v>388915984</v>
      </c>
      <c r="P3954">
        <v>96</v>
      </c>
      <c r="Q3954" t="s">
        <v>8257</v>
      </c>
    </row>
    <row r="3955" spans="1:17" x14ac:dyDescent="0.3">
      <c r="A3955" t="s">
        <v>47</v>
      </c>
      <c r="B3955" t="str">
        <f>"002451"</f>
        <v>002451</v>
      </c>
      <c r="C3955" t="s">
        <v>8258</v>
      </c>
      <c r="D3955" t="s">
        <v>1616</v>
      </c>
      <c r="E3955">
        <v>1402431003</v>
      </c>
      <c r="F3955">
        <v>1260381491</v>
      </c>
      <c r="G3955">
        <v>1157177658</v>
      </c>
      <c r="H3955">
        <v>1451482990</v>
      </c>
      <c r="I3955">
        <v>1545411906</v>
      </c>
      <c r="J3955">
        <v>1742408479</v>
      </c>
      <c r="K3955">
        <v>1992982763</v>
      </c>
      <c r="L3955">
        <v>1655434100</v>
      </c>
      <c r="M3955">
        <v>1225501980</v>
      </c>
      <c r="N3955">
        <v>1045632610</v>
      </c>
      <c r="O3955">
        <v>857037794</v>
      </c>
      <c r="P3955">
        <v>105</v>
      </c>
      <c r="Q3955" t="s">
        <v>8259</v>
      </c>
    </row>
    <row r="3956" spans="1:17" x14ac:dyDescent="0.3">
      <c r="A3956" t="s">
        <v>47</v>
      </c>
      <c r="B3956" t="str">
        <f>"301089"</f>
        <v>301089</v>
      </c>
      <c r="C3956" t="s">
        <v>8260</v>
      </c>
      <c r="D3956" t="s">
        <v>1112</v>
      </c>
      <c r="E3956">
        <v>1400961990</v>
      </c>
      <c r="P3956">
        <v>37</v>
      </c>
      <c r="Q3956" t="s">
        <v>8261</v>
      </c>
    </row>
    <row r="3957" spans="1:17" x14ac:dyDescent="0.3">
      <c r="A3957" t="s">
        <v>47</v>
      </c>
      <c r="B3957" t="str">
        <f>"301117"</f>
        <v>301117</v>
      </c>
      <c r="C3957" t="s">
        <v>8262</v>
      </c>
      <c r="D3957" t="s">
        <v>523</v>
      </c>
      <c r="E3957">
        <v>1400557809</v>
      </c>
      <c r="P3957">
        <v>9</v>
      </c>
      <c r="Q3957" t="s">
        <v>8263</v>
      </c>
    </row>
    <row r="3958" spans="1:17" x14ac:dyDescent="0.3">
      <c r="A3958" t="s">
        <v>17</v>
      </c>
      <c r="B3958" t="str">
        <f>"603779"</f>
        <v>603779</v>
      </c>
      <c r="C3958" t="s">
        <v>8264</v>
      </c>
      <c r="D3958" t="s">
        <v>2319</v>
      </c>
      <c r="E3958">
        <v>1399334132</v>
      </c>
      <c r="F3958">
        <v>1880456443</v>
      </c>
      <c r="G3958">
        <v>1898262850</v>
      </c>
      <c r="H3958">
        <v>2111591025</v>
      </c>
      <c r="I3958">
        <v>1946793932</v>
      </c>
      <c r="J3958">
        <v>1542852712</v>
      </c>
      <c r="K3958">
        <v>1321750023</v>
      </c>
      <c r="P3958">
        <v>101</v>
      </c>
      <c r="Q3958" t="s">
        <v>8265</v>
      </c>
    </row>
    <row r="3959" spans="1:17" x14ac:dyDescent="0.3">
      <c r="A3959" t="s">
        <v>47</v>
      </c>
      <c r="B3959" t="str">
        <f>"003026"</f>
        <v>003026</v>
      </c>
      <c r="C3959" t="s">
        <v>8266</v>
      </c>
      <c r="D3959" t="s">
        <v>567</v>
      </c>
      <c r="E3959">
        <v>1396161262</v>
      </c>
      <c r="F3959">
        <v>889483805</v>
      </c>
      <c r="P3959">
        <v>106</v>
      </c>
      <c r="Q3959" t="s">
        <v>8267</v>
      </c>
    </row>
    <row r="3960" spans="1:17" x14ac:dyDescent="0.3">
      <c r="A3960" t="s">
        <v>17</v>
      </c>
      <c r="B3960" t="str">
        <f>"688689"</f>
        <v>688689</v>
      </c>
      <c r="C3960" t="s">
        <v>8268</v>
      </c>
      <c r="D3960" t="s">
        <v>2213</v>
      </c>
      <c r="E3960">
        <v>1396109115</v>
      </c>
      <c r="F3960">
        <v>1225270561</v>
      </c>
      <c r="G3960">
        <v>684282800</v>
      </c>
      <c r="P3960">
        <v>46</v>
      </c>
      <c r="Q3960" t="s">
        <v>8269</v>
      </c>
    </row>
    <row r="3961" spans="1:17" x14ac:dyDescent="0.3">
      <c r="A3961" t="s">
        <v>17</v>
      </c>
      <c r="B3961" t="str">
        <f>"603335"</f>
        <v>603335</v>
      </c>
      <c r="C3961" t="s">
        <v>8270</v>
      </c>
      <c r="D3961" t="s">
        <v>1102</v>
      </c>
      <c r="E3961">
        <v>1395412807</v>
      </c>
      <c r="F3961">
        <v>913081602</v>
      </c>
      <c r="G3961">
        <v>869583833</v>
      </c>
      <c r="H3961">
        <v>833248854</v>
      </c>
      <c r="I3961">
        <v>900274031</v>
      </c>
      <c r="J3961">
        <v>721563214</v>
      </c>
      <c r="P3961">
        <v>66</v>
      </c>
      <c r="Q3961" t="s">
        <v>8271</v>
      </c>
    </row>
    <row r="3962" spans="1:17" x14ac:dyDescent="0.3">
      <c r="A3962" t="s">
        <v>17</v>
      </c>
      <c r="B3962" t="str">
        <f>"600749"</f>
        <v>600749</v>
      </c>
      <c r="C3962" t="s">
        <v>8272</v>
      </c>
      <c r="D3962" t="s">
        <v>4410</v>
      </c>
      <c r="E3962">
        <v>1395386763</v>
      </c>
      <c r="F3962">
        <v>1437343786</v>
      </c>
      <c r="G3962">
        <v>1337874108</v>
      </c>
      <c r="H3962">
        <v>1352809147</v>
      </c>
      <c r="I3962">
        <v>1813549963</v>
      </c>
      <c r="J3962">
        <v>1329857251</v>
      </c>
      <c r="K3962">
        <v>1743343338</v>
      </c>
      <c r="L3962">
        <v>1315810533</v>
      </c>
      <c r="M3962">
        <v>1240244939</v>
      </c>
      <c r="N3962">
        <v>1136205880</v>
      </c>
      <c r="O3962">
        <v>962115112</v>
      </c>
      <c r="P3962">
        <v>106</v>
      </c>
      <c r="Q3962" t="s">
        <v>8273</v>
      </c>
    </row>
    <row r="3963" spans="1:17" x14ac:dyDescent="0.3">
      <c r="A3963" t="s">
        <v>17</v>
      </c>
      <c r="B3963" t="str">
        <f>"605588"</f>
        <v>605588</v>
      </c>
      <c r="C3963" t="s">
        <v>8274</v>
      </c>
      <c r="D3963" t="s">
        <v>1487</v>
      </c>
      <c r="E3963">
        <v>1394592249</v>
      </c>
      <c r="F3963">
        <v>864815214</v>
      </c>
      <c r="P3963">
        <v>16</v>
      </c>
      <c r="Q3963" t="s">
        <v>8275</v>
      </c>
    </row>
    <row r="3964" spans="1:17" x14ac:dyDescent="0.3">
      <c r="A3964" t="s">
        <v>47</v>
      </c>
      <c r="B3964" t="str">
        <f>"300949"</f>
        <v>300949</v>
      </c>
      <c r="C3964" t="s">
        <v>8276</v>
      </c>
      <c r="D3964" t="s">
        <v>952</v>
      </c>
      <c r="E3964">
        <v>1394488448</v>
      </c>
      <c r="F3964">
        <v>1419555955</v>
      </c>
      <c r="P3964">
        <v>39</v>
      </c>
      <c r="Q3964" t="s">
        <v>8277</v>
      </c>
    </row>
    <row r="3965" spans="1:17" x14ac:dyDescent="0.3">
      <c r="A3965" t="s">
        <v>17</v>
      </c>
      <c r="B3965" t="str">
        <f>"688358"</f>
        <v>688358</v>
      </c>
      <c r="C3965" t="s">
        <v>8278</v>
      </c>
      <c r="D3965" t="s">
        <v>1083</v>
      </c>
      <c r="E3965">
        <v>1393529876</v>
      </c>
      <c r="F3965">
        <v>1348481453</v>
      </c>
      <c r="G3965">
        <v>1292581201</v>
      </c>
      <c r="P3965">
        <v>122</v>
      </c>
      <c r="Q3965" t="s">
        <v>8279</v>
      </c>
    </row>
    <row r="3966" spans="1:17" x14ac:dyDescent="0.3">
      <c r="A3966" t="s">
        <v>47</v>
      </c>
      <c r="B3966" t="str">
        <f>"300852"</f>
        <v>300852</v>
      </c>
      <c r="C3966" t="s">
        <v>8280</v>
      </c>
      <c r="D3966" t="s">
        <v>1115</v>
      </c>
      <c r="E3966">
        <v>1393497464</v>
      </c>
      <c r="F3966">
        <v>1104321158</v>
      </c>
      <c r="G3966">
        <v>531658701</v>
      </c>
      <c r="P3966">
        <v>103</v>
      </c>
      <c r="Q3966" t="s">
        <v>8281</v>
      </c>
    </row>
    <row r="3967" spans="1:17" x14ac:dyDescent="0.3">
      <c r="A3967" t="s">
        <v>47</v>
      </c>
      <c r="B3967" t="str">
        <f>"300570"</f>
        <v>300570</v>
      </c>
      <c r="C3967" t="s">
        <v>8282</v>
      </c>
      <c r="D3967" t="s">
        <v>367</v>
      </c>
      <c r="E3967">
        <v>1393256498</v>
      </c>
      <c r="F3967">
        <v>1350711017</v>
      </c>
      <c r="G3967">
        <v>1491386885</v>
      </c>
      <c r="H3967">
        <v>1495668227</v>
      </c>
      <c r="I3967">
        <v>1314089738</v>
      </c>
      <c r="J3967">
        <v>1208440427</v>
      </c>
      <c r="P3967">
        <v>229</v>
      </c>
      <c r="Q3967" t="s">
        <v>8283</v>
      </c>
    </row>
    <row r="3968" spans="1:17" x14ac:dyDescent="0.3">
      <c r="A3968" t="s">
        <v>17</v>
      </c>
      <c r="B3968" t="str">
        <f>"688500"</f>
        <v>688500</v>
      </c>
      <c r="C3968" t="s">
        <v>8284</v>
      </c>
      <c r="D3968" t="s">
        <v>700</v>
      </c>
      <c r="E3968">
        <v>1392968169</v>
      </c>
      <c r="F3968">
        <v>1388901458</v>
      </c>
      <c r="P3968">
        <v>26</v>
      </c>
      <c r="Q3968" t="s">
        <v>8285</v>
      </c>
    </row>
    <row r="3969" spans="1:17" x14ac:dyDescent="0.3">
      <c r="A3969" t="s">
        <v>47</v>
      </c>
      <c r="B3969" t="str">
        <f>"300286"</f>
        <v>300286</v>
      </c>
      <c r="C3969" t="s">
        <v>8286</v>
      </c>
      <c r="D3969" t="s">
        <v>2197</v>
      </c>
      <c r="E3969">
        <v>1392577026</v>
      </c>
      <c r="F3969">
        <v>1257198153</v>
      </c>
      <c r="G3969">
        <v>1057788493</v>
      </c>
      <c r="H3969">
        <v>977089323</v>
      </c>
      <c r="I3969">
        <v>903933928</v>
      </c>
      <c r="J3969">
        <v>752105521</v>
      </c>
      <c r="K3969">
        <v>674630555</v>
      </c>
      <c r="L3969">
        <v>594388574</v>
      </c>
      <c r="M3969">
        <v>529884295</v>
      </c>
      <c r="N3969">
        <v>428261711</v>
      </c>
      <c r="O3969">
        <v>399900866</v>
      </c>
      <c r="P3969">
        <v>272</v>
      </c>
      <c r="Q3969" t="s">
        <v>8287</v>
      </c>
    </row>
    <row r="3970" spans="1:17" x14ac:dyDescent="0.3">
      <c r="A3970" t="s">
        <v>17</v>
      </c>
      <c r="B3970" t="str">
        <f>"603908"</f>
        <v>603908</v>
      </c>
      <c r="C3970" t="s">
        <v>8288</v>
      </c>
      <c r="D3970" t="s">
        <v>4276</v>
      </c>
      <c r="E3970">
        <v>1392501637</v>
      </c>
      <c r="F3970">
        <v>1094498757</v>
      </c>
      <c r="G3970">
        <v>749128188</v>
      </c>
      <c r="H3970">
        <v>708590814</v>
      </c>
      <c r="I3970">
        <v>647934544</v>
      </c>
      <c r="J3970">
        <v>615965688</v>
      </c>
      <c r="P3970">
        <v>114</v>
      </c>
      <c r="Q3970" t="s">
        <v>8289</v>
      </c>
    </row>
    <row r="3971" spans="1:17" x14ac:dyDescent="0.3">
      <c r="A3971" t="s">
        <v>17</v>
      </c>
      <c r="B3971" t="str">
        <f>"603226"</f>
        <v>603226</v>
      </c>
      <c r="C3971" t="s">
        <v>8290</v>
      </c>
      <c r="D3971" t="s">
        <v>2406</v>
      </c>
      <c r="E3971">
        <v>1392041218</v>
      </c>
      <c r="F3971">
        <v>1253728135</v>
      </c>
      <c r="G3971">
        <v>1106146674</v>
      </c>
      <c r="H3971">
        <v>1017539692</v>
      </c>
      <c r="I3971">
        <v>957334871</v>
      </c>
      <c r="J3971">
        <v>547696865</v>
      </c>
      <c r="P3971">
        <v>113</v>
      </c>
      <c r="Q3971" t="s">
        <v>8291</v>
      </c>
    </row>
    <row r="3972" spans="1:17" x14ac:dyDescent="0.3">
      <c r="A3972" t="s">
        <v>47</v>
      </c>
      <c r="B3972" t="str">
        <f>"300092"</f>
        <v>300092</v>
      </c>
      <c r="C3972" t="s">
        <v>8292</v>
      </c>
      <c r="D3972" t="s">
        <v>401</v>
      </c>
      <c r="E3972">
        <v>1389700732</v>
      </c>
      <c r="F3972">
        <v>1130893971</v>
      </c>
      <c r="G3972">
        <v>1003296571</v>
      </c>
      <c r="H3972">
        <v>802033664</v>
      </c>
      <c r="I3972">
        <v>688346022</v>
      </c>
      <c r="J3972">
        <v>678943396</v>
      </c>
      <c r="K3972">
        <v>688994755</v>
      </c>
      <c r="L3972">
        <v>762906388</v>
      </c>
      <c r="M3972">
        <v>785588983</v>
      </c>
      <c r="N3972">
        <v>759331458</v>
      </c>
      <c r="O3972">
        <v>667186583</v>
      </c>
      <c r="P3972">
        <v>81</v>
      </c>
      <c r="Q3972" t="s">
        <v>8293</v>
      </c>
    </row>
    <row r="3973" spans="1:17" x14ac:dyDescent="0.3">
      <c r="A3973" t="s">
        <v>47</v>
      </c>
      <c r="B3973" t="str">
        <f>"301181"</f>
        <v>301181</v>
      </c>
      <c r="C3973" t="s">
        <v>8294</v>
      </c>
      <c r="E3973">
        <v>1387283737</v>
      </c>
      <c r="P3973">
        <v>5</v>
      </c>
      <c r="Q3973" t="s">
        <v>8295</v>
      </c>
    </row>
    <row r="3974" spans="1:17" x14ac:dyDescent="0.3">
      <c r="A3974" t="s">
        <v>47</v>
      </c>
      <c r="B3974" t="str">
        <f>"002943"</f>
        <v>002943</v>
      </c>
      <c r="C3974" t="s">
        <v>8296</v>
      </c>
      <c r="D3974" t="s">
        <v>3186</v>
      </c>
      <c r="E3974">
        <v>1385862532</v>
      </c>
      <c r="F3974">
        <v>1093059714</v>
      </c>
      <c r="G3974">
        <v>1062374548</v>
      </c>
      <c r="H3974">
        <v>978873346</v>
      </c>
      <c r="I3974">
        <v>566733485</v>
      </c>
      <c r="P3974">
        <v>74</v>
      </c>
      <c r="Q3974" t="s">
        <v>8297</v>
      </c>
    </row>
    <row r="3975" spans="1:17" x14ac:dyDescent="0.3">
      <c r="A3975" t="s">
        <v>17</v>
      </c>
      <c r="B3975" t="str">
        <f>"603811"</f>
        <v>603811</v>
      </c>
      <c r="C3975" t="s">
        <v>8298</v>
      </c>
      <c r="D3975" t="s">
        <v>550</v>
      </c>
      <c r="E3975">
        <v>1385510436</v>
      </c>
      <c r="F3975">
        <v>1227427186</v>
      </c>
      <c r="G3975">
        <v>976726833</v>
      </c>
      <c r="H3975">
        <v>825149245</v>
      </c>
      <c r="I3975">
        <v>704058583</v>
      </c>
      <c r="J3975">
        <v>637193658</v>
      </c>
      <c r="P3975">
        <v>327</v>
      </c>
      <c r="Q3975" t="s">
        <v>8299</v>
      </c>
    </row>
    <row r="3976" spans="1:17" x14ac:dyDescent="0.3">
      <c r="A3976" t="s">
        <v>47</v>
      </c>
      <c r="B3976" t="str">
        <f>"300864"</f>
        <v>300864</v>
      </c>
      <c r="C3976" t="s">
        <v>8300</v>
      </c>
      <c r="D3976" t="s">
        <v>1269</v>
      </c>
      <c r="E3976">
        <v>1384387379</v>
      </c>
      <c r="F3976">
        <v>1313875706</v>
      </c>
      <c r="P3976">
        <v>121</v>
      </c>
      <c r="Q3976" t="s">
        <v>8301</v>
      </c>
    </row>
    <row r="3977" spans="1:17" x14ac:dyDescent="0.3">
      <c r="A3977" t="s">
        <v>47</v>
      </c>
      <c r="B3977" t="str">
        <f>"300610"</f>
        <v>300610</v>
      </c>
      <c r="C3977" t="s">
        <v>8302</v>
      </c>
      <c r="D3977" t="s">
        <v>3077</v>
      </c>
      <c r="E3977">
        <v>1381735829</v>
      </c>
      <c r="F3977">
        <v>1308317274</v>
      </c>
      <c r="G3977">
        <v>1093386528</v>
      </c>
      <c r="H3977">
        <v>889343045</v>
      </c>
      <c r="I3977">
        <v>813595267</v>
      </c>
      <c r="J3977">
        <v>723848717</v>
      </c>
      <c r="P3977">
        <v>129</v>
      </c>
      <c r="Q3977" t="s">
        <v>8303</v>
      </c>
    </row>
    <row r="3978" spans="1:17" x14ac:dyDescent="0.3">
      <c r="A3978" t="s">
        <v>17</v>
      </c>
      <c r="B3978" t="str">
        <f>"600530"</f>
        <v>600530</v>
      </c>
      <c r="C3978" t="s">
        <v>8304</v>
      </c>
      <c r="D3978" t="s">
        <v>2355</v>
      </c>
      <c r="E3978">
        <v>1381665800</v>
      </c>
      <c r="F3978">
        <v>1371452233</v>
      </c>
      <c r="G3978">
        <v>1329304350</v>
      </c>
      <c r="H3978">
        <v>1470731583</v>
      </c>
      <c r="I3978">
        <v>2102107965</v>
      </c>
      <c r="J3978">
        <v>2536977785</v>
      </c>
      <c r="K3978">
        <v>2941313855</v>
      </c>
      <c r="L3978">
        <v>2748918576</v>
      </c>
      <c r="M3978">
        <v>1863767574</v>
      </c>
      <c r="N3978">
        <v>1757150708</v>
      </c>
      <c r="O3978">
        <v>1731297899</v>
      </c>
      <c r="P3978">
        <v>86</v>
      </c>
      <c r="Q3978" t="s">
        <v>8305</v>
      </c>
    </row>
    <row r="3979" spans="1:17" x14ac:dyDescent="0.3">
      <c r="A3979" t="s">
        <v>17</v>
      </c>
      <c r="B3979" t="str">
        <f>"688510"</f>
        <v>688510</v>
      </c>
      <c r="C3979" t="s">
        <v>8306</v>
      </c>
      <c r="D3979" t="s">
        <v>570</v>
      </c>
      <c r="E3979">
        <v>1380825671</v>
      </c>
      <c r="F3979">
        <v>1246435475</v>
      </c>
      <c r="P3979">
        <v>66</v>
      </c>
      <c r="Q3979" t="s">
        <v>8307</v>
      </c>
    </row>
    <row r="3980" spans="1:17" x14ac:dyDescent="0.3">
      <c r="A3980" t="s">
        <v>17</v>
      </c>
      <c r="B3980" t="str">
        <f>"688588"</f>
        <v>688588</v>
      </c>
      <c r="C3980" t="s">
        <v>8308</v>
      </c>
      <c r="D3980" t="s">
        <v>1859</v>
      </c>
      <c r="E3980">
        <v>1379411005</v>
      </c>
      <c r="F3980">
        <v>1317036304</v>
      </c>
      <c r="G3980">
        <v>794844916</v>
      </c>
      <c r="I3980">
        <v>609133073</v>
      </c>
      <c r="P3980">
        <v>79</v>
      </c>
      <c r="Q3980" t="s">
        <v>8309</v>
      </c>
    </row>
    <row r="3981" spans="1:17" x14ac:dyDescent="0.3">
      <c r="A3981" t="s">
        <v>47</v>
      </c>
      <c r="B3981" t="str">
        <f>"300940"</f>
        <v>300940</v>
      </c>
      <c r="C3981" t="s">
        <v>8310</v>
      </c>
      <c r="D3981" t="s">
        <v>862</v>
      </c>
      <c r="E3981">
        <v>1378061157</v>
      </c>
      <c r="F3981">
        <v>1573657299</v>
      </c>
      <c r="P3981">
        <v>39</v>
      </c>
      <c r="Q3981" t="s">
        <v>8311</v>
      </c>
    </row>
    <row r="3982" spans="1:17" x14ac:dyDescent="0.3">
      <c r="A3982" t="s">
        <v>17</v>
      </c>
      <c r="B3982" t="str">
        <f>"688135"</f>
        <v>688135</v>
      </c>
      <c r="C3982" t="s">
        <v>8312</v>
      </c>
      <c r="D3982" t="s">
        <v>1109</v>
      </c>
      <c r="E3982">
        <v>1377462938</v>
      </c>
      <c r="F3982">
        <v>1138874178</v>
      </c>
      <c r="G3982">
        <v>580070277</v>
      </c>
      <c r="P3982">
        <v>87</v>
      </c>
      <c r="Q3982" t="s">
        <v>8313</v>
      </c>
    </row>
    <row r="3983" spans="1:17" x14ac:dyDescent="0.3">
      <c r="A3983" t="s">
        <v>47</v>
      </c>
      <c r="B3983" t="str">
        <f>"002265"</f>
        <v>002265</v>
      </c>
      <c r="C3983" t="s">
        <v>8314</v>
      </c>
      <c r="D3983" t="s">
        <v>274</v>
      </c>
      <c r="E3983">
        <v>1376135973</v>
      </c>
      <c r="F3983">
        <v>1346732253</v>
      </c>
      <c r="G3983">
        <v>1393127477</v>
      </c>
      <c r="H3983">
        <v>1378128281</v>
      </c>
      <c r="I3983">
        <v>1526353508</v>
      </c>
      <c r="J3983">
        <v>1512169243</v>
      </c>
      <c r="K3983">
        <v>791341942</v>
      </c>
      <c r="L3983">
        <v>782980486</v>
      </c>
      <c r="M3983">
        <v>777074443</v>
      </c>
      <c r="N3983">
        <v>757954093</v>
      </c>
      <c r="O3983">
        <v>794817392</v>
      </c>
      <c r="P3983">
        <v>86</v>
      </c>
      <c r="Q3983" t="s">
        <v>8315</v>
      </c>
    </row>
    <row r="3984" spans="1:17" x14ac:dyDescent="0.3">
      <c r="A3984" t="s">
        <v>17</v>
      </c>
      <c r="B3984" t="str">
        <f>"600241"</f>
        <v>600241</v>
      </c>
      <c r="C3984" t="s">
        <v>8316</v>
      </c>
      <c r="D3984" t="s">
        <v>1357</v>
      </c>
      <c r="E3984">
        <v>1375406666</v>
      </c>
      <c r="F3984">
        <v>1251924520</v>
      </c>
      <c r="G3984">
        <v>1280848847</v>
      </c>
      <c r="H3984">
        <v>1815199811</v>
      </c>
      <c r="I3984">
        <v>2727952108</v>
      </c>
      <c r="J3984">
        <v>2009898291</v>
      </c>
      <c r="K3984">
        <v>2167606761</v>
      </c>
      <c r="L3984">
        <v>2125560611</v>
      </c>
      <c r="M3984">
        <v>1648841133</v>
      </c>
      <c r="N3984">
        <v>1328753281</v>
      </c>
      <c r="O3984">
        <v>1376377712</v>
      </c>
      <c r="P3984">
        <v>51</v>
      </c>
      <c r="Q3984" t="s">
        <v>8317</v>
      </c>
    </row>
    <row r="3985" spans="1:17" x14ac:dyDescent="0.3">
      <c r="A3985" t="s">
        <v>47</v>
      </c>
      <c r="B3985" t="str">
        <f>"301026"</f>
        <v>301026</v>
      </c>
      <c r="C3985" t="s">
        <v>8318</v>
      </c>
      <c r="D3985" t="s">
        <v>1002</v>
      </c>
      <c r="E3985">
        <v>1374913797</v>
      </c>
      <c r="F3985">
        <v>685425587</v>
      </c>
      <c r="P3985">
        <v>41</v>
      </c>
      <c r="Q3985" t="s">
        <v>8319</v>
      </c>
    </row>
    <row r="3986" spans="1:17" x14ac:dyDescent="0.3">
      <c r="A3986" t="s">
        <v>17</v>
      </c>
      <c r="B3986" t="str">
        <f>"688393"</f>
        <v>688393</v>
      </c>
      <c r="C3986" t="s">
        <v>8320</v>
      </c>
      <c r="D3986" t="s">
        <v>2322</v>
      </c>
      <c r="E3986">
        <v>1374585523</v>
      </c>
      <c r="F3986">
        <v>1317292768</v>
      </c>
      <c r="G3986">
        <v>519530141</v>
      </c>
      <c r="P3986">
        <v>76</v>
      </c>
      <c r="Q3986" t="s">
        <v>8321</v>
      </c>
    </row>
    <row r="3987" spans="1:17" x14ac:dyDescent="0.3">
      <c r="A3987" t="s">
        <v>17</v>
      </c>
      <c r="B3987" t="str">
        <f>"600722"</f>
        <v>600722</v>
      </c>
      <c r="C3987" t="s">
        <v>8322</v>
      </c>
      <c r="D3987" t="s">
        <v>625</v>
      </c>
      <c r="E3987">
        <v>1370372518</v>
      </c>
      <c r="F3987">
        <v>1287105718</v>
      </c>
      <c r="G3987">
        <v>1224684635</v>
      </c>
      <c r="H3987">
        <v>1213941097</v>
      </c>
      <c r="I3987">
        <v>1161209483</v>
      </c>
      <c r="J3987">
        <v>1312500426</v>
      </c>
      <c r="K3987">
        <v>1279513398</v>
      </c>
      <c r="L3987">
        <v>3254209006</v>
      </c>
      <c r="M3987">
        <v>3052037633</v>
      </c>
      <c r="N3987">
        <v>2834089690</v>
      </c>
      <c r="O3987">
        <v>1577411564</v>
      </c>
      <c r="P3987">
        <v>97</v>
      </c>
      <c r="Q3987" t="s">
        <v>8323</v>
      </c>
    </row>
    <row r="3988" spans="1:17" x14ac:dyDescent="0.3">
      <c r="A3988" t="s">
        <v>47</v>
      </c>
      <c r="B3988" t="str">
        <f>"001215"</f>
        <v>001215</v>
      </c>
      <c r="C3988" t="s">
        <v>8324</v>
      </c>
      <c r="D3988" t="s">
        <v>2224</v>
      </c>
      <c r="E3988">
        <v>1370366840</v>
      </c>
      <c r="P3988">
        <v>59</v>
      </c>
      <c r="Q3988" t="s">
        <v>8325</v>
      </c>
    </row>
    <row r="3989" spans="1:17" x14ac:dyDescent="0.3">
      <c r="A3989" t="s">
        <v>17</v>
      </c>
      <c r="B3989" t="str">
        <f>"688011"</f>
        <v>688011</v>
      </c>
      <c r="C3989" t="s">
        <v>8326</v>
      </c>
      <c r="D3989" t="s">
        <v>1385</v>
      </c>
      <c r="E3989">
        <v>1370049613</v>
      </c>
      <c r="F3989">
        <v>1320212180</v>
      </c>
      <c r="G3989">
        <v>1315549839</v>
      </c>
      <c r="H3989">
        <v>422594882</v>
      </c>
      <c r="P3989">
        <v>88</v>
      </c>
      <c r="Q3989" t="s">
        <v>8327</v>
      </c>
    </row>
    <row r="3990" spans="1:17" x14ac:dyDescent="0.3">
      <c r="A3990" t="s">
        <v>47</v>
      </c>
      <c r="B3990" t="str">
        <f>"300234"</f>
        <v>300234</v>
      </c>
      <c r="C3990" t="s">
        <v>8328</v>
      </c>
      <c r="D3990" t="s">
        <v>1418</v>
      </c>
      <c r="E3990">
        <v>1368343993</v>
      </c>
      <c r="F3990">
        <v>1331178750</v>
      </c>
      <c r="G3990">
        <v>1257516512</v>
      </c>
      <c r="H3990">
        <v>1142553425</v>
      </c>
      <c r="I3990">
        <v>1193433784</v>
      </c>
      <c r="J3990">
        <v>1177438707</v>
      </c>
      <c r="K3990">
        <v>1228502163</v>
      </c>
      <c r="L3990">
        <v>772512276</v>
      </c>
      <c r="M3990">
        <v>646318320</v>
      </c>
      <c r="N3990">
        <v>451509462</v>
      </c>
      <c r="O3990">
        <v>412105831</v>
      </c>
      <c r="P3990">
        <v>111</v>
      </c>
      <c r="Q3990" t="s">
        <v>8329</v>
      </c>
    </row>
    <row r="3991" spans="1:17" x14ac:dyDescent="0.3">
      <c r="A3991" t="s">
        <v>47</v>
      </c>
      <c r="B3991" t="str">
        <f>"300643"</f>
        <v>300643</v>
      </c>
      <c r="C3991" t="s">
        <v>8330</v>
      </c>
      <c r="D3991" t="s">
        <v>1815</v>
      </c>
      <c r="E3991">
        <v>1368141211</v>
      </c>
      <c r="F3991">
        <v>952013706</v>
      </c>
      <c r="G3991">
        <v>862882250</v>
      </c>
      <c r="H3991">
        <v>483859829</v>
      </c>
      <c r="I3991">
        <v>484804727</v>
      </c>
      <c r="J3991">
        <v>293289325</v>
      </c>
      <c r="P3991">
        <v>96</v>
      </c>
      <c r="Q3991" t="s">
        <v>8331</v>
      </c>
    </row>
    <row r="3992" spans="1:17" x14ac:dyDescent="0.3">
      <c r="A3992" t="s">
        <v>47</v>
      </c>
      <c r="B3992" t="str">
        <f>"003015"</f>
        <v>003015</v>
      </c>
      <c r="C3992" t="s">
        <v>8332</v>
      </c>
      <c r="D3992" t="s">
        <v>1487</v>
      </c>
      <c r="E3992">
        <v>1366191158</v>
      </c>
      <c r="F3992">
        <v>1434283889</v>
      </c>
      <c r="P3992">
        <v>46</v>
      </c>
      <c r="Q3992" t="s">
        <v>8333</v>
      </c>
    </row>
    <row r="3993" spans="1:17" x14ac:dyDescent="0.3">
      <c r="A3993" t="s">
        <v>47</v>
      </c>
      <c r="B3993" t="str">
        <f>"002725"</f>
        <v>002725</v>
      </c>
      <c r="C3993" t="s">
        <v>8334</v>
      </c>
      <c r="D3993" t="s">
        <v>1102</v>
      </c>
      <c r="E3993">
        <v>1365682044</v>
      </c>
      <c r="F3993">
        <v>1329494525</v>
      </c>
      <c r="G3993">
        <v>1163542211</v>
      </c>
      <c r="H3993">
        <v>1172523874</v>
      </c>
      <c r="I3993">
        <v>1114223869</v>
      </c>
      <c r="J3993">
        <v>1048606477</v>
      </c>
      <c r="K3993">
        <v>1002245485</v>
      </c>
      <c r="L3993">
        <v>1012981835</v>
      </c>
      <c r="M3993">
        <v>1017927622</v>
      </c>
      <c r="P3993">
        <v>135</v>
      </c>
      <c r="Q3993" t="s">
        <v>8335</v>
      </c>
    </row>
    <row r="3994" spans="1:17" x14ac:dyDescent="0.3">
      <c r="A3994" t="s">
        <v>17</v>
      </c>
      <c r="B3994" t="str">
        <f>"603615"</f>
        <v>603615</v>
      </c>
      <c r="C3994" t="s">
        <v>8336</v>
      </c>
      <c r="D3994" t="s">
        <v>2016</v>
      </c>
      <c r="E3994">
        <v>1364792830</v>
      </c>
      <c r="F3994">
        <v>1452978887</v>
      </c>
      <c r="G3994">
        <v>1553561163</v>
      </c>
      <c r="H3994">
        <v>1462491777</v>
      </c>
      <c r="I3994">
        <v>1435636154</v>
      </c>
      <c r="J3994">
        <v>1391888991</v>
      </c>
      <c r="P3994">
        <v>107</v>
      </c>
      <c r="Q3994" t="s">
        <v>8337</v>
      </c>
    </row>
    <row r="3995" spans="1:17" x14ac:dyDescent="0.3">
      <c r="A3995" t="s">
        <v>47</v>
      </c>
      <c r="B3995" t="str">
        <f>"001317"</f>
        <v>001317</v>
      </c>
      <c r="C3995" t="s">
        <v>8338</v>
      </c>
      <c r="D3995" t="s">
        <v>259</v>
      </c>
      <c r="E3995">
        <v>1364709165</v>
      </c>
      <c r="P3995">
        <v>23</v>
      </c>
      <c r="Q3995" t="s">
        <v>8339</v>
      </c>
    </row>
    <row r="3996" spans="1:17" x14ac:dyDescent="0.3">
      <c r="A3996" t="s">
        <v>17</v>
      </c>
      <c r="B3996" t="str">
        <f>"600610"</f>
        <v>600610</v>
      </c>
      <c r="C3996" t="s">
        <v>8340</v>
      </c>
      <c r="D3996" t="s">
        <v>2874</v>
      </c>
      <c r="E3996">
        <v>1364406452</v>
      </c>
      <c r="F3996">
        <v>1369465402</v>
      </c>
      <c r="G3996">
        <v>1284011371</v>
      </c>
      <c r="H3996">
        <v>26249462</v>
      </c>
      <c r="I3996">
        <v>432981217</v>
      </c>
      <c r="J3996">
        <v>1726380251</v>
      </c>
      <c r="K3996">
        <v>1228767054</v>
      </c>
      <c r="L3996">
        <v>1131267885</v>
      </c>
      <c r="M3996">
        <v>339298665</v>
      </c>
      <c r="N3996">
        <v>371297324</v>
      </c>
      <c r="O3996">
        <v>376607329</v>
      </c>
      <c r="P3996">
        <v>91</v>
      </c>
      <c r="Q3996" t="s">
        <v>8341</v>
      </c>
    </row>
    <row r="3997" spans="1:17" x14ac:dyDescent="0.3">
      <c r="A3997" t="s">
        <v>47</v>
      </c>
      <c r="B3997" t="str">
        <f>"300018"</f>
        <v>300018</v>
      </c>
      <c r="C3997" t="s">
        <v>8342</v>
      </c>
      <c r="D3997" t="s">
        <v>679</v>
      </c>
      <c r="E3997">
        <v>1363557568</v>
      </c>
      <c r="F3997">
        <v>1292510043</v>
      </c>
      <c r="G3997">
        <v>1226255790</v>
      </c>
      <c r="H3997">
        <v>1166257134</v>
      </c>
      <c r="I3997">
        <v>1727564073</v>
      </c>
      <c r="J3997">
        <v>1585717545</v>
      </c>
      <c r="K3997">
        <v>1493657522</v>
      </c>
      <c r="L3997">
        <v>847873675</v>
      </c>
      <c r="M3997">
        <v>820506460</v>
      </c>
      <c r="N3997">
        <v>808010162</v>
      </c>
      <c r="O3997">
        <v>770936993</v>
      </c>
      <c r="P3997">
        <v>127</v>
      </c>
      <c r="Q3997" t="s">
        <v>8343</v>
      </c>
    </row>
    <row r="3998" spans="1:17" x14ac:dyDescent="0.3">
      <c r="A3998" t="s">
        <v>47</v>
      </c>
      <c r="B3998" t="str">
        <f>"301099"</f>
        <v>301099</v>
      </c>
      <c r="C3998" t="s">
        <v>8344</v>
      </c>
      <c r="D3998" t="s">
        <v>1808</v>
      </c>
      <c r="E3998">
        <v>1363415529</v>
      </c>
      <c r="P3998">
        <v>16</v>
      </c>
      <c r="Q3998" t="s">
        <v>8345</v>
      </c>
    </row>
    <row r="3999" spans="1:17" x14ac:dyDescent="0.3">
      <c r="A3999" t="s">
        <v>47</v>
      </c>
      <c r="B3999" t="str">
        <f>"300840"</f>
        <v>300840</v>
      </c>
      <c r="C3999" t="s">
        <v>8346</v>
      </c>
      <c r="D3999" t="s">
        <v>628</v>
      </c>
      <c r="E3999">
        <v>1361583794</v>
      </c>
      <c r="F3999">
        <v>1141186330</v>
      </c>
      <c r="G3999">
        <v>783568848</v>
      </c>
      <c r="P3999">
        <v>64</v>
      </c>
      <c r="Q3999" t="s">
        <v>8347</v>
      </c>
    </row>
    <row r="4000" spans="1:17" x14ac:dyDescent="0.3">
      <c r="A4000" t="s">
        <v>17</v>
      </c>
      <c r="B4000" t="str">
        <f>"605258"</f>
        <v>605258</v>
      </c>
      <c r="C4000" t="s">
        <v>8348</v>
      </c>
      <c r="D4000" t="s">
        <v>1115</v>
      </c>
      <c r="E4000">
        <v>1361326392</v>
      </c>
      <c r="F4000">
        <v>1407651228</v>
      </c>
      <c r="P4000">
        <v>51</v>
      </c>
      <c r="Q4000" t="s">
        <v>8349</v>
      </c>
    </row>
    <row r="4001" spans="1:17" x14ac:dyDescent="0.3">
      <c r="A4001" t="s">
        <v>47</v>
      </c>
      <c r="B4001" t="str">
        <f>"300707"</f>
        <v>300707</v>
      </c>
      <c r="C4001" t="s">
        <v>8350</v>
      </c>
      <c r="D4001" t="s">
        <v>1815</v>
      </c>
      <c r="E4001">
        <v>1361008926</v>
      </c>
      <c r="F4001">
        <v>1231062243</v>
      </c>
      <c r="G4001">
        <v>880874581</v>
      </c>
      <c r="H4001">
        <v>820656356</v>
      </c>
      <c r="I4001">
        <v>818916223</v>
      </c>
      <c r="J4001">
        <v>421835675</v>
      </c>
      <c r="P4001">
        <v>140</v>
      </c>
      <c r="Q4001" t="s">
        <v>8351</v>
      </c>
    </row>
    <row r="4002" spans="1:17" x14ac:dyDescent="0.3">
      <c r="A4002" t="s">
        <v>17</v>
      </c>
      <c r="B4002" t="str">
        <f>"688115"</f>
        <v>688115</v>
      </c>
      <c r="C4002" t="s">
        <v>8352</v>
      </c>
      <c r="E4002">
        <v>1360748617</v>
      </c>
      <c r="P4002">
        <v>7</v>
      </c>
      <c r="Q4002" t="s">
        <v>8353</v>
      </c>
    </row>
    <row r="4003" spans="1:17" x14ac:dyDescent="0.3">
      <c r="A4003" t="s">
        <v>47</v>
      </c>
      <c r="B4003" t="str">
        <f>"301008"</f>
        <v>301008</v>
      </c>
      <c r="C4003" t="s">
        <v>8354</v>
      </c>
      <c r="D4003" t="s">
        <v>1511</v>
      </c>
      <c r="E4003">
        <v>1360566070</v>
      </c>
      <c r="F4003">
        <v>750290520</v>
      </c>
      <c r="P4003">
        <v>36</v>
      </c>
      <c r="Q4003" t="s">
        <v>8355</v>
      </c>
    </row>
    <row r="4004" spans="1:17" x14ac:dyDescent="0.3">
      <c r="A4004" t="s">
        <v>47</v>
      </c>
      <c r="B4004" t="str">
        <f>"301065"</f>
        <v>301065</v>
      </c>
      <c r="C4004" t="s">
        <v>8356</v>
      </c>
      <c r="D4004" t="s">
        <v>710</v>
      </c>
      <c r="E4004">
        <v>1358805261</v>
      </c>
      <c r="P4004">
        <v>12</v>
      </c>
      <c r="Q4004" t="s">
        <v>8357</v>
      </c>
    </row>
    <row r="4005" spans="1:17" x14ac:dyDescent="0.3">
      <c r="A4005" t="s">
        <v>47</v>
      </c>
      <c r="B4005" t="str">
        <f>"301186"</f>
        <v>301186</v>
      </c>
      <c r="C4005" t="s">
        <v>8358</v>
      </c>
      <c r="D4005" t="s">
        <v>1815</v>
      </c>
      <c r="E4005">
        <v>1357828046</v>
      </c>
      <c r="P4005">
        <v>10</v>
      </c>
      <c r="Q4005" t="s">
        <v>8359</v>
      </c>
    </row>
    <row r="4006" spans="1:17" x14ac:dyDescent="0.3">
      <c r="A4006" t="s">
        <v>47</v>
      </c>
      <c r="B4006" t="str">
        <f>"300442"</f>
        <v>300442</v>
      </c>
      <c r="C4006" t="s">
        <v>8360</v>
      </c>
      <c r="D4006" t="s">
        <v>3237</v>
      </c>
      <c r="E4006">
        <v>1356852126</v>
      </c>
      <c r="F4006">
        <v>1330768367</v>
      </c>
      <c r="G4006">
        <v>1544441726</v>
      </c>
      <c r="H4006">
        <v>1583571259</v>
      </c>
      <c r="I4006">
        <v>1677091497</v>
      </c>
      <c r="J4006">
        <v>1495864564</v>
      </c>
      <c r="K4006">
        <v>1272430630</v>
      </c>
      <c r="L4006">
        <v>785229523</v>
      </c>
      <c r="P4006">
        <v>66</v>
      </c>
      <c r="Q4006" t="s">
        <v>8361</v>
      </c>
    </row>
    <row r="4007" spans="1:17" x14ac:dyDescent="0.3">
      <c r="A4007" t="s">
        <v>47</v>
      </c>
      <c r="B4007" t="str">
        <f>"000673"</f>
        <v>000673</v>
      </c>
      <c r="C4007" t="s">
        <v>8362</v>
      </c>
      <c r="D4007" t="s">
        <v>1673</v>
      </c>
      <c r="E4007">
        <v>1356755766</v>
      </c>
      <c r="F4007">
        <v>1491260774</v>
      </c>
      <c r="G4007">
        <v>1492209395</v>
      </c>
      <c r="H4007">
        <v>2080930768</v>
      </c>
      <c r="I4007">
        <v>3842394118</v>
      </c>
      <c r="J4007">
        <v>3316651135</v>
      </c>
      <c r="K4007">
        <v>2589297064</v>
      </c>
      <c r="L4007">
        <v>114306187</v>
      </c>
      <c r="M4007">
        <v>81759887</v>
      </c>
      <c r="N4007">
        <v>81656146</v>
      </c>
      <c r="O4007">
        <v>116063364</v>
      </c>
      <c r="P4007">
        <v>90</v>
      </c>
      <c r="Q4007" t="s">
        <v>8363</v>
      </c>
    </row>
    <row r="4008" spans="1:17" x14ac:dyDescent="0.3">
      <c r="A4008" t="s">
        <v>17</v>
      </c>
      <c r="B4008" t="str">
        <f>"603637"</f>
        <v>603637</v>
      </c>
      <c r="C4008" t="s">
        <v>8364</v>
      </c>
      <c r="D4008" t="s">
        <v>370</v>
      </c>
      <c r="E4008">
        <v>1355821054</v>
      </c>
      <c r="F4008">
        <v>1355767999</v>
      </c>
      <c r="G4008">
        <v>1263109886</v>
      </c>
      <c r="H4008">
        <v>998890229</v>
      </c>
      <c r="I4008">
        <v>958892733</v>
      </c>
      <c r="J4008">
        <v>839986199</v>
      </c>
      <c r="P4008">
        <v>70</v>
      </c>
      <c r="Q4008" t="s">
        <v>8365</v>
      </c>
    </row>
    <row r="4009" spans="1:17" x14ac:dyDescent="0.3">
      <c r="A4009" t="s">
        <v>17</v>
      </c>
      <c r="B4009" t="str">
        <f>"603559"</f>
        <v>603559</v>
      </c>
      <c r="C4009" t="s">
        <v>8366</v>
      </c>
      <c r="D4009" t="s">
        <v>2804</v>
      </c>
      <c r="E4009">
        <v>1355815836</v>
      </c>
      <c r="F4009">
        <v>1845287710</v>
      </c>
      <c r="G4009">
        <v>1701909674</v>
      </c>
      <c r="H4009">
        <v>1599453585</v>
      </c>
      <c r="I4009">
        <v>1296994072</v>
      </c>
      <c r="J4009">
        <v>777983211</v>
      </c>
      <c r="P4009">
        <v>159</v>
      </c>
      <c r="Q4009" t="s">
        <v>8367</v>
      </c>
    </row>
    <row r="4010" spans="1:17" x14ac:dyDescent="0.3">
      <c r="A4010" t="s">
        <v>47</v>
      </c>
      <c r="B4010" t="str">
        <f>"003017"</f>
        <v>003017</v>
      </c>
      <c r="C4010" t="s">
        <v>8368</v>
      </c>
      <c r="D4010" t="s">
        <v>1930</v>
      </c>
      <c r="E4010">
        <v>1355019807</v>
      </c>
      <c r="F4010">
        <v>1261029091</v>
      </c>
      <c r="I4010">
        <v>523732311</v>
      </c>
      <c r="P4010">
        <v>39</v>
      </c>
      <c r="Q4010" t="s">
        <v>8369</v>
      </c>
    </row>
    <row r="4011" spans="1:17" x14ac:dyDescent="0.3">
      <c r="A4011" t="s">
        <v>47</v>
      </c>
      <c r="B4011" t="str">
        <f>"300703"</f>
        <v>300703</v>
      </c>
      <c r="C4011" t="s">
        <v>8370</v>
      </c>
      <c r="D4011" t="s">
        <v>2631</v>
      </c>
      <c r="E4011">
        <v>1354519639</v>
      </c>
      <c r="F4011">
        <v>1470200003</v>
      </c>
      <c r="G4011">
        <v>1144908757</v>
      </c>
      <c r="H4011">
        <v>958275859</v>
      </c>
      <c r="I4011">
        <v>778016945</v>
      </c>
      <c r="P4011">
        <v>109</v>
      </c>
      <c r="Q4011" t="s">
        <v>8371</v>
      </c>
    </row>
    <row r="4012" spans="1:17" x14ac:dyDescent="0.3">
      <c r="A4012" t="s">
        <v>47</v>
      </c>
      <c r="B4012" t="str">
        <f>"300847"</f>
        <v>300847</v>
      </c>
      <c r="C4012" t="s">
        <v>8372</v>
      </c>
      <c r="D4012" t="s">
        <v>710</v>
      </c>
      <c r="E4012">
        <v>1354044088</v>
      </c>
      <c r="F4012">
        <v>1250100135</v>
      </c>
      <c r="G4012">
        <v>814080873</v>
      </c>
      <c r="P4012">
        <v>53</v>
      </c>
      <c r="Q4012" t="s">
        <v>8373</v>
      </c>
    </row>
    <row r="4013" spans="1:17" x14ac:dyDescent="0.3">
      <c r="A4013" t="s">
        <v>17</v>
      </c>
      <c r="B4013" t="str">
        <f>"688157"</f>
        <v>688157</v>
      </c>
      <c r="C4013" t="s">
        <v>8374</v>
      </c>
      <c r="D4013" t="s">
        <v>5419</v>
      </c>
      <c r="E4013">
        <v>1353199019</v>
      </c>
      <c r="F4013">
        <v>1260791285</v>
      </c>
      <c r="G4013">
        <v>534719809</v>
      </c>
      <c r="P4013">
        <v>100</v>
      </c>
      <c r="Q4013" t="s">
        <v>8375</v>
      </c>
    </row>
    <row r="4014" spans="1:17" x14ac:dyDescent="0.3">
      <c r="A4014" t="s">
        <v>17</v>
      </c>
      <c r="B4014" t="str">
        <f>"600833"</f>
        <v>600833</v>
      </c>
      <c r="C4014" t="s">
        <v>8376</v>
      </c>
      <c r="D4014" t="s">
        <v>1852</v>
      </c>
      <c r="E4014">
        <v>1353150015</v>
      </c>
      <c r="F4014">
        <v>1245084076</v>
      </c>
      <c r="G4014">
        <v>1478514437</v>
      </c>
      <c r="H4014">
        <v>1246313218</v>
      </c>
      <c r="I4014">
        <v>1112268750</v>
      </c>
      <c r="J4014">
        <v>1253624515</v>
      </c>
      <c r="K4014">
        <v>1138227649</v>
      </c>
      <c r="L4014">
        <v>1156217746</v>
      </c>
      <c r="M4014">
        <v>931130395</v>
      </c>
      <c r="N4014">
        <v>875795557</v>
      </c>
      <c r="O4014">
        <v>829831269</v>
      </c>
      <c r="P4014">
        <v>108</v>
      </c>
      <c r="Q4014" t="s">
        <v>8377</v>
      </c>
    </row>
    <row r="4015" spans="1:17" x14ac:dyDescent="0.3">
      <c r="A4015" t="s">
        <v>47</v>
      </c>
      <c r="B4015" t="str">
        <f>"300797"</f>
        <v>300797</v>
      </c>
      <c r="C4015" t="s">
        <v>8378</v>
      </c>
      <c r="D4015" t="s">
        <v>810</v>
      </c>
      <c r="E4015">
        <v>1352906484</v>
      </c>
      <c r="F4015">
        <v>1095312327</v>
      </c>
      <c r="G4015">
        <v>988709098</v>
      </c>
      <c r="P4015">
        <v>67</v>
      </c>
      <c r="Q4015" t="s">
        <v>8379</v>
      </c>
    </row>
    <row r="4016" spans="1:17" x14ac:dyDescent="0.3">
      <c r="A4016" t="s">
        <v>47</v>
      </c>
      <c r="B4016" t="str">
        <f>"300938"</f>
        <v>300938</v>
      </c>
      <c r="C4016" t="s">
        <v>8380</v>
      </c>
      <c r="D4016" t="s">
        <v>3772</v>
      </c>
      <c r="E4016">
        <v>1352830210</v>
      </c>
      <c r="F4016">
        <v>1081887620</v>
      </c>
      <c r="P4016">
        <v>43</v>
      </c>
      <c r="Q4016" t="s">
        <v>8381</v>
      </c>
    </row>
    <row r="4017" spans="1:17" x14ac:dyDescent="0.3">
      <c r="A4017" t="s">
        <v>17</v>
      </c>
      <c r="B4017" t="str">
        <f>"688179"</f>
        <v>688179</v>
      </c>
      <c r="C4017" t="s">
        <v>8382</v>
      </c>
      <c r="D4017" t="s">
        <v>710</v>
      </c>
      <c r="E4017">
        <v>1348910827</v>
      </c>
      <c r="F4017">
        <v>884962607</v>
      </c>
      <c r="H4017">
        <v>381639977</v>
      </c>
      <c r="I4017">
        <v>360281714</v>
      </c>
      <c r="P4017">
        <v>156</v>
      </c>
      <c r="Q4017" t="s">
        <v>8383</v>
      </c>
    </row>
    <row r="4018" spans="1:17" x14ac:dyDescent="0.3">
      <c r="A4018" t="s">
        <v>47</v>
      </c>
      <c r="B4018" t="str">
        <f>"300411"</f>
        <v>300411</v>
      </c>
      <c r="C4018" t="s">
        <v>8384</v>
      </c>
      <c r="D4018" t="s">
        <v>1973</v>
      </c>
      <c r="E4018">
        <v>1348279974</v>
      </c>
      <c r="F4018">
        <v>1444922100</v>
      </c>
      <c r="G4018">
        <v>2021330149</v>
      </c>
      <c r="H4018">
        <v>2040978684</v>
      </c>
      <c r="I4018">
        <v>3824727810</v>
      </c>
      <c r="J4018">
        <v>884638806</v>
      </c>
      <c r="K4018">
        <v>803292067</v>
      </c>
      <c r="L4018">
        <v>684439759</v>
      </c>
      <c r="P4018">
        <v>73</v>
      </c>
      <c r="Q4018" t="s">
        <v>8385</v>
      </c>
    </row>
    <row r="4019" spans="1:17" x14ac:dyDescent="0.3">
      <c r="A4019" t="s">
        <v>17</v>
      </c>
      <c r="B4019" t="str">
        <f>"688501"</f>
        <v>688501</v>
      </c>
      <c r="C4019" t="s">
        <v>8386</v>
      </c>
      <c r="D4019" t="s">
        <v>1347</v>
      </c>
      <c r="E4019">
        <v>1347746504</v>
      </c>
      <c r="F4019">
        <v>1022474870</v>
      </c>
      <c r="P4019">
        <v>24</v>
      </c>
      <c r="Q4019" t="s">
        <v>8387</v>
      </c>
    </row>
    <row r="4020" spans="1:17" x14ac:dyDescent="0.3">
      <c r="A4020" t="s">
        <v>47</v>
      </c>
      <c r="B4020" t="str">
        <f>"300923"</f>
        <v>300923</v>
      </c>
      <c r="C4020" t="s">
        <v>8388</v>
      </c>
      <c r="D4020" t="s">
        <v>193</v>
      </c>
      <c r="E4020">
        <v>1347339422</v>
      </c>
      <c r="F4020">
        <v>1236655098</v>
      </c>
      <c r="P4020">
        <v>28</v>
      </c>
      <c r="Q4020" t="s">
        <v>8389</v>
      </c>
    </row>
    <row r="4021" spans="1:17" x14ac:dyDescent="0.3">
      <c r="A4021" t="s">
        <v>47</v>
      </c>
      <c r="B4021" t="str">
        <f>"000889"</f>
        <v>000889</v>
      </c>
      <c r="C4021" t="s">
        <v>8390</v>
      </c>
      <c r="D4021" t="s">
        <v>2804</v>
      </c>
      <c r="E4021">
        <v>1345522790</v>
      </c>
      <c r="F4021">
        <v>3632050648</v>
      </c>
      <c r="G4021">
        <v>3977463981</v>
      </c>
      <c r="H4021">
        <v>5293178527</v>
      </c>
      <c r="I4021">
        <v>3270460514</v>
      </c>
      <c r="J4021">
        <v>2960032843</v>
      </c>
      <c r="K4021">
        <v>2819100094</v>
      </c>
      <c r="L4021">
        <v>2934971679</v>
      </c>
      <c r="M4021">
        <v>1757305287</v>
      </c>
      <c r="N4021">
        <v>1813044255</v>
      </c>
      <c r="O4021">
        <v>1499126858</v>
      </c>
      <c r="P4021">
        <v>157</v>
      </c>
      <c r="Q4021" t="s">
        <v>8391</v>
      </c>
    </row>
    <row r="4022" spans="1:17" x14ac:dyDescent="0.3">
      <c r="A4022" t="s">
        <v>47</v>
      </c>
      <c r="B4022" t="str">
        <f>"300964"</f>
        <v>300964</v>
      </c>
      <c r="C4022" t="s">
        <v>8392</v>
      </c>
      <c r="D4022" t="s">
        <v>1115</v>
      </c>
      <c r="E4022">
        <v>1345367737</v>
      </c>
      <c r="F4022">
        <v>605616106</v>
      </c>
      <c r="P4022">
        <v>20</v>
      </c>
      <c r="Q4022" t="s">
        <v>8393</v>
      </c>
    </row>
    <row r="4023" spans="1:17" x14ac:dyDescent="0.3">
      <c r="A4023" t="s">
        <v>47</v>
      </c>
      <c r="B4023" t="str">
        <f>"002141"</f>
        <v>002141</v>
      </c>
      <c r="C4023" t="s">
        <v>8394</v>
      </c>
      <c r="D4023" t="s">
        <v>1609</v>
      </c>
      <c r="E4023">
        <v>1344120843</v>
      </c>
      <c r="F4023">
        <v>1480632201</v>
      </c>
      <c r="G4023">
        <v>1852735709</v>
      </c>
      <c r="H4023">
        <v>1787283808</v>
      </c>
      <c r="I4023">
        <v>1764374748</v>
      </c>
      <c r="J4023">
        <v>1430867646</v>
      </c>
      <c r="K4023">
        <v>561507826</v>
      </c>
      <c r="L4023">
        <v>553085076</v>
      </c>
      <c r="M4023">
        <v>684206000</v>
      </c>
      <c r="N4023">
        <v>678453169</v>
      </c>
      <c r="O4023">
        <v>696856481</v>
      </c>
      <c r="P4023">
        <v>74</v>
      </c>
      <c r="Q4023" t="s">
        <v>8395</v>
      </c>
    </row>
    <row r="4024" spans="1:17" x14ac:dyDescent="0.3">
      <c r="A4024" t="s">
        <v>17</v>
      </c>
      <c r="B4024" t="str">
        <f>"603029"</f>
        <v>603029</v>
      </c>
      <c r="C4024" t="s">
        <v>8396</v>
      </c>
      <c r="D4024" t="s">
        <v>1973</v>
      </c>
      <c r="E4024">
        <v>1342291452</v>
      </c>
      <c r="F4024">
        <v>1098478017</v>
      </c>
      <c r="G4024">
        <v>1146998741</v>
      </c>
      <c r="H4024">
        <v>1113185508</v>
      </c>
      <c r="I4024">
        <v>913223256</v>
      </c>
      <c r="J4024">
        <v>882317711</v>
      </c>
      <c r="K4024">
        <v>796015720</v>
      </c>
      <c r="P4024">
        <v>62</v>
      </c>
      <c r="Q4024" t="s">
        <v>8397</v>
      </c>
    </row>
    <row r="4025" spans="1:17" x14ac:dyDescent="0.3">
      <c r="A4025" t="s">
        <v>17</v>
      </c>
      <c r="B4025" t="str">
        <f>"688212"</f>
        <v>688212</v>
      </c>
      <c r="C4025" t="s">
        <v>8398</v>
      </c>
      <c r="D4025" t="s">
        <v>1083</v>
      </c>
      <c r="E4025">
        <v>1341000383</v>
      </c>
      <c r="P4025">
        <v>31</v>
      </c>
      <c r="Q4025" t="s">
        <v>8399</v>
      </c>
    </row>
    <row r="4026" spans="1:17" x14ac:dyDescent="0.3">
      <c r="A4026" t="s">
        <v>17</v>
      </c>
      <c r="B4026" t="str">
        <f>"605016"</f>
        <v>605016</v>
      </c>
      <c r="C4026" t="s">
        <v>8400</v>
      </c>
      <c r="D4026" t="s">
        <v>1699</v>
      </c>
      <c r="E4026">
        <v>1340834963</v>
      </c>
      <c r="F4026">
        <v>843333918</v>
      </c>
      <c r="P4026">
        <v>65</v>
      </c>
      <c r="Q4026" t="s">
        <v>8401</v>
      </c>
    </row>
    <row r="4027" spans="1:17" x14ac:dyDescent="0.3">
      <c r="A4027" t="s">
        <v>47</v>
      </c>
      <c r="B4027" t="str">
        <f>"300629"</f>
        <v>300629</v>
      </c>
      <c r="C4027" t="s">
        <v>8402</v>
      </c>
      <c r="D4027" t="s">
        <v>2646</v>
      </c>
      <c r="E4027">
        <v>1340647675</v>
      </c>
      <c r="F4027">
        <v>1146216796</v>
      </c>
      <c r="G4027">
        <v>1164260889</v>
      </c>
      <c r="H4027">
        <v>509863259</v>
      </c>
      <c r="I4027">
        <v>476851415</v>
      </c>
      <c r="J4027">
        <v>498939383</v>
      </c>
      <c r="P4027">
        <v>65</v>
      </c>
      <c r="Q4027" t="s">
        <v>8403</v>
      </c>
    </row>
    <row r="4028" spans="1:17" x14ac:dyDescent="0.3">
      <c r="A4028" t="s">
        <v>47</v>
      </c>
      <c r="B4028" t="str">
        <f>"000982"</f>
        <v>000982</v>
      </c>
      <c r="C4028" t="s">
        <v>8404</v>
      </c>
      <c r="D4028" t="s">
        <v>3463</v>
      </c>
      <c r="E4028">
        <v>1340161749</v>
      </c>
      <c r="F4028">
        <v>1161725470</v>
      </c>
      <c r="G4028">
        <v>1203961970</v>
      </c>
      <c r="H4028">
        <v>8347070037</v>
      </c>
      <c r="I4028">
        <v>11676358859</v>
      </c>
      <c r="J4028">
        <v>11521098520</v>
      </c>
      <c r="K4028">
        <v>13879650782</v>
      </c>
      <c r="L4028">
        <v>12700534525</v>
      </c>
      <c r="M4028">
        <v>10595950829</v>
      </c>
      <c r="N4028">
        <v>6021833636</v>
      </c>
      <c r="O4028">
        <v>3977263048</v>
      </c>
      <c r="P4028">
        <v>83</v>
      </c>
      <c r="Q4028" t="s">
        <v>8405</v>
      </c>
    </row>
    <row r="4029" spans="1:17" x14ac:dyDescent="0.3">
      <c r="A4029" t="s">
        <v>17</v>
      </c>
      <c r="B4029" t="str">
        <f>"688093"</f>
        <v>688093</v>
      </c>
      <c r="C4029" t="s">
        <v>8406</v>
      </c>
      <c r="D4029" t="s">
        <v>1609</v>
      </c>
      <c r="E4029">
        <v>1339771041</v>
      </c>
      <c r="F4029">
        <v>1169797536</v>
      </c>
      <c r="P4029">
        <v>59</v>
      </c>
      <c r="Q4029" t="s">
        <v>8407</v>
      </c>
    </row>
    <row r="4030" spans="1:17" x14ac:dyDescent="0.3">
      <c r="A4030" t="s">
        <v>47</v>
      </c>
      <c r="B4030" t="str">
        <f>"300942"</f>
        <v>300942</v>
      </c>
      <c r="C4030" t="s">
        <v>8408</v>
      </c>
      <c r="D4030" t="s">
        <v>2322</v>
      </c>
      <c r="E4030">
        <v>1338832696</v>
      </c>
      <c r="F4030">
        <v>998848324</v>
      </c>
      <c r="H4030">
        <v>524086835</v>
      </c>
      <c r="P4030">
        <v>98</v>
      </c>
      <c r="Q4030" t="s">
        <v>8409</v>
      </c>
    </row>
    <row r="4031" spans="1:17" x14ac:dyDescent="0.3">
      <c r="A4031" t="s">
        <v>47</v>
      </c>
      <c r="B4031" t="str">
        <f>"000595"</f>
        <v>000595</v>
      </c>
      <c r="C4031" t="s">
        <v>8410</v>
      </c>
      <c r="D4031" t="s">
        <v>401</v>
      </c>
      <c r="E4031">
        <v>1338583280</v>
      </c>
      <c r="F4031">
        <v>1497964148</v>
      </c>
      <c r="G4031">
        <v>1497773255</v>
      </c>
      <c r="H4031">
        <v>1842448711</v>
      </c>
      <c r="I4031">
        <v>1996417487</v>
      </c>
      <c r="J4031">
        <v>1273459063</v>
      </c>
      <c r="K4031">
        <v>1262782545</v>
      </c>
      <c r="L4031">
        <v>1468041665</v>
      </c>
      <c r="M4031">
        <v>1052233636</v>
      </c>
      <c r="N4031">
        <v>851801891</v>
      </c>
      <c r="O4031">
        <v>876864657</v>
      </c>
      <c r="P4031">
        <v>98</v>
      </c>
      <c r="Q4031" t="s">
        <v>8411</v>
      </c>
    </row>
    <row r="4032" spans="1:17" x14ac:dyDescent="0.3">
      <c r="A4032" t="s">
        <v>47</v>
      </c>
      <c r="B4032" t="str">
        <f>"301151"</f>
        <v>301151</v>
      </c>
      <c r="C4032" t="s">
        <v>8412</v>
      </c>
      <c r="E4032">
        <v>1337731067</v>
      </c>
      <c r="P4032">
        <v>5</v>
      </c>
      <c r="Q4032" t="s">
        <v>8413</v>
      </c>
    </row>
    <row r="4033" spans="1:17" x14ac:dyDescent="0.3">
      <c r="A4033" t="s">
        <v>47</v>
      </c>
      <c r="B4033" t="str">
        <f>"000663"</f>
        <v>000663</v>
      </c>
      <c r="C4033" t="s">
        <v>8414</v>
      </c>
      <c r="D4033" t="s">
        <v>1505</v>
      </c>
      <c r="E4033">
        <v>1336592055</v>
      </c>
      <c r="F4033">
        <v>1486717370</v>
      </c>
      <c r="G4033">
        <v>2530388798</v>
      </c>
      <c r="H4033">
        <v>2833969561</v>
      </c>
      <c r="I4033">
        <v>4068273933</v>
      </c>
      <c r="J4033">
        <v>4355893787</v>
      </c>
      <c r="K4033">
        <v>3985854883</v>
      </c>
      <c r="L4033">
        <v>1337606270</v>
      </c>
      <c r="M4033">
        <v>1357064130</v>
      </c>
      <c r="N4033">
        <v>1412409803</v>
      </c>
      <c r="O4033">
        <v>1536785077</v>
      </c>
      <c r="P4033">
        <v>93</v>
      </c>
      <c r="Q4033" t="s">
        <v>8415</v>
      </c>
    </row>
    <row r="4034" spans="1:17" x14ac:dyDescent="0.3">
      <c r="A4034" t="s">
        <v>47</v>
      </c>
      <c r="B4034" t="str">
        <f>"301013"</f>
        <v>301013</v>
      </c>
      <c r="C4034" t="s">
        <v>8416</v>
      </c>
      <c r="D4034" t="s">
        <v>1973</v>
      </c>
      <c r="E4034">
        <v>1336403664</v>
      </c>
      <c r="F4034">
        <v>812044939</v>
      </c>
      <c r="G4034">
        <v>830913993</v>
      </c>
      <c r="P4034">
        <v>20</v>
      </c>
      <c r="Q4034" t="s">
        <v>8417</v>
      </c>
    </row>
    <row r="4035" spans="1:17" x14ac:dyDescent="0.3">
      <c r="A4035" t="s">
        <v>47</v>
      </c>
      <c r="B4035" t="str">
        <f>"300126"</f>
        <v>300126</v>
      </c>
      <c r="C4035" t="s">
        <v>8418</v>
      </c>
      <c r="D4035" t="s">
        <v>1433</v>
      </c>
      <c r="E4035">
        <v>1336402028</v>
      </c>
      <c r="F4035">
        <v>1298518358</v>
      </c>
      <c r="G4035">
        <v>1169654564</v>
      </c>
      <c r="H4035">
        <v>1191762121</v>
      </c>
      <c r="I4035">
        <v>1285258279</v>
      </c>
      <c r="J4035">
        <v>1247852512</v>
      </c>
      <c r="K4035">
        <v>1253556934</v>
      </c>
      <c r="L4035">
        <v>1184579824</v>
      </c>
      <c r="M4035">
        <v>1143055888</v>
      </c>
      <c r="N4035">
        <v>1111928855</v>
      </c>
      <c r="O4035">
        <v>1101842558</v>
      </c>
      <c r="P4035">
        <v>50</v>
      </c>
      <c r="Q4035" t="s">
        <v>8419</v>
      </c>
    </row>
    <row r="4036" spans="1:17" x14ac:dyDescent="0.3">
      <c r="A4036" t="s">
        <v>47</v>
      </c>
      <c r="B4036" t="str">
        <f>"301081"</f>
        <v>301081</v>
      </c>
      <c r="C4036" t="s">
        <v>8420</v>
      </c>
      <c r="D4036" t="s">
        <v>1347</v>
      </c>
      <c r="E4036">
        <v>1336332693</v>
      </c>
      <c r="P4036">
        <v>21</v>
      </c>
      <c r="Q4036" t="s">
        <v>8421</v>
      </c>
    </row>
    <row r="4037" spans="1:17" x14ac:dyDescent="0.3">
      <c r="A4037" t="s">
        <v>47</v>
      </c>
      <c r="B4037" t="str">
        <f>"300153"</f>
        <v>300153</v>
      </c>
      <c r="C4037" t="s">
        <v>8422</v>
      </c>
      <c r="D4037" t="s">
        <v>2256</v>
      </c>
      <c r="E4037">
        <v>1335424919</v>
      </c>
      <c r="F4037">
        <v>1357020261</v>
      </c>
      <c r="G4037">
        <v>1469370135</v>
      </c>
      <c r="H4037">
        <v>1546889951</v>
      </c>
      <c r="I4037">
        <v>1452101021</v>
      </c>
      <c r="J4037">
        <v>1407803352</v>
      </c>
      <c r="K4037">
        <v>1402717430</v>
      </c>
      <c r="L4037">
        <v>1133133872</v>
      </c>
      <c r="M4037">
        <v>1074148215</v>
      </c>
      <c r="N4037">
        <v>972893714</v>
      </c>
      <c r="O4037">
        <v>1097268387</v>
      </c>
      <c r="P4037">
        <v>108</v>
      </c>
      <c r="Q4037" t="s">
        <v>8423</v>
      </c>
    </row>
    <row r="4038" spans="1:17" x14ac:dyDescent="0.3">
      <c r="A4038" t="s">
        <v>17</v>
      </c>
      <c r="B4038" t="str">
        <f>"688269"</f>
        <v>688269</v>
      </c>
      <c r="C4038" t="s">
        <v>8424</v>
      </c>
      <c r="D4038" t="s">
        <v>2432</v>
      </c>
      <c r="E4038">
        <v>1335334683</v>
      </c>
      <c r="F4038">
        <v>714017116</v>
      </c>
      <c r="P4038">
        <v>58</v>
      </c>
      <c r="Q4038" t="s">
        <v>8425</v>
      </c>
    </row>
    <row r="4039" spans="1:17" x14ac:dyDescent="0.3">
      <c r="A4039" t="s">
        <v>47</v>
      </c>
      <c r="B4039" t="str">
        <f>"003033"</f>
        <v>003033</v>
      </c>
      <c r="C4039" t="s">
        <v>8426</v>
      </c>
      <c r="D4039" t="s">
        <v>1847</v>
      </c>
      <c r="E4039">
        <v>1334655493</v>
      </c>
      <c r="F4039">
        <v>1157277157</v>
      </c>
      <c r="H4039">
        <v>513275800</v>
      </c>
      <c r="P4039">
        <v>67</v>
      </c>
      <c r="Q4039" t="s">
        <v>8427</v>
      </c>
    </row>
    <row r="4040" spans="1:17" x14ac:dyDescent="0.3">
      <c r="A4040" t="s">
        <v>17</v>
      </c>
      <c r="B4040" t="str">
        <f>"605162"</f>
        <v>605162</v>
      </c>
      <c r="C4040" t="s">
        <v>8428</v>
      </c>
      <c r="D4040" t="s">
        <v>1293</v>
      </c>
      <c r="E4040">
        <v>1334130759</v>
      </c>
      <c r="F4040">
        <v>955620411</v>
      </c>
      <c r="P4040">
        <v>27</v>
      </c>
      <c r="Q4040" t="s">
        <v>8429</v>
      </c>
    </row>
    <row r="4041" spans="1:17" x14ac:dyDescent="0.3">
      <c r="A4041" t="s">
        <v>17</v>
      </c>
      <c r="B4041" t="str">
        <f>"688300"</f>
        <v>688300</v>
      </c>
      <c r="C4041" t="s">
        <v>8430</v>
      </c>
      <c r="D4041" t="s">
        <v>1197</v>
      </c>
      <c r="E4041">
        <v>1333065437</v>
      </c>
      <c r="F4041">
        <v>1170633419</v>
      </c>
      <c r="G4041">
        <v>1002003132</v>
      </c>
      <c r="I4041">
        <v>330910133</v>
      </c>
      <c r="P4041">
        <v>196</v>
      </c>
      <c r="Q4041" t="s">
        <v>8431</v>
      </c>
    </row>
    <row r="4042" spans="1:17" x14ac:dyDescent="0.3">
      <c r="A4042" t="s">
        <v>47</v>
      </c>
      <c r="B4042" t="str">
        <f>"300851"</f>
        <v>300851</v>
      </c>
      <c r="C4042" t="s">
        <v>8432</v>
      </c>
      <c r="D4042" t="s">
        <v>193</v>
      </c>
      <c r="E4042">
        <v>1332654217</v>
      </c>
      <c r="F4042">
        <v>1293974718</v>
      </c>
      <c r="G4042">
        <v>641962272</v>
      </c>
      <c r="P4042">
        <v>45</v>
      </c>
      <c r="Q4042" t="s">
        <v>8433</v>
      </c>
    </row>
    <row r="4043" spans="1:17" x14ac:dyDescent="0.3">
      <c r="A4043" t="s">
        <v>17</v>
      </c>
      <c r="B4043" t="str">
        <f>"600573"</f>
        <v>600573</v>
      </c>
      <c r="C4043" t="s">
        <v>8434</v>
      </c>
      <c r="D4043" t="s">
        <v>908</v>
      </c>
      <c r="E4043">
        <v>1332582591</v>
      </c>
      <c r="F4043">
        <v>1292336040</v>
      </c>
      <c r="G4043">
        <v>1242042405</v>
      </c>
      <c r="H4043">
        <v>1217576479</v>
      </c>
      <c r="I4043">
        <v>1214456762</v>
      </c>
      <c r="J4043">
        <v>1188312489</v>
      </c>
      <c r="K4043">
        <v>1191739296</v>
      </c>
      <c r="L4043">
        <v>1169557173</v>
      </c>
      <c r="M4043">
        <v>1156071543</v>
      </c>
      <c r="N4043">
        <v>1119372838</v>
      </c>
      <c r="O4043">
        <v>1222207120</v>
      </c>
      <c r="P4043">
        <v>191</v>
      </c>
      <c r="Q4043" t="s">
        <v>8435</v>
      </c>
    </row>
    <row r="4044" spans="1:17" x14ac:dyDescent="0.3">
      <c r="A4044" t="s">
        <v>17</v>
      </c>
      <c r="B4044" t="str">
        <f>"603519"</f>
        <v>603519</v>
      </c>
      <c r="C4044" t="s">
        <v>8436</v>
      </c>
      <c r="D4044" t="s">
        <v>1511</v>
      </c>
      <c r="E4044">
        <v>1331728629</v>
      </c>
      <c r="F4044">
        <v>1416326146</v>
      </c>
      <c r="G4044">
        <v>1256922469</v>
      </c>
      <c r="H4044">
        <v>871575078</v>
      </c>
      <c r="I4044">
        <v>909910063</v>
      </c>
      <c r="J4044">
        <v>919002725</v>
      </c>
      <c r="K4044">
        <v>862551818</v>
      </c>
      <c r="L4044">
        <v>924462857</v>
      </c>
      <c r="P4044">
        <v>148</v>
      </c>
      <c r="Q4044" t="s">
        <v>8437</v>
      </c>
    </row>
    <row r="4045" spans="1:17" x14ac:dyDescent="0.3">
      <c r="A4045" t="s">
        <v>47</v>
      </c>
      <c r="B4045" t="str">
        <f>"300966"</f>
        <v>300966</v>
      </c>
      <c r="C4045" t="s">
        <v>8438</v>
      </c>
      <c r="D4045" t="s">
        <v>1112</v>
      </c>
      <c r="E4045">
        <v>1330717681</v>
      </c>
      <c r="F4045">
        <v>826762043</v>
      </c>
      <c r="P4045">
        <v>32</v>
      </c>
      <c r="Q4045" t="s">
        <v>8439</v>
      </c>
    </row>
    <row r="4046" spans="1:17" x14ac:dyDescent="0.3">
      <c r="A4046" t="s">
        <v>17</v>
      </c>
      <c r="B4046" t="str">
        <f>"603880"</f>
        <v>603880</v>
      </c>
      <c r="C4046" t="s">
        <v>8440</v>
      </c>
      <c r="D4046" t="s">
        <v>1650</v>
      </c>
      <c r="E4046">
        <v>1329431755</v>
      </c>
      <c r="F4046">
        <v>1127517819</v>
      </c>
      <c r="G4046">
        <v>898068339</v>
      </c>
      <c r="H4046">
        <v>851964049</v>
      </c>
      <c r="I4046">
        <v>800290545</v>
      </c>
      <c r="P4046">
        <v>125</v>
      </c>
      <c r="Q4046" t="s">
        <v>8441</v>
      </c>
    </row>
    <row r="4047" spans="1:17" x14ac:dyDescent="0.3">
      <c r="A4047" t="s">
        <v>47</v>
      </c>
      <c r="B4047" t="str">
        <f>"300988"</f>
        <v>300988</v>
      </c>
      <c r="C4047" t="s">
        <v>8442</v>
      </c>
      <c r="D4047" t="s">
        <v>1973</v>
      </c>
      <c r="E4047">
        <v>1329133514</v>
      </c>
      <c r="F4047">
        <v>861841759</v>
      </c>
      <c r="P4047">
        <v>20</v>
      </c>
      <c r="Q4047" t="s">
        <v>8443</v>
      </c>
    </row>
    <row r="4048" spans="1:17" x14ac:dyDescent="0.3">
      <c r="A4048" t="s">
        <v>17</v>
      </c>
      <c r="B4048" t="str">
        <f>"600238"</f>
        <v>600238</v>
      </c>
      <c r="C4048" t="s">
        <v>8444</v>
      </c>
      <c r="D4048" t="s">
        <v>2319</v>
      </c>
      <c r="E4048">
        <v>1326973807</v>
      </c>
      <c r="F4048">
        <v>1200008745</v>
      </c>
      <c r="G4048">
        <v>1193813762</v>
      </c>
      <c r="H4048">
        <v>1385054755</v>
      </c>
      <c r="I4048">
        <v>1501660395</v>
      </c>
      <c r="J4048">
        <v>1668977809</v>
      </c>
      <c r="K4048">
        <v>1252196895</v>
      </c>
      <c r="L4048">
        <v>1378087873</v>
      </c>
      <c r="M4048">
        <v>1266684351</v>
      </c>
      <c r="N4048">
        <v>1515007384</v>
      </c>
      <c r="O4048">
        <v>1369361951</v>
      </c>
      <c r="P4048">
        <v>146</v>
      </c>
      <c r="Q4048" t="s">
        <v>8445</v>
      </c>
    </row>
    <row r="4049" spans="1:17" x14ac:dyDescent="0.3">
      <c r="A4049" t="s">
        <v>47</v>
      </c>
      <c r="B4049" t="str">
        <f>"300042"</f>
        <v>300042</v>
      </c>
      <c r="C4049" t="s">
        <v>8446</v>
      </c>
      <c r="D4049" t="s">
        <v>765</v>
      </c>
      <c r="E4049">
        <v>1326579600</v>
      </c>
      <c r="F4049">
        <v>1235531114</v>
      </c>
      <c r="G4049">
        <v>1097862226</v>
      </c>
      <c r="H4049">
        <v>1019827090</v>
      </c>
      <c r="I4049">
        <v>954406466</v>
      </c>
      <c r="J4049">
        <v>954236846</v>
      </c>
      <c r="K4049">
        <v>894595735</v>
      </c>
      <c r="L4049">
        <v>863284307</v>
      </c>
      <c r="M4049">
        <v>852547980</v>
      </c>
      <c r="N4049">
        <v>892549370</v>
      </c>
      <c r="O4049">
        <v>916093052</v>
      </c>
      <c r="P4049">
        <v>116</v>
      </c>
      <c r="Q4049" t="s">
        <v>8447</v>
      </c>
    </row>
    <row r="4050" spans="1:17" x14ac:dyDescent="0.3">
      <c r="A4050" t="s">
        <v>47</v>
      </c>
      <c r="B4050" t="str">
        <f>"300937"</f>
        <v>300937</v>
      </c>
      <c r="C4050" t="s">
        <v>8448</v>
      </c>
      <c r="D4050" t="s">
        <v>362</v>
      </c>
      <c r="E4050">
        <v>1322687905</v>
      </c>
      <c r="F4050">
        <v>1198456011</v>
      </c>
      <c r="P4050">
        <v>35</v>
      </c>
      <c r="Q4050" t="s">
        <v>8449</v>
      </c>
    </row>
    <row r="4051" spans="1:17" x14ac:dyDescent="0.3">
      <c r="A4051" t="s">
        <v>47</v>
      </c>
      <c r="B4051" t="str">
        <f>"300225"</f>
        <v>300225</v>
      </c>
      <c r="C4051" t="s">
        <v>8450</v>
      </c>
      <c r="D4051" t="s">
        <v>5419</v>
      </c>
      <c r="E4051">
        <v>1322168983</v>
      </c>
      <c r="F4051">
        <v>1501597708</v>
      </c>
      <c r="G4051">
        <v>1136458626</v>
      </c>
      <c r="H4051">
        <v>1104484753</v>
      </c>
      <c r="I4051">
        <v>1151794513</v>
      </c>
      <c r="J4051">
        <v>1179692325</v>
      </c>
      <c r="K4051">
        <v>1105935962</v>
      </c>
      <c r="L4051">
        <v>1018860066</v>
      </c>
      <c r="M4051">
        <v>998763667</v>
      </c>
      <c r="N4051">
        <v>857590497</v>
      </c>
      <c r="O4051">
        <v>798268168</v>
      </c>
      <c r="P4051">
        <v>94</v>
      </c>
      <c r="Q4051" t="s">
        <v>8451</v>
      </c>
    </row>
    <row r="4052" spans="1:17" x14ac:dyDescent="0.3">
      <c r="A4052" t="s">
        <v>47</v>
      </c>
      <c r="B4052" t="str">
        <f>"300656"</f>
        <v>300656</v>
      </c>
      <c r="C4052" t="s">
        <v>8452</v>
      </c>
      <c r="D4052" t="s">
        <v>1609</v>
      </c>
      <c r="E4052">
        <v>1321228935</v>
      </c>
      <c r="F4052">
        <v>819547192</v>
      </c>
      <c r="G4052">
        <v>634168754</v>
      </c>
      <c r="H4052">
        <v>608820087</v>
      </c>
      <c r="I4052">
        <v>454187402</v>
      </c>
      <c r="J4052">
        <v>188882293</v>
      </c>
      <c r="P4052">
        <v>80</v>
      </c>
      <c r="Q4052" t="s">
        <v>8453</v>
      </c>
    </row>
    <row r="4053" spans="1:17" x14ac:dyDescent="0.3">
      <c r="A4053" t="s">
        <v>47</v>
      </c>
      <c r="B4053" t="str">
        <f>"001228"</f>
        <v>001228</v>
      </c>
      <c r="C4053" t="s">
        <v>8454</v>
      </c>
      <c r="E4053">
        <v>1321185099</v>
      </c>
      <c r="P4053">
        <v>2</v>
      </c>
      <c r="Q4053" t="s">
        <v>8455</v>
      </c>
    </row>
    <row r="4054" spans="1:17" x14ac:dyDescent="0.3">
      <c r="A4054" t="s">
        <v>47</v>
      </c>
      <c r="B4054" t="str">
        <f>"300955"</f>
        <v>300955</v>
      </c>
      <c r="C4054" t="s">
        <v>8456</v>
      </c>
      <c r="D4054" t="s">
        <v>2302</v>
      </c>
      <c r="E4054">
        <v>1320889215</v>
      </c>
      <c r="F4054">
        <v>1298041155</v>
      </c>
      <c r="P4054">
        <v>42</v>
      </c>
      <c r="Q4054" t="s">
        <v>8457</v>
      </c>
    </row>
    <row r="4055" spans="1:17" x14ac:dyDescent="0.3">
      <c r="A4055" t="s">
        <v>47</v>
      </c>
      <c r="B4055" t="str">
        <f>"300584"</f>
        <v>300584</v>
      </c>
      <c r="C4055" t="s">
        <v>8458</v>
      </c>
      <c r="D4055" t="s">
        <v>550</v>
      </c>
      <c r="E4055">
        <v>1319690404</v>
      </c>
      <c r="F4055">
        <v>909113507</v>
      </c>
      <c r="G4055">
        <v>911370209</v>
      </c>
      <c r="H4055">
        <v>795948270</v>
      </c>
      <c r="I4055">
        <v>670585814</v>
      </c>
      <c r="J4055">
        <v>563372795</v>
      </c>
      <c r="P4055">
        <v>195</v>
      </c>
      <c r="Q4055" t="s">
        <v>8459</v>
      </c>
    </row>
    <row r="4056" spans="1:17" x14ac:dyDescent="0.3">
      <c r="A4056" t="s">
        <v>47</v>
      </c>
      <c r="B4056" t="str">
        <f>"300649"</f>
        <v>300649</v>
      </c>
      <c r="C4056" t="s">
        <v>8460</v>
      </c>
      <c r="D4056" t="s">
        <v>952</v>
      </c>
      <c r="E4056">
        <v>1316642984</v>
      </c>
      <c r="F4056">
        <v>1101618439</v>
      </c>
      <c r="G4056">
        <v>918310434</v>
      </c>
      <c r="H4056">
        <v>561368720</v>
      </c>
      <c r="I4056">
        <v>379730133</v>
      </c>
      <c r="J4056">
        <v>291913906</v>
      </c>
      <c r="P4056">
        <v>91</v>
      </c>
      <c r="Q4056" t="s">
        <v>8461</v>
      </c>
    </row>
    <row r="4057" spans="1:17" x14ac:dyDescent="0.3">
      <c r="A4057" t="s">
        <v>17</v>
      </c>
      <c r="B4057" t="str">
        <f>"688636"</f>
        <v>688636</v>
      </c>
      <c r="C4057" t="s">
        <v>8462</v>
      </c>
      <c r="D4057" t="s">
        <v>1385</v>
      </c>
      <c r="E4057">
        <v>1313407415</v>
      </c>
      <c r="F4057">
        <v>615400376</v>
      </c>
      <c r="P4057">
        <v>32</v>
      </c>
      <c r="Q4057" t="s">
        <v>8463</v>
      </c>
    </row>
    <row r="4058" spans="1:17" x14ac:dyDescent="0.3">
      <c r="A4058" t="s">
        <v>17</v>
      </c>
      <c r="B4058" t="str">
        <f>"603990"</f>
        <v>603990</v>
      </c>
      <c r="C4058" t="s">
        <v>8464</v>
      </c>
      <c r="D4058" t="s">
        <v>1859</v>
      </c>
      <c r="E4058">
        <v>1313330684</v>
      </c>
      <c r="F4058">
        <v>1361155807</v>
      </c>
      <c r="G4058">
        <v>727382774</v>
      </c>
      <c r="H4058">
        <v>661842495</v>
      </c>
      <c r="I4058">
        <v>601125236</v>
      </c>
      <c r="J4058">
        <v>578133711</v>
      </c>
      <c r="P4058">
        <v>143</v>
      </c>
      <c r="Q4058" t="s">
        <v>8465</v>
      </c>
    </row>
    <row r="4059" spans="1:17" x14ac:dyDescent="0.3">
      <c r="A4059" t="s">
        <v>17</v>
      </c>
      <c r="B4059" t="str">
        <f>"603789"</f>
        <v>603789</v>
      </c>
      <c r="C4059" t="s">
        <v>8466</v>
      </c>
      <c r="D4059" t="s">
        <v>2194</v>
      </c>
      <c r="E4059">
        <v>1312785361</v>
      </c>
      <c r="F4059">
        <v>1398438093</v>
      </c>
      <c r="G4059">
        <v>1658322618</v>
      </c>
      <c r="H4059">
        <v>1608525279</v>
      </c>
      <c r="I4059">
        <v>1423207586</v>
      </c>
      <c r="J4059">
        <v>1595094862</v>
      </c>
      <c r="K4059">
        <v>1444227248</v>
      </c>
      <c r="P4059">
        <v>64</v>
      </c>
      <c r="Q4059" t="s">
        <v>8467</v>
      </c>
    </row>
    <row r="4060" spans="1:17" x14ac:dyDescent="0.3">
      <c r="A4060" t="s">
        <v>47</v>
      </c>
      <c r="B4060" t="str">
        <f>"300589"</f>
        <v>300589</v>
      </c>
      <c r="C4060" t="s">
        <v>8468</v>
      </c>
      <c r="D4060" t="s">
        <v>351</v>
      </c>
      <c r="E4060">
        <v>1311794260</v>
      </c>
      <c r="F4060">
        <v>1012394449</v>
      </c>
      <c r="G4060">
        <v>858599957</v>
      </c>
      <c r="H4060">
        <v>941516303</v>
      </c>
      <c r="I4060">
        <v>710491262</v>
      </c>
      <c r="J4060">
        <v>577852681</v>
      </c>
      <c r="P4060">
        <v>87</v>
      </c>
      <c r="Q4060" t="s">
        <v>8469</v>
      </c>
    </row>
    <row r="4061" spans="1:17" x14ac:dyDescent="0.3">
      <c r="A4061" t="s">
        <v>17</v>
      </c>
      <c r="B4061" t="str">
        <f>"688690"</f>
        <v>688690</v>
      </c>
      <c r="C4061" t="s">
        <v>8470</v>
      </c>
      <c r="D4061" t="s">
        <v>1112</v>
      </c>
      <c r="E4061">
        <v>1310170632</v>
      </c>
      <c r="F4061">
        <v>653742353</v>
      </c>
      <c r="G4061">
        <v>543743044</v>
      </c>
      <c r="P4061">
        <v>116</v>
      </c>
      <c r="Q4061" t="s">
        <v>8471</v>
      </c>
    </row>
    <row r="4062" spans="1:17" x14ac:dyDescent="0.3">
      <c r="A4062" t="s">
        <v>17</v>
      </c>
      <c r="B4062" t="str">
        <f>"605318"</f>
        <v>605318</v>
      </c>
      <c r="C4062" t="s">
        <v>8472</v>
      </c>
      <c r="D4062" t="s">
        <v>1418</v>
      </c>
      <c r="E4062">
        <v>1309564023</v>
      </c>
      <c r="F4062">
        <v>1088003021</v>
      </c>
      <c r="G4062">
        <v>565437223</v>
      </c>
      <c r="P4062">
        <v>58</v>
      </c>
      <c r="Q4062" t="s">
        <v>8473</v>
      </c>
    </row>
    <row r="4063" spans="1:17" x14ac:dyDescent="0.3">
      <c r="A4063" t="s">
        <v>17</v>
      </c>
      <c r="B4063" t="str">
        <f>"603036"</f>
        <v>603036</v>
      </c>
      <c r="C4063" t="s">
        <v>8474</v>
      </c>
      <c r="D4063" t="s">
        <v>607</v>
      </c>
      <c r="E4063">
        <v>1309277749</v>
      </c>
      <c r="F4063">
        <v>1251438252</v>
      </c>
      <c r="G4063">
        <v>1212951818</v>
      </c>
      <c r="H4063">
        <v>1117051274</v>
      </c>
      <c r="I4063">
        <v>1076777706</v>
      </c>
      <c r="J4063">
        <v>1060217234</v>
      </c>
      <c r="P4063">
        <v>61</v>
      </c>
      <c r="Q4063" t="s">
        <v>8475</v>
      </c>
    </row>
    <row r="4064" spans="1:17" x14ac:dyDescent="0.3">
      <c r="A4064" t="s">
        <v>47</v>
      </c>
      <c r="B4064" t="str">
        <f>"300609"</f>
        <v>300609</v>
      </c>
      <c r="C4064" t="s">
        <v>8476</v>
      </c>
      <c r="D4064" t="s">
        <v>700</v>
      </c>
      <c r="E4064">
        <v>1309076721</v>
      </c>
      <c r="F4064">
        <v>1170891462</v>
      </c>
      <c r="G4064">
        <v>696975311</v>
      </c>
      <c r="H4064">
        <v>612455079</v>
      </c>
      <c r="I4064">
        <v>531217989</v>
      </c>
      <c r="J4064">
        <v>454644606</v>
      </c>
      <c r="P4064">
        <v>155</v>
      </c>
      <c r="Q4064" t="s">
        <v>8477</v>
      </c>
    </row>
    <row r="4065" spans="1:17" x14ac:dyDescent="0.3">
      <c r="A4065" t="s">
        <v>47</v>
      </c>
      <c r="B4065" t="str">
        <f>"002148"</f>
        <v>002148</v>
      </c>
      <c r="C4065" t="s">
        <v>8478</v>
      </c>
      <c r="D4065" t="s">
        <v>3761</v>
      </c>
      <c r="E4065">
        <v>1306898988</v>
      </c>
      <c r="F4065">
        <v>1265483169</v>
      </c>
      <c r="G4065">
        <v>1244980620</v>
      </c>
      <c r="H4065">
        <v>1292365349</v>
      </c>
      <c r="I4065">
        <v>1359512904</v>
      </c>
      <c r="J4065">
        <v>1278104842</v>
      </c>
      <c r="K4065">
        <v>1089499504</v>
      </c>
      <c r="L4065">
        <v>1108788562</v>
      </c>
      <c r="M4065">
        <v>1066250469</v>
      </c>
      <c r="N4065">
        <v>533327512</v>
      </c>
      <c r="O4065">
        <v>477735245</v>
      </c>
      <c r="P4065">
        <v>103</v>
      </c>
      <c r="Q4065" t="s">
        <v>8479</v>
      </c>
    </row>
    <row r="4066" spans="1:17" x14ac:dyDescent="0.3">
      <c r="A4066" t="s">
        <v>47</v>
      </c>
      <c r="B4066" t="str">
        <f>"300928"</f>
        <v>300928</v>
      </c>
      <c r="C4066" t="s">
        <v>8480</v>
      </c>
      <c r="D4066" t="s">
        <v>836</v>
      </c>
      <c r="E4066">
        <v>1306289665</v>
      </c>
      <c r="F4066">
        <v>1371760852</v>
      </c>
      <c r="P4066">
        <v>27</v>
      </c>
      <c r="Q4066" t="s">
        <v>8481</v>
      </c>
    </row>
    <row r="4067" spans="1:17" x14ac:dyDescent="0.3">
      <c r="A4067" t="s">
        <v>17</v>
      </c>
      <c r="B4067" t="str">
        <f>"603022"</f>
        <v>603022</v>
      </c>
      <c r="C4067" t="s">
        <v>8482</v>
      </c>
      <c r="D4067" t="s">
        <v>6719</v>
      </c>
      <c r="E4067">
        <v>1301276323</v>
      </c>
      <c r="F4067">
        <v>895396911</v>
      </c>
      <c r="G4067">
        <v>827464459</v>
      </c>
      <c r="H4067">
        <v>804595941</v>
      </c>
      <c r="I4067">
        <v>790900129</v>
      </c>
      <c r="J4067">
        <v>744664041</v>
      </c>
      <c r="K4067">
        <v>646832827</v>
      </c>
      <c r="L4067">
        <v>444184761</v>
      </c>
      <c r="P4067">
        <v>51</v>
      </c>
      <c r="Q4067" t="s">
        <v>8483</v>
      </c>
    </row>
    <row r="4068" spans="1:17" x14ac:dyDescent="0.3">
      <c r="A4068" t="s">
        <v>17</v>
      </c>
      <c r="B4068" t="str">
        <f>"603798"</f>
        <v>603798</v>
      </c>
      <c r="C4068" t="s">
        <v>8484</v>
      </c>
      <c r="D4068" t="s">
        <v>615</v>
      </c>
      <c r="E4068">
        <v>1301207424</v>
      </c>
      <c r="F4068">
        <v>1326810477</v>
      </c>
      <c r="G4068">
        <v>1091510036</v>
      </c>
      <c r="H4068">
        <v>1110696077</v>
      </c>
      <c r="I4068">
        <v>1152875122</v>
      </c>
      <c r="J4068">
        <v>1025451948</v>
      </c>
      <c r="K4068">
        <v>924402003</v>
      </c>
      <c r="P4068">
        <v>141</v>
      </c>
      <c r="Q4068" t="s">
        <v>8485</v>
      </c>
    </row>
    <row r="4069" spans="1:17" x14ac:dyDescent="0.3">
      <c r="A4069" t="s">
        <v>17</v>
      </c>
      <c r="B4069" t="str">
        <f>"603679"</f>
        <v>603679</v>
      </c>
      <c r="C4069" t="s">
        <v>8486</v>
      </c>
      <c r="D4069" t="s">
        <v>862</v>
      </c>
      <c r="E4069">
        <v>1300969092</v>
      </c>
      <c r="F4069">
        <v>1567248446</v>
      </c>
      <c r="G4069">
        <v>1255092519</v>
      </c>
      <c r="H4069">
        <v>874302511</v>
      </c>
      <c r="I4069">
        <v>731884317</v>
      </c>
      <c r="P4069">
        <v>164</v>
      </c>
      <c r="Q4069" t="s">
        <v>8487</v>
      </c>
    </row>
    <row r="4070" spans="1:17" x14ac:dyDescent="0.3">
      <c r="A4070" t="s">
        <v>47</v>
      </c>
      <c r="B4070" t="str">
        <f>"300563"</f>
        <v>300563</v>
      </c>
      <c r="C4070" t="s">
        <v>8488</v>
      </c>
      <c r="D4070" t="s">
        <v>828</v>
      </c>
      <c r="E4070">
        <v>1298869016</v>
      </c>
      <c r="F4070">
        <v>1117934053</v>
      </c>
      <c r="G4070">
        <v>689554350</v>
      </c>
      <c r="H4070">
        <v>619861962</v>
      </c>
      <c r="I4070">
        <v>611097227</v>
      </c>
      <c r="J4070">
        <v>614912744</v>
      </c>
      <c r="P4070">
        <v>144</v>
      </c>
      <c r="Q4070" t="s">
        <v>8489</v>
      </c>
    </row>
    <row r="4071" spans="1:17" x14ac:dyDescent="0.3">
      <c r="A4071" t="s">
        <v>17</v>
      </c>
      <c r="B4071" t="str">
        <f>"600112"</f>
        <v>600112</v>
      </c>
      <c r="C4071" t="s">
        <v>8490</v>
      </c>
      <c r="D4071" t="s">
        <v>459</v>
      </c>
      <c r="E4071">
        <v>1298713653</v>
      </c>
      <c r="F4071">
        <v>1104861243</v>
      </c>
      <c r="G4071">
        <v>1654095213</v>
      </c>
      <c r="H4071">
        <v>2427978773</v>
      </c>
      <c r="I4071">
        <v>2814766192</v>
      </c>
      <c r="J4071">
        <v>2871216493</v>
      </c>
      <c r="K4071">
        <v>2417426775</v>
      </c>
      <c r="L4071">
        <v>2704660530</v>
      </c>
      <c r="M4071">
        <v>2642529756</v>
      </c>
      <c r="N4071">
        <v>2628082432</v>
      </c>
      <c r="O4071">
        <v>2286963172</v>
      </c>
      <c r="P4071">
        <v>56</v>
      </c>
      <c r="Q4071" t="s">
        <v>8491</v>
      </c>
    </row>
    <row r="4072" spans="1:17" x14ac:dyDescent="0.3">
      <c r="A4072" t="s">
        <v>47</v>
      </c>
      <c r="B4072" t="str">
        <f>"300466"</f>
        <v>300466</v>
      </c>
      <c r="C4072" t="s">
        <v>8492</v>
      </c>
      <c r="D4072" t="s">
        <v>2197</v>
      </c>
      <c r="E4072">
        <v>1298672643</v>
      </c>
      <c r="F4072">
        <v>1184387742</v>
      </c>
      <c r="G4072">
        <v>1249725205</v>
      </c>
      <c r="H4072">
        <v>1627558088</v>
      </c>
      <c r="I4072">
        <v>1780287316</v>
      </c>
      <c r="J4072">
        <v>1389645439</v>
      </c>
      <c r="K4072">
        <v>593047437</v>
      </c>
      <c r="L4072">
        <v>411178768</v>
      </c>
      <c r="P4072">
        <v>121</v>
      </c>
      <c r="Q4072" t="s">
        <v>8493</v>
      </c>
    </row>
    <row r="4073" spans="1:17" x14ac:dyDescent="0.3">
      <c r="A4073" t="s">
        <v>47</v>
      </c>
      <c r="B4073" t="str">
        <f>"300491"</f>
        <v>300491</v>
      </c>
      <c r="C4073" t="s">
        <v>8494</v>
      </c>
      <c r="D4073" t="s">
        <v>2256</v>
      </c>
      <c r="E4073">
        <v>1291970626</v>
      </c>
      <c r="F4073">
        <v>934945642</v>
      </c>
      <c r="G4073">
        <v>830507380</v>
      </c>
      <c r="H4073">
        <v>816687189</v>
      </c>
      <c r="I4073">
        <v>567049791</v>
      </c>
      <c r="J4073">
        <v>549615317</v>
      </c>
      <c r="K4073">
        <v>506157564</v>
      </c>
      <c r="L4073">
        <v>236704689</v>
      </c>
      <c r="P4073">
        <v>94</v>
      </c>
      <c r="Q4073" t="s">
        <v>8495</v>
      </c>
    </row>
    <row r="4074" spans="1:17" x14ac:dyDescent="0.3">
      <c r="A4074" t="s">
        <v>47</v>
      </c>
      <c r="B4074" t="str">
        <f>"002495"</f>
        <v>002495</v>
      </c>
      <c r="C4074" t="s">
        <v>8496</v>
      </c>
      <c r="D4074" t="s">
        <v>1241</v>
      </c>
      <c r="E4074">
        <v>1291518650</v>
      </c>
      <c r="F4074">
        <v>1292891534</v>
      </c>
      <c r="G4074">
        <v>1243680444</v>
      </c>
      <c r="H4074">
        <v>1275931411</v>
      </c>
      <c r="I4074">
        <v>1243324489</v>
      </c>
      <c r="J4074">
        <v>1193793773</v>
      </c>
      <c r="K4074">
        <v>1176423163</v>
      </c>
      <c r="L4074">
        <v>1108189981</v>
      </c>
      <c r="M4074">
        <v>1121295004</v>
      </c>
      <c r="N4074">
        <v>1111590246</v>
      </c>
      <c r="O4074">
        <v>1107504021</v>
      </c>
      <c r="P4074">
        <v>113</v>
      </c>
      <c r="Q4074" t="s">
        <v>8497</v>
      </c>
    </row>
    <row r="4075" spans="1:17" x14ac:dyDescent="0.3">
      <c r="A4075" t="s">
        <v>47</v>
      </c>
      <c r="B4075" t="str">
        <f>"300916"</f>
        <v>300916</v>
      </c>
      <c r="C4075" t="s">
        <v>8498</v>
      </c>
      <c r="D4075" t="s">
        <v>283</v>
      </c>
      <c r="E4075">
        <v>1289661580</v>
      </c>
      <c r="F4075">
        <v>1099378121</v>
      </c>
      <c r="P4075">
        <v>79</v>
      </c>
      <c r="Q4075" t="s">
        <v>8499</v>
      </c>
    </row>
    <row r="4076" spans="1:17" x14ac:dyDescent="0.3">
      <c r="A4076" t="s">
        <v>47</v>
      </c>
      <c r="B4076" t="str">
        <f>"301106"</f>
        <v>301106</v>
      </c>
      <c r="C4076" t="s">
        <v>8500</v>
      </c>
      <c r="E4076">
        <v>1288473904</v>
      </c>
      <c r="P4076">
        <v>8</v>
      </c>
      <c r="Q4076" t="s">
        <v>8501</v>
      </c>
    </row>
    <row r="4077" spans="1:17" x14ac:dyDescent="0.3">
      <c r="A4077" t="s">
        <v>47</v>
      </c>
      <c r="B4077" t="str">
        <f>"002113"</f>
        <v>002113</v>
      </c>
      <c r="C4077" t="s">
        <v>8502</v>
      </c>
      <c r="D4077" t="s">
        <v>1032</v>
      </c>
      <c r="E4077">
        <v>1288097891</v>
      </c>
      <c r="F4077">
        <v>1851347551</v>
      </c>
      <c r="G4077">
        <v>1989793672</v>
      </c>
      <c r="H4077">
        <v>2799887931</v>
      </c>
      <c r="I4077">
        <v>2826559132</v>
      </c>
      <c r="J4077">
        <v>1126105452</v>
      </c>
      <c r="K4077">
        <v>112323995</v>
      </c>
      <c r="L4077">
        <v>119368461</v>
      </c>
      <c r="M4077">
        <v>119298329</v>
      </c>
      <c r="N4077">
        <v>151534651</v>
      </c>
      <c r="O4077">
        <v>157073873</v>
      </c>
      <c r="P4077">
        <v>77</v>
      </c>
      <c r="Q4077" t="s">
        <v>8503</v>
      </c>
    </row>
    <row r="4078" spans="1:17" x14ac:dyDescent="0.3">
      <c r="A4078" t="s">
        <v>17</v>
      </c>
      <c r="B4078" t="str">
        <f>"688698"</f>
        <v>688698</v>
      </c>
      <c r="C4078" t="s">
        <v>8504</v>
      </c>
      <c r="D4078" t="s">
        <v>1360</v>
      </c>
      <c r="E4078">
        <v>1287957737</v>
      </c>
      <c r="F4078">
        <v>1114478582</v>
      </c>
      <c r="P4078">
        <v>74</v>
      </c>
      <c r="Q4078" t="s">
        <v>8505</v>
      </c>
    </row>
    <row r="4079" spans="1:17" x14ac:dyDescent="0.3">
      <c r="A4079" t="s">
        <v>47</v>
      </c>
      <c r="B4079" t="str">
        <f>"000929"</f>
        <v>000929</v>
      </c>
      <c r="C4079" t="s">
        <v>8506</v>
      </c>
      <c r="D4079" t="s">
        <v>908</v>
      </c>
      <c r="E4079">
        <v>1286989049</v>
      </c>
      <c r="F4079">
        <v>1285972696</v>
      </c>
      <c r="G4079">
        <v>1309826618</v>
      </c>
      <c r="H4079">
        <v>1388092489</v>
      </c>
      <c r="I4079">
        <v>1474176613</v>
      </c>
      <c r="J4079">
        <v>1533943995</v>
      </c>
      <c r="K4079">
        <v>1575867323</v>
      </c>
      <c r="L4079">
        <v>1668323714</v>
      </c>
      <c r="M4079">
        <v>1490670362</v>
      </c>
      <c r="N4079">
        <v>1457304346</v>
      </c>
      <c r="O4079">
        <v>1290590721</v>
      </c>
      <c r="P4079">
        <v>144</v>
      </c>
      <c r="Q4079" t="s">
        <v>8507</v>
      </c>
    </row>
    <row r="4080" spans="1:17" x14ac:dyDescent="0.3">
      <c r="A4080" t="s">
        <v>17</v>
      </c>
      <c r="B4080" t="str">
        <f>"688621"</f>
        <v>688621</v>
      </c>
      <c r="C4080" t="s">
        <v>8508</v>
      </c>
      <c r="D4080" t="s">
        <v>777</v>
      </c>
      <c r="E4080">
        <v>1286823732</v>
      </c>
      <c r="F4080">
        <v>421559293</v>
      </c>
      <c r="G4080">
        <v>318626035</v>
      </c>
      <c r="P4080">
        <v>63</v>
      </c>
      <c r="Q4080" t="s">
        <v>8509</v>
      </c>
    </row>
    <row r="4081" spans="1:17" x14ac:dyDescent="0.3">
      <c r="A4081" t="s">
        <v>47</v>
      </c>
      <c r="B4081" t="str">
        <f>"002785"</f>
        <v>002785</v>
      </c>
      <c r="C4081" t="s">
        <v>8510</v>
      </c>
      <c r="D4081" t="s">
        <v>1418</v>
      </c>
      <c r="E4081">
        <v>1286763360</v>
      </c>
      <c r="F4081">
        <v>1279825510</v>
      </c>
      <c r="G4081">
        <v>1175432166</v>
      </c>
      <c r="H4081">
        <v>1294629972</v>
      </c>
      <c r="I4081">
        <v>1200368728</v>
      </c>
      <c r="J4081">
        <v>1184291138</v>
      </c>
      <c r="K4081">
        <v>1069545257</v>
      </c>
      <c r="L4081">
        <v>924507341</v>
      </c>
      <c r="P4081">
        <v>57</v>
      </c>
      <c r="Q4081" t="s">
        <v>8511</v>
      </c>
    </row>
    <row r="4082" spans="1:17" x14ac:dyDescent="0.3">
      <c r="A4082" t="s">
        <v>47</v>
      </c>
      <c r="B4082" t="str">
        <f>"300941"</f>
        <v>300941</v>
      </c>
      <c r="C4082" t="s">
        <v>8512</v>
      </c>
      <c r="D4082" t="s">
        <v>765</v>
      </c>
      <c r="E4082">
        <v>1285966247</v>
      </c>
      <c r="F4082">
        <v>1204781902</v>
      </c>
      <c r="H4082">
        <v>291380475</v>
      </c>
      <c r="I4082">
        <v>229128341</v>
      </c>
      <c r="P4082">
        <v>69</v>
      </c>
      <c r="Q4082" t="s">
        <v>8513</v>
      </c>
    </row>
    <row r="4083" spans="1:17" x14ac:dyDescent="0.3">
      <c r="A4083" t="s">
        <v>17</v>
      </c>
      <c r="B4083" t="str">
        <f>"603028"</f>
        <v>603028</v>
      </c>
      <c r="C4083" t="s">
        <v>8514</v>
      </c>
      <c r="D4083" t="s">
        <v>401</v>
      </c>
      <c r="E4083">
        <v>1285063533</v>
      </c>
      <c r="F4083">
        <v>1186211073</v>
      </c>
      <c r="G4083">
        <v>849340567</v>
      </c>
      <c r="H4083">
        <v>994975783</v>
      </c>
      <c r="I4083">
        <v>1032904020</v>
      </c>
      <c r="J4083">
        <v>921451873</v>
      </c>
      <c r="K4083">
        <v>989263132</v>
      </c>
      <c r="P4083">
        <v>52</v>
      </c>
      <c r="Q4083" t="s">
        <v>8515</v>
      </c>
    </row>
    <row r="4084" spans="1:17" x14ac:dyDescent="0.3">
      <c r="A4084" t="s">
        <v>47</v>
      </c>
      <c r="B4084" t="str">
        <f>"300626"</f>
        <v>300626</v>
      </c>
      <c r="C4084" t="s">
        <v>8516</v>
      </c>
      <c r="D4084" t="s">
        <v>1594</v>
      </c>
      <c r="E4084">
        <v>1284476567</v>
      </c>
      <c r="F4084">
        <v>1091771788</v>
      </c>
      <c r="G4084">
        <v>916069622</v>
      </c>
      <c r="H4084">
        <v>1028736082</v>
      </c>
      <c r="I4084">
        <v>899489162</v>
      </c>
      <c r="J4084">
        <v>972298721</v>
      </c>
      <c r="P4084">
        <v>55</v>
      </c>
      <c r="Q4084" t="s">
        <v>8517</v>
      </c>
    </row>
    <row r="4085" spans="1:17" x14ac:dyDescent="0.3">
      <c r="A4085" t="s">
        <v>47</v>
      </c>
      <c r="B4085" t="str">
        <f>"301022"</f>
        <v>301022</v>
      </c>
      <c r="C4085" t="s">
        <v>8518</v>
      </c>
      <c r="D4085" t="s">
        <v>1815</v>
      </c>
      <c r="E4085">
        <v>1283602323</v>
      </c>
      <c r="F4085">
        <v>770993536</v>
      </c>
      <c r="P4085">
        <v>24</v>
      </c>
      <c r="Q4085" t="s">
        <v>8519</v>
      </c>
    </row>
    <row r="4086" spans="1:17" x14ac:dyDescent="0.3">
      <c r="A4086" t="s">
        <v>17</v>
      </c>
      <c r="B4086" t="str">
        <f>"600107"</f>
        <v>600107</v>
      </c>
      <c r="C4086" t="s">
        <v>8520</v>
      </c>
      <c r="D4086" t="s">
        <v>628</v>
      </c>
      <c r="E4086">
        <v>1282955770</v>
      </c>
      <c r="F4086">
        <v>1277620278</v>
      </c>
      <c r="G4086">
        <v>1025249874</v>
      </c>
      <c r="H4086">
        <v>1304089934</v>
      </c>
      <c r="I4086">
        <v>1109781246</v>
      </c>
      <c r="J4086">
        <v>1178159841</v>
      </c>
      <c r="K4086">
        <v>1294382426</v>
      </c>
      <c r="L4086">
        <v>1284443374</v>
      </c>
      <c r="M4086">
        <v>2514009104</v>
      </c>
      <c r="N4086">
        <v>2519872393</v>
      </c>
      <c r="O4086">
        <v>2302984251</v>
      </c>
      <c r="P4086">
        <v>73</v>
      </c>
      <c r="Q4086" t="s">
        <v>8521</v>
      </c>
    </row>
    <row r="4087" spans="1:17" x14ac:dyDescent="0.3">
      <c r="A4087" t="s">
        <v>17</v>
      </c>
      <c r="B4087" t="str">
        <f>"600980"</f>
        <v>600980</v>
      </c>
      <c r="C4087" t="s">
        <v>8522</v>
      </c>
      <c r="D4087" t="s">
        <v>2108</v>
      </c>
      <c r="E4087">
        <v>1282913907</v>
      </c>
      <c r="F4087">
        <v>948600482</v>
      </c>
      <c r="G4087">
        <v>861324121</v>
      </c>
      <c r="H4087">
        <v>795220338</v>
      </c>
      <c r="I4087">
        <v>739228110</v>
      </c>
      <c r="J4087">
        <v>760289575</v>
      </c>
      <c r="K4087">
        <v>733673744</v>
      </c>
      <c r="L4087">
        <v>313407414</v>
      </c>
      <c r="M4087">
        <v>314156775</v>
      </c>
      <c r="N4087">
        <v>296963816</v>
      </c>
      <c r="O4087">
        <v>400498967</v>
      </c>
      <c r="P4087">
        <v>97</v>
      </c>
      <c r="Q4087" t="s">
        <v>8523</v>
      </c>
    </row>
    <row r="4088" spans="1:17" x14ac:dyDescent="0.3">
      <c r="A4088" t="s">
        <v>47</v>
      </c>
      <c r="B4088" t="str">
        <f>"300998"</f>
        <v>300998</v>
      </c>
      <c r="C4088" t="s">
        <v>8524</v>
      </c>
      <c r="D4088" t="s">
        <v>1815</v>
      </c>
      <c r="E4088">
        <v>1277308518</v>
      </c>
      <c r="F4088">
        <v>1103708434</v>
      </c>
      <c r="P4088">
        <v>26</v>
      </c>
      <c r="Q4088" t="s">
        <v>8525</v>
      </c>
    </row>
    <row r="4089" spans="1:17" x14ac:dyDescent="0.3">
      <c r="A4089" t="s">
        <v>17</v>
      </c>
      <c r="B4089" t="str">
        <f>"603922"</f>
        <v>603922</v>
      </c>
      <c r="C4089" t="s">
        <v>8526</v>
      </c>
      <c r="D4089" t="s">
        <v>1815</v>
      </c>
      <c r="E4089">
        <v>1275934829</v>
      </c>
      <c r="F4089">
        <v>1201654603</v>
      </c>
      <c r="G4089">
        <v>1387335727</v>
      </c>
      <c r="H4089">
        <v>1509418771</v>
      </c>
      <c r="I4089">
        <v>1678533085</v>
      </c>
      <c r="P4089">
        <v>54</v>
      </c>
      <c r="Q4089" t="s">
        <v>8527</v>
      </c>
    </row>
    <row r="4090" spans="1:17" x14ac:dyDescent="0.3">
      <c r="A4090" t="s">
        <v>47</v>
      </c>
      <c r="B4090" t="str">
        <f>"301000"</f>
        <v>301000</v>
      </c>
      <c r="C4090" t="s">
        <v>8528</v>
      </c>
      <c r="D4090" t="s">
        <v>1815</v>
      </c>
      <c r="E4090">
        <v>1271893168</v>
      </c>
      <c r="F4090">
        <v>466559858</v>
      </c>
      <c r="P4090">
        <v>25</v>
      </c>
      <c r="Q4090" t="s">
        <v>8529</v>
      </c>
    </row>
    <row r="4091" spans="1:17" x14ac:dyDescent="0.3">
      <c r="A4091" t="s">
        <v>47</v>
      </c>
      <c r="B4091" t="str">
        <f>"300056"</f>
        <v>300056</v>
      </c>
      <c r="C4091" t="s">
        <v>8530</v>
      </c>
      <c r="D4091" t="s">
        <v>1426</v>
      </c>
      <c r="E4091">
        <v>1270515098</v>
      </c>
      <c r="F4091">
        <v>1522213400</v>
      </c>
      <c r="G4091">
        <v>1875839952</v>
      </c>
      <c r="H4091">
        <v>2476821983</v>
      </c>
      <c r="I4091">
        <v>2587066061</v>
      </c>
      <c r="J4091">
        <v>3103511853</v>
      </c>
      <c r="K4091">
        <v>2797641732</v>
      </c>
      <c r="L4091">
        <v>915558244</v>
      </c>
      <c r="M4091">
        <v>729554617</v>
      </c>
      <c r="N4091">
        <v>648133663</v>
      </c>
      <c r="O4091">
        <v>630284530</v>
      </c>
      <c r="P4091">
        <v>87</v>
      </c>
      <c r="Q4091" t="s">
        <v>8531</v>
      </c>
    </row>
    <row r="4092" spans="1:17" x14ac:dyDescent="0.3">
      <c r="A4092" t="s">
        <v>17</v>
      </c>
      <c r="B4092" t="str">
        <f>"603320"</f>
        <v>603320</v>
      </c>
      <c r="C4092" t="s">
        <v>8532</v>
      </c>
      <c r="D4092" t="s">
        <v>1594</v>
      </c>
      <c r="E4092">
        <v>1269748604</v>
      </c>
      <c r="F4092">
        <v>1243141031</v>
      </c>
      <c r="G4092">
        <v>1110303598</v>
      </c>
      <c r="H4092">
        <v>769956999</v>
      </c>
      <c r="I4092">
        <v>750876461</v>
      </c>
      <c r="J4092">
        <v>557883071</v>
      </c>
      <c r="P4092">
        <v>94</v>
      </c>
      <c r="Q4092" t="s">
        <v>8533</v>
      </c>
    </row>
    <row r="4093" spans="1:17" x14ac:dyDescent="0.3">
      <c r="A4093" t="s">
        <v>17</v>
      </c>
      <c r="B4093" t="str">
        <f>"605089"</f>
        <v>605089</v>
      </c>
      <c r="C4093" t="s">
        <v>8534</v>
      </c>
      <c r="D4093" t="s">
        <v>2224</v>
      </c>
      <c r="E4093">
        <v>1267566351</v>
      </c>
      <c r="F4093">
        <v>461737905</v>
      </c>
      <c r="P4093">
        <v>131</v>
      </c>
      <c r="Q4093" t="s">
        <v>8535</v>
      </c>
    </row>
    <row r="4094" spans="1:17" x14ac:dyDescent="0.3">
      <c r="A4094" t="s">
        <v>47</v>
      </c>
      <c r="B4094" t="str">
        <f>"300675"</f>
        <v>300675</v>
      </c>
      <c r="C4094" t="s">
        <v>8536</v>
      </c>
      <c r="D4094" t="s">
        <v>2178</v>
      </c>
      <c r="E4094">
        <v>1267420457</v>
      </c>
      <c r="F4094">
        <v>1218247324</v>
      </c>
      <c r="G4094">
        <v>1018465905</v>
      </c>
      <c r="H4094">
        <v>824882720</v>
      </c>
      <c r="I4094">
        <v>628360231</v>
      </c>
      <c r="J4094">
        <v>533018821</v>
      </c>
      <c r="P4094">
        <v>85</v>
      </c>
      <c r="Q4094" t="s">
        <v>8537</v>
      </c>
    </row>
    <row r="4095" spans="1:17" x14ac:dyDescent="0.3">
      <c r="A4095" t="s">
        <v>47</v>
      </c>
      <c r="B4095" t="str">
        <f>"002112"</f>
        <v>002112</v>
      </c>
      <c r="C4095" t="s">
        <v>8538</v>
      </c>
      <c r="D4095" t="s">
        <v>459</v>
      </c>
      <c r="E4095">
        <v>1266603861</v>
      </c>
      <c r="F4095">
        <v>1108127473</v>
      </c>
      <c r="G4095">
        <v>982531759</v>
      </c>
      <c r="H4095">
        <v>954097276</v>
      </c>
      <c r="I4095">
        <v>1167732233</v>
      </c>
      <c r="J4095">
        <v>1111223497</v>
      </c>
      <c r="K4095">
        <v>1444690070</v>
      </c>
      <c r="L4095">
        <v>1296198912</v>
      </c>
      <c r="M4095">
        <v>1195039546</v>
      </c>
      <c r="N4095">
        <v>993154217</v>
      </c>
      <c r="O4095">
        <v>1119557063</v>
      </c>
      <c r="P4095">
        <v>76</v>
      </c>
      <c r="Q4095" t="s">
        <v>8539</v>
      </c>
    </row>
    <row r="4096" spans="1:17" x14ac:dyDescent="0.3">
      <c r="A4096" t="s">
        <v>47</v>
      </c>
      <c r="B4096" t="str">
        <f>"300802"</f>
        <v>300802</v>
      </c>
      <c r="C4096" t="s">
        <v>8540</v>
      </c>
      <c r="D4096" t="s">
        <v>4037</v>
      </c>
      <c r="E4096">
        <v>1266570442</v>
      </c>
      <c r="F4096">
        <v>1182107269</v>
      </c>
      <c r="G4096">
        <v>1097781367</v>
      </c>
      <c r="P4096">
        <v>182</v>
      </c>
      <c r="Q4096" t="s">
        <v>8541</v>
      </c>
    </row>
    <row r="4097" spans="1:17" x14ac:dyDescent="0.3">
      <c r="A4097" t="s">
        <v>47</v>
      </c>
      <c r="B4097" t="str">
        <f>"301222"</f>
        <v>301222</v>
      </c>
      <c r="C4097" t="s">
        <v>8542</v>
      </c>
      <c r="E4097">
        <v>1265646257</v>
      </c>
      <c r="P4097">
        <v>4</v>
      </c>
      <c r="Q4097" t="s">
        <v>8543</v>
      </c>
    </row>
    <row r="4098" spans="1:17" x14ac:dyDescent="0.3">
      <c r="A4098" t="s">
        <v>47</v>
      </c>
      <c r="B4098" t="str">
        <f>"002976"</f>
        <v>002976</v>
      </c>
      <c r="C4098" t="s">
        <v>8544</v>
      </c>
      <c r="D4098" t="s">
        <v>283</v>
      </c>
      <c r="E4098">
        <v>1262244616</v>
      </c>
      <c r="F4098">
        <v>1145440033</v>
      </c>
      <c r="G4098">
        <v>1065721371</v>
      </c>
      <c r="P4098">
        <v>104</v>
      </c>
      <c r="Q4098" t="s">
        <v>8545</v>
      </c>
    </row>
    <row r="4099" spans="1:17" x14ac:dyDescent="0.3">
      <c r="A4099" t="s">
        <v>47</v>
      </c>
      <c r="B4099" t="str">
        <f>"300600"</f>
        <v>300600</v>
      </c>
      <c r="C4099" t="s">
        <v>8546</v>
      </c>
      <c r="D4099" t="s">
        <v>351</v>
      </c>
      <c r="E4099">
        <v>1261401039</v>
      </c>
      <c r="F4099">
        <v>1859988278</v>
      </c>
      <c r="G4099">
        <v>1793699035</v>
      </c>
      <c r="H4099">
        <v>1326292551</v>
      </c>
      <c r="I4099">
        <v>1071822913</v>
      </c>
      <c r="J4099">
        <v>1036903850</v>
      </c>
      <c r="P4099">
        <v>101</v>
      </c>
      <c r="Q4099" t="s">
        <v>8547</v>
      </c>
    </row>
    <row r="4100" spans="1:17" x14ac:dyDescent="0.3">
      <c r="A4100" t="s">
        <v>47</v>
      </c>
      <c r="B4100" t="str">
        <f>"002931"</f>
        <v>002931</v>
      </c>
      <c r="C4100" t="s">
        <v>8548</v>
      </c>
      <c r="D4100" t="s">
        <v>401</v>
      </c>
      <c r="E4100">
        <v>1260007429</v>
      </c>
      <c r="F4100">
        <v>1151090098</v>
      </c>
      <c r="G4100">
        <v>790961077</v>
      </c>
      <c r="H4100">
        <v>615911925</v>
      </c>
      <c r="I4100">
        <v>576173643</v>
      </c>
      <c r="P4100">
        <v>107</v>
      </c>
      <c r="Q4100" t="s">
        <v>8549</v>
      </c>
    </row>
    <row r="4101" spans="1:17" x14ac:dyDescent="0.3">
      <c r="A4101" t="s">
        <v>17</v>
      </c>
      <c r="B4101" t="str">
        <f>"603311"</f>
        <v>603311</v>
      </c>
      <c r="C4101" t="s">
        <v>8550</v>
      </c>
      <c r="D4101" t="s">
        <v>1511</v>
      </c>
      <c r="E4101">
        <v>1256605486</v>
      </c>
      <c r="F4101">
        <v>1217012230</v>
      </c>
      <c r="G4101">
        <v>1263637128</v>
      </c>
      <c r="H4101">
        <v>1011024143</v>
      </c>
      <c r="I4101">
        <v>927478478</v>
      </c>
      <c r="J4101">
        <v>884077822</v>
      </c>
      <c r="K4101">
        <v>848814871</v>
      </c>
      <c r="L4101">
        <v>598835866</v>
      </c>
      <c r="P4101">
        <v>96</v>
      </c>
      <c r="Q4101" t="s">
        <v>8551</v>
      </c>
    </row>
    <row r="4102" spans="1:17" x14ac:dyDescent="0.3">
      <c r="A4102" t="s">
        <v>47</v>
      </c>
      <c r="B4102" t="str">
        <f>"300823"</f>
        <v>300823</v>
      </c>
      <c r="C4102" t="s">
        <v>8552</v>
      </c>
      <c r="D4102" t="s">
        <v>1973</v>
      </c>
      <c r="E4102">
        <v>1255893872</v>
      </c>
      <c r="F4102">
        <v>1214513094</v>
      </c>
      <c r="G4102">
        <v>1109480310</v>
      </c>
      <c r="P4102">
        <v>109</v>
      </c>
      <c r="Q4102" t="s">
        <v>8553</v>
      </c>
    </row>
    <row r="4103" spans="1:17" x14ac:dyDescent="0.3">
      <c r="A4103" t="s">
        <v>47</v>
      </c>
      <c r="B4103" t="str">
        <f>"300830"</f>
        <v>300830</v>
      </c>
      <c r="C4103" t="s">
        <v>8554</v>
      </c>
      <c r="D4103" t="s">
        <v>1859</v>
      </c>
      <c r="E4103">
        <v>1255316562</v>
      </c>
      <c r="F4103">
        <v>1165587494</v>
      </c>
      <c r="G4103">
        <v>756017005</v>
      </c>
      <c r="P4103">
        <v>74</v>
      </c>
      <c r="Q4103" t="s">
        <v>8555</v>
      </c>
    </row>
    <row r="4104" spans="1:17" x14ac:dyDescent="0.3">
      <c r="A4104" t="s">
        <v>47</v>
      </c>
      <c r="B4104" t="str">
        <f>"002977"</f>
        <v>002977</v>
      </c>
      <c r="C4104" t="s">
        <v>8556</v>
      </c>
      <c r="D4104" t="s">
        <v>1385</v>
      </c>
      <c r="E4104">
        <v>1255238919</v>
      </c>
      <c r="F4104">
        <v>1145013872</v>
      </c>
      <c r="G4104">
        <v>1026933902</v>
      </c>
      <c r="P4104">
        <v>126</v>
      </c>
      <c r="Q4104" t="s">
        <v>8557</v>
      </c>
    </row>
    <row r="4105" spans="1:17" x14ac:dyDescent="0.3">
      <c r="A4105" t="s">
        <v>47</v>
      </c>
      <c r="B4105" t="str">
        <f>"300706"</f>
        <v>300706</v>
      </c>
      <c r="C4105" t="s">
        <v>8558</v>
      </c>
      <c r="D4105" t="s">
        <v>567</v>
      </c>
      <c r="E4105">
        <v>1254548875</v>
      </c>
      <c r="F4105">
        <v>1042224141</v>
      </c>
      <c r="G4105">
        <v>720924311</v>
      </c>
      <c r="H4105">
        <v>647645744</v>
      </c>
      <c r="I4105">
        <v>570383960</v>
      </c>
      <c r="P4105">
        <v>178</v>
      </c>
      <c r="Q4105" t="s">
        <v>8559</v>
      </c>
    </row>
    <row r="4106" spans="1:17" x14ac:dyDescent="0.3">
      <c r="A4106" t="s">
        <v>17</v>
      </c>
      <c r="B4106" t="str">
        <f>"603578"</f>
        <v>603578</v>
      </c>
      <c r="C4106" t="s">
        <v>8560</v>
      </c>
      <c r="D4106" t="s">
        <v>1511</v>
      </c>
      <c r="E4106">
        <v>1254496190</v>
      </c>
      <c r="F4106">
        <v>1152798763</v>
      </c>
      <c r="G4106">
        <v>952929201</v>
      </c>
      <c r="H4106">
        <v>647532752</v>
      </c>
      <c r="I4106">
        <v>594286344</v>
      </c>
      <c r="J4106">
        <v>544336195</v>
      </c>
      <c r="P4106">
        <v>131</v>
      </c>
      <c r="Q4106" t="s">
        <v>8561</v>
      </c>
    </row>
    <row r="4107" spans="1:17" x14ac:dyDescent="0.3">
      <c r="A4107" t="s">
        <v>47</v>
      </c>
      <c r="B4107" t="str">
        <f>"301042"</f>
        <v>301042</v>
      </c>
      <c r="C4107" t="s">
        <v>8562</v>
      </c>
      <c r="D4107" t="s">
        <v>523</v>
      </c>
      <c r="E4107">
        <v>1253525086</v>
      </c>
      <c r="F4107">
        <v>669535824</v>
      </c>
      <c r="P4107">
        <v>14</v>
      </c>
      <c r="Q4107" t="s">
        <v>8563</v>
      </c>
    </row>
    <row r="4108" spans="1:17" x14ac:dyDescent="0.3">
      <c r="A4108" t="s">
        <v>17</v>
      </c>
      <c r="B4108" t="str">
        <f>"688630"</f>
        <v>688630</v>
      </c>
      <c r="C4108" t="s">
        <v>8564</v>
      </c>
      <c r="D4108" t="s">
        <v>1973</v>
      </c>
      <c r="E4108">
        <v>1252886145</v>
      </c>
      <c r="F4108">
        <v>1081477319</v>
      </c>
      <c r="P4108">
        <v>63</v>
      </c>
      <c r="Q4108" t="s">
        <v>8565</v>
      </c>
    </row>
    <row r="4109" spans="1:17" x14ac:dyDescent="0.3">
      <c r="A4109" t="s">
        <v>17</v>
      </c>
      <c r="B4109" t="str">
        <f>"688628"</f>
        <v>688628</v>
      </c>
      <c r="C4109" t="s">
        <v>8566</v>
      </c>
      <c r="D4109" t="s">
        <v>3722</v>
      </c>
      <c r="E4109">
        <v>1250199434</v>
      </c>
      <c r="F4109">
        <v>1198408684</v>
      </c>
      <c r="P4109">
        <v>35</v>
      </c>
      <c r="Q4109" t="s">
        <v>8567</v>
      </c>
    </row>
    <row r="4110" spans="1:17" x14ac:dyDescent="0.3">
      <c r="A4110" t="s">
        <v>17</v>
      </c>
      <c r="B4110" t="str">
        <f>"600696"</f>
        <v>600696</v>
      </c>
      <c r="C4110" t="s">
        <v>8568</v>
      </c>
      <c r="D4110" t="s">
        <v>810</v>
      </c>
      <c r="E4110">
        <v>1249837782</v>
      </c>
      <c r="F4110">
        <v>1005614715</v>
      </c>
      <c r="G4110">
        <v>424384390</v>
      </c>
      <c r="H4110">
        <v>530958809</v>
      </c>
      <c r="I4110">
        <v>745548425</v>
      </c>
      <c r="J4110">
        <v>431944102</v>
      </c>
      <c r="K4110">
        <v>1266398353</v>
      </c>
      <c r="L4110">
        <v>1711779132</v>
      </c>
      <c r="M4110">
        <v>1057029482</v>
      </c>
      <c r="N4110">
        <v>998799485</v>
      </c>
      <c r="O4110">
        <v>929232691</v>
      </c>
      <c r="P4110">
        <v>95</v>
      </c>
      <c r="Q4110" t="s">
        <v>8569</v>
      </c>
    </row>
    <row r="4111" spans="1:17" x14ac:dyDescent="0.3">
      <c r="A4111" t="s">
        <v>17</v>
      </c>
      <c r="B4111" t="str">
        <f>"603607"</f>
        <v>603607</v>
      </c>
      <c r="C4111" t="s">
        <v>8570</v>
      </c>
      <c r="D4111" t="s">
        <v>6719</v>
      </c>
      <c r="E4111">
        <v>1249527212</v>
      </c>
      <c r="F4111">
        <v>1144753111</v>
      </c>
      <c r="G4111">
        <v>1046921960</v>
      </c>
      <c r="H4111">
        <v>1028459386</v>
      </c>
      <c r="I4111">
        <v>867654946</v>
      </c>
      <c r="P4111">
        <v>109</v>
      </c>
      <c r="Q4111" t="s">
        <v>8571</v>
      </c>
    </row>
    <row r="4112" spans="1:17" x14ac:dyDescent="0.3">
      <c r="A4112" t="s">
        <v>17</v>
      </c>
      <c r="B4112" t="str">
        <f>"688103"</f>
        <v>688103</v>
      </c>
      <c r="C4112" t="s">
        <v>8572</v>
      </c>
      <c r="D4112" t="s">
        <v>1609</v>
      </c>
      <c r="E4112">
        <v>1249083902</v>
      </c>
      <c r="P4112">
        <v>13</v>
      </c>
      <c r="Q4112" t="s">
        <v>8573</v>
      </c>
    </row>
    <row r="4113" spans="1:17" x14ac:dyDescent="0.3">
      <c r="A4113" t="s">
        <v>17</v>
      </c>
      <c r="B4113" t="str">
        <f>"600148"</f>
        <v>600148</v>
      </c>
      <c r="C4113" t="s">
        <v>8574</v>
      </c>
      <c r="D4113" t="s">
        <v>274</v>
      </c>
      <c r="E4113">
        <v>1247286485</v>
      </c>
      <c r="F4113">
        <v>1453042620</v>
      </c>
      <c r="G4113">
        <v>1201997329</v>
      </c>
      <c r="H4113">
        <v>1099891514</v>
      </c>
      <c r="I4113">
        <v>1087425208</v>
      </c>
      <c r="J4113">
        <v>1009644291</v>
      </c>
      <c r="K4113">
        <v>816978055</v>
      </c>
      <c r="L4113">
        <v>902905393</v>
      </c>
      <c r="M4113">
        <v>919732506</v>
      </c>
      <c r="N4113">
        <v>857401596</v>
      </c>
      <c r="O4113">
        <v>919081653</v>
      </c>
      <c r="P4113">
        <v>75</v>
      </c>
      <c r="Q4113" t="s">
        <v>8575</v>
      </c>
    </row>
    <row r="4114" spans="1:17" x14ac:dyDescent="0.3">
      <c r="A4114" t="s">
        <v>47</v>
      </c>
      <c r="B4114" t="str">
        <f>"000955"</f>
        <v>000955</v>
      </c>
      <c r="C4114" t="s">
        <v>8576</v>
      </c>
      <c r="D4114" t="s">
        <v>3463</v>
      </c>
      <c r="E4114">
        <v>1244475978</v>
      </c>
      <c r="F4114">
        <v>1293908487</v>
      </c>
      <c r="G4114">
        <v>1301687184</v>
      </c>
      <c r="H4114">
        <v>1384941818</v>
      </c>
      <c r="I4114">
        <v>1300585660</v>
      </c>
      <c r="J4114">
        <v>1154932675</v>
      </c>
      <c r="K4114">
        <v>1090997669</v>
      </c>
      <c r="L4114">
        <v>983437496</v>
      </c>
      <c r="M4114">
        <v>992983294</v>
      </c>
      <c r="N4114">
        <v>1135010632</v>
      </c>
      <c r="O4114">
        <v>1096415676</v>
      </c>
      <c r="P4114">
        <v>241</v>
      </c>
      <c r="Q4114" t="s">
        <v>8577</v>
      </c>
    </row>
    <row r="4115" spans="1:17" x14ac:dyDescent="0.3">
      <c r="A4115" t="s">
        <v>47</v>
      </c>
      <c r="B4115" t="str">
        <f>"300971"</f>
        <v>300971</v>
      </c>
      <c r="C4115" t="s">
        <v>8578</v>
      </c>
      <c r="D4115" t="s">
        <v>1973</v>
      </c>
      <c r="E4115">
        <v>1244264224</v>
      </c>
      <c r="F4115">
        <v>731735052</v>
      </c>
      <c r="P4115">
        <v>39</v>
      </c>
      <c r="Q4115" t="s">
        <v>8579</v>
      </c>
    </row>
    <row r="4116" spans="1:17" x14ac:dyDescent="0.3">
      <c r="A4116" t="s">
        <v>17</v>
      </c>
      <c r="B4116" t="str">
        <f>"603656"</f>
        <v>603656</v>
      </c>
      <c r="C4116" t="s">
        <v>8580</v>
      </c>
      <c r="D4116" t="s">
        <v>1973</v>
      </c>
      <c r="E4116">
        <v>1243088758</v>
      </c>
      <c r="F4116">
        <v>1207989471</v>
      </c>
      <c r="G4116">
        <v>1046605383</v>
      </c>
      <c r="H4116">
        <v>993642579</v>
      </c>
      <c r="I4116">
        <v>930292604</v>
      </c>
      <c r="J4116">
        <v>872627740</v>
      </c>
      <c r="P4116">
        <v>80</v>
      </c>
      <c r="Q4116" t="s">
        <v>8581</v>
      </c>
    </row>
    <row r="4117" spans="1:17" x14ac:dyDescent="0.3">
      <c r="A4117" t="s">
        <v>17</v>
      </c>
      <c r="B4117" t="str">
        <f>"688277"</f>
        <v>688277</v>
      </c>
      <c r="C4117" t="s">
        <v>8582</v>
      </c>
      <c r="D4117" t="s">
        <v>1083</v>
      </c>
      <c r="E4117">
        <v>1241803906</v>
      </c>
      <c r="F4117">
        <v>1192259662</v>
      </c>
      <c r="G4117">
        <v>674874378</v>
      </c>
      <c r="P4117">
        <v>120</v>
      </c>
      <c r="Q4117" t="s">
        <v>8583</v>
      </c>
    </row>
    <row r="4118" spans="1:17" x14ac:dyDescent="0.3">
      <c r="A4118" t="s">
        <v>47</v>
      </c>
      <c r="B4118" t="str">
        <f>"300952"</f>
        <v>300952</v>
      </c>
      <c r="C4118" t="s">
        <v>8584</v>
      </c>
      <c r="D4118" t="s">
        <v>4276</v>
      </c>
      <c r="E4118">
        <v>1238430675</v>
      </c>
      <c r="F4118">
        <v>1281265000</v>
      </c>
      <c r="P4118">
        <v>38</v>
      </c>
      <c r="Q4118" t="s">
        <v>8585</v>
      </c>
    </row>
    <row r="4119" spans="1:17" x14ac:dyDescent="0.3">
      <c r="A4119" t="s">
        <v>17</v>
      </c>
      <c r="B4119" t="str">
        <f>"600661"</f>
        <v>600661</v>
      </c>
      <c r="C4119" t="s">
        <v>8586</v>
      </c>
      <c r="D4119" t="s">
        <v>2954</v>
      </c>
      <c r="E4119">
        <v>1238010377</v>
      </c>
      <c r="F4119">
        <v>2735121668</v>
      </c>
      <c r="G4119">
        <v>2461396985</v>
      </c>
      <c r="H4119">
        <v>2904262134</v>
      </c>
      <c r="I4119">
        <v>3132781095</v>
      </c>
      <c r="J4119">
        <v>2221978397</v>
      </c>
      <c r="K4119">
        <v>1831890075</v>
      </c>
      <c r="L4119">
        <v>1594694038</v>
      </c>
      <c r="M4119">
        <v>941484615</v>
      </c>
      <c r="N4119">
        <v>937029531</v>
      </c>
      <c r="O4119">
        <v>1023492409</v>
      </c>
      <c r="P4119">
        <v>147</v>
      </c>
      <c r="Q4119" t="s">
        <v>8587</v>
      </c>
    </row>
    <row r="4120" spans="1:17" x14ac:dyDescent="0.3">
      <c r="A4120" t="s">
        <v>47</v>
      </c>
      <c r="B4120" t="str">
        <f>"300817"</f>
        <v>300817</v>
      </c>
      <c r="C4120" t="s">
        <v>8588</v>
      </c>
      <c r="D4120" t="s">
        <v>401</v>
      </c>
      <c r="E4120">
        <v>1237458446</v>
      </c>
      <c r="F4120">
        <v>1181085650</v>
      </c>
      <c r="G4120">
        <v>958391792</v>
      </c>
      <c r="P4120">
        <v>63</v>
      </c>
      <c r="Q4120" t="s">
        <v>8589</v>
      </c>
    </row>
    <row r="4121" spans="1:17" x14ac:dyDescent="0.3">
      <c r="A4121" t="s">
        <v>47</v>
      </c>
      <c r="B4121" t="str">
        <f>"300907"</f>
        <v>300907</v>
      </c>
      <c r="C4121" t="s">
        <v>8590</v>
      </c>
      <c r="D4121" t="s">
        <v>1594</v>
      </c>
      <c r="E4121">
        <v>1237105730</v>
      </c>
      <c r="F4121">
        <v>1228033858</v>
      </c>
      <c r="P4121">
        <v>36</v>
      </c>
      <c r="Q4121" t="s">
        <v>8591</v>
      </c>
    </row>
    <row r="4122" spans="1:17" x14ac:dyDescent="0.3">
      <c r="A4122" t="s">
        <v>47</v>
      </c>
      <c r="B4122" t="str">
        <f>"300559"</f>
        <v>300559</v>
      </c>
      <c r="C4122" t="s">
        <v>8592</v>
      </c>
      <c r="D4122" t="s">
        <v>1859</v>
      </c>
      <c r="E4122">
        <v>1235768872</v>
      </c>
      <c r="F4122">
        <v>1169379504</v>
      </c>
      <c r="G4122">
        <v>1216721051</v>
      </c>
      <c r="H4122">
        <v>986135461</v>
      </c>
      <c r="I4122">
        <v>795829576</v>
      </c>
      <c r="J4122">
        <v>629275393</v>
      </c>
      <c r="P4122">
        <v>369</v>
      </c>
      <c r="Q4122" t="s">
        <v>8593</v>
      </c>
    </row>
    <row r="4123" spans="1:17" x14ac:dyDescent="0.3">
      <c r="A4123" t="s">
        <v>17</v>
      </c>
      <c r="B4123" t="str">
        <f>"605003"</f>
        <v>605003</v>
      </c>
      <c r="C4123" t="s">
        <v>8594</v>
      </c>
      <c r="D4123" t="s">
        <v>3807</v>
      </c>
      <c r="E4123">
        <v>1233930900</v>
      </c>
      <c r="F4123">
        <v>1152757498</v>
      </c>
      <c r="G4123">
        <v>441531807</v>
      </c>
      <c r="P4123">
        <v>75</v>
      </c>
      <c r="Q4123" t="s">
        <v>8595</v>
      </c>
    </row>
    <row r="4124" spans="1:17" x14ac:dyDescent="0.3">
      <c r="A4124" t="s">
        <v>47</v>
      </c>
      <c r="B4124" t="str">
        <f>"002868"</f>
        <v>002868</v>
      </c>
      <c r="C4124" t="s">
        <v>8596</v>
      </c>
      <c r="D4124" t="s">
        <v>3286</v>
      </c>
      <c r="E4124">
        <v>1233272817</v>
      </c>
      <c r="F4124">
        <v>1000367117</v>
      </c>
      <c r="G4124">
        <v>953756042</v>
      </c>
      <c r="H4124">
        <v>798881045</v>
      </c>
      <c r="I4124">
        <v>761923599</v>
      </c>
      <c r="J4124">
        <v>365016090</v>
      </c>
      <c r="P4124">
        <v>88</v>
      </c>
      <c r="Q4124" t="s">
        <v>8597</v>
      </c>
    </row>
    <row r="4125" spans="1:17" x14ac:dyDescent="0.3">
      <c r="A4125" t="s">
        <v>17</v>
      </c>
      <c r="B4125" t="str">
        <f>"603200"</f>
        <v>603200</v>
      </c>
      <c r="C4125" t="s">
        <v>8598</v>
      </c>
      <c r="D4125" t="s">
        <v>520</v>
      </c>
      <c r="E4125">
        <v>1232025670</v>
      </c>
      <c r="F4125">
        <v>1199735242</v>
      </c>
      <c r="G4125">
        <v>1096041381</v>
      </c>
      <c r="H4125">
        <v>972499909</v>
      </c>
      <c r="I4125">
        <v>806753066</v>
      </c>
      <c r="J4125">
        <v>463870163</v>
      </c>
      <c r="P4125">
        <v>101</v>
      </c>
      <c r="Q4125" t="s">
        <v>8599</v>
      </c>
    </row>
    <row r="4126" spans="1:17" x14ac:dyDescent="0.3">
      <c r="A4126" t="s">
        <v>17</v>
      </c>
      <c r="B4126" t="str">
        <f>"688625"</f>
        <v>688625</v>
      </c>
      <c r="C4126" t="s">
        <v>8600</v>
      </c>
      <c r="D4126" t="s">
        <v>710</v>
      </c>
      <c r="E4126">
        <v>1230276139</v>
      </c>
      <c r="F4126">
        <v>417022873</v>
      </c>
      <c r="P4126">
        <v>63</v>
      </c>
      <c r="Q4126" t="s">
        <v>8601</v>
      </c>
    </row>
    <row r="4127" spans="1:17" x14ac:dyDescent="0.3">
      <c r="A4127" t="s">
        <v>47</v>
      </c>
      <c r="B4127" t="str">
        <f>"300967"</f>
        <v>300967</v>
      </c>
      <c r="C4127" t="s">
        <v>8602</v>
      </c>
      <c r="D4127" t="s">
        <v>1805</v>
      </c>
      <c r="E4127">
        <v>1230143903</v>
      </c>
      <c r="F4127">
        <v>913741477</v>
      </c>
      <c r="P4127">
        <v>34</v>
      </c>
      <c r="Q4127" t="s">
        <v>8603</v>
      </c>
    </row>
    <row r="4128" spans="1:17" x14ac:dyDescent="0.3">
      <c r="A4128" t="s">
        <v>17</v>
      </c>
      <c r="B4128" t="str">
        <f>"688577"</f>
        <v>688577</v>
      </c>
      <c r="C4128" t="s">
        <v>8604</v>
      </c>
      <c r="D4128" t="s">
        <v>3186</v>
      </c>
      <c r="E4128">
        <v>1229750484</v>
      </c>
      <c r="F4128">
        <v>1098814055</v>
      </c>
      <c r="P4128">
        <v>56</v>
      </c>
      <c r="Q4128" t="s">
        <v>8605</v>
      </c>
    </row>
    <row r="4129" spans="1:17" x14ac:dyDescent="0.3">
      <c r="A4129" t="s">
        <v>47</v>
      </c>
      <c r="B4129" t="str">
        <f>"300591"</f>
        <v>300591</v>
      </c>
      <c r="C4129" t="s">
        <v>8606</v>
      </c>
      <c r="D4129" t="s">
        <v>4276</v>
      </c>
      <c r="E4129">
        <v>1228815850</v>
      </c>
      <c r="F4129">
        <v>969058084</v>
      </c>
      <c r="G4129">
        <v>1214073784</v>
      </c>
      <c r="H4129">
        <v>1139152820</v>
      </c>
      <c r="I4129">
        <v>1019302997</v>
      </c>
      <c r="J4129">
        <v>717055625</v>
      </c>
      <c r="P4129">
        <v>88</v>
      </c>
      <c r="Q4129" t="s">
        <v>8607</v>
      </c>
    </row>
    <row r="4130" spans="1:17" x14ac:dyDescent="0.3">
      <c r="A4130" t="s">
        <v>47</v>
      </c>
      <c r="B4130" t="str">
        <f>"300209"</f>
        <v>300209</v>
      </c>
      <c r="C4130" t="s">
        <v>8608</v>
      </c>
      <c r="D4130" t="s">
        <v>1859</v>
      </c>
      <c r="E4130">
        <v>1227627070</v>
      </c>
      <c r="F4130">
        <v>4374921640</v>
      </c>
      <c r="G4130">
        <v>5604257023</v>
      </c>
      <c r="H4130">
        <v>5623570061</v>
      </c>
      <c r="I4130">
        <v>2691351056</v>
      </c>
      <c r="J4130">
        <v>2415418415</v>
      </c>
      <c r="K4130">
        <v>1001977536</v>
      </c>
      <c r="L4130">
        <v>911165582</v>
      </c>
      <c r="M4130">
        <v>925149251</v>
      </c>
      <c r="N4130">
        <v>912740081</v>
      </c>
      <c r="O4130">
        <v>934335111</v>
      </c>
      <c r="P4130">
        <v>143</v>
      </c>
      <c r="Q4130" t="s">
        <v>8609</v>
      </c>
    </row>
    <row r="4131" spans="1:17" x14ac:dyDescent="0.3">
      <c r="A4131" t="s">
        <v>47</v>
      </c>
      <c r="B4131" t="str">
        <f>"300993"</f>
        <v>300993</v>
      </c>
      <c r="C4131" t="s">
        <v>8610</v>
      </c>
      <c r="D4131" t="s">
        <v>2016</v>
      </c>
      <c r="E4131">
        <v>1227591997</v>
      </c>
      <c r="F4131">
        <v>732154091</v>
      </c>
      <c r="P4131">
        <v>31</v>
      </c>
      <c r="Q4131" t="s">
        <v>8611</v>
      </c>
    </row>
    <row r="4132" spans="1:17" x14ac:dyDescent="0.3">
      <c r="A4132" t="s">
        <v>47</v>
      </c>
      <c r="B4132" t="str">
        <f>"300838"</f>
        <v>300838</v>
      </c>
      <c r="C4132" t="s">
        <v>8612</v>
      </c>
      <c r="D4132" t="s">
        <v>401</v>
      </c>
      <c r="E4132">
        <v>1227585534</v>
      </c>
      <c r="F4132">
        <v>948847793</v>
      </c>
      <c r="G4132">
        <v>600789744</v>
      </c>
      <c r="P4132">
        <v>39</v>
      </c>
      <c r="Q4132" t="s">
        <v>8613</v>
      </c>
    </row>
    <row r="4133" spans="1:17" x14ac:dyDescent="0.3">
      <c r="A4133" t="s">
        <v>47</v>
      </c>
      <c r="B4133" t="str">
        <f>"002486"</f>
        <v>002486</v>
      </c>
      <c r="C4133" t="s">
        <v>8614</v>
      </c>
      <c r="D4133" t="s">
        <v>3463</v>
      </c>
      <c r="E4133">
        <v>1227073805</v>
      </c>
      <c r="F4133">
        <v>1241884152</v>
      </c>
      <c r="G4133">
        <v>1109095641</v>
      </c>
      <c r="H4133">
        <v>1091881212</v>
      </c>
      <c r="I4133">
        <v>1380275108</v>
      </c>
      <c r="J4133">
        <v>1569521811</v>
      </c>
      <c r="K4133">
        <v>1557833976</v>
      </c>
      <c r="L4133">
        <v>1654411364</v>
      </c>
      <c r="M4133">
        <v>1562558177</v>
      </c>
      <c r="N4133">
        <v>1125679342</v>
      </c>
      <c r="O4133">
        <v>1167299556</v>
      </c>
      <c r="P4133">
        <v>88</v>
      </c>
      <c r="Q4133" t="s">
        <v>8615</v>
      </c>
    </row>
    <row r="4134" spans="1:17" x14ac:dyDescent="0.3">
      <c r="A4134" t="s">
        <v>47</v>
      </c>
      <c r="B4134" t="str">
        <f>"003010"</f>
        <v>003010</v>
      </c>
      <c r="C4134" t="s">
        <v>8616</v>
      </c>
      <c r="D4134" t="s">
        <v>4098</v>
      </c>
      <c r="E4134">
        <v>1224389379</v>
      </c>
      <c r="F4134">
        <v>1195855017</v>
      </c>
      <c r="I4134">
        <v>420463100</v>
      </c>
      <c r="J4134">
        <v>286244282</v>
      </c>
      <c r="P4134">
        <v>58</v>
      </c>
      <c r="Q4134" t="s">
        <v>8617</v>
      </c>
    </row>
    <row r="4135" spans="1:17" x14ac:dyDescent="0.3">
      <c r="A4135" t="s">
        <v>17</v>
      </c>
      <c r="B4135" t="str">
        <f>"603960"</f>
        <v>603960</v>
      </c>
      <c r="C4135" t="s">
        <v>8618</v>
      </c>
      <c r="D4135" t="s">
        <v>4037</v>
      </c>
      <c r="E4135">
        <v>1223461671</v>
      </c>
      <c r="F4135">
        <v>1187520354</v>
      </c>
      <c r="G4135">
        <v>1171900472</v>
      </c>
      <c r="H4135">
        <v>944380872</v>
      </c>
      <c r="I4135">
        <v>914436740</v>
      </c>
      <c r="J4135">
        <v>565558768</v>
      </c>
      <c r="P4135">
        <v>383</v>
      </c>
      <c r="Q4135" t="s">
        <v>8619</v>
      </c>
    </row>
    <row r="4136" spans="1:17" x14ac:dyDescent="0.3">
      <c r="A4136" t="s">
        <v>17</v>
      </c>
      <c r="B4136" t="str">
        <f>"688255"</f>
        <v>688255</v>
      </c>
      <c r="C4136" t="s">
        <v>8620</v>
      </c>
      <c r="D4136" t="s">
        <v>2592</v>
      </c>
      <c r="E4136">
        <v>1220369140</v>
      </c>
      <c r="P4136">
        <v>19</v>
      </c>
      <c r="Q4136" t="s">
        <v>8621</v>
      </c>
    </row>
    <row r="4137" spans="1:17" x14ac:dyDescent="0.3">
      <c r="A4137" t="s">
        <v>47</v>
      </c>
      <c r="B4137" t="str">
        <f>"301003"</f>
        <v>301003</v>
      </c>
      <c r="C4137" t="s">
        <v>8622</v>
      </c>
      <c r="D4137" t="s">
        <v>833</v>
      </c>
      <c r="E4137">
        <v>1217746750</v>
      </c>
      <c r="F4137">
        <v>456207624</v>
      </c>
      <c r="P4137">
        <v>31</v>
      </c>
      <c r="Q4137" t="s">
        <v>8623</v>
      </c>
    </row>
    <row r="4138" spans="1:17" x14ac:dyDescent="0.3">
      <c r="A4138" t="s">
        <v>17</v>
      </c>
      <c r="B4138" t="str">
        <f>"688091"</f>
        <v>688091</v>
      </c>
      <c r="C4138" t="s">
        <v>8624</v>
      </c>
      <c r="D4138" t="s">
        <v>550</v>
      </c>
      <c r="E4138">
        <v>1216939915</v>
      </c>
      <c r="G4138">
        <v>269612849</v>
      </c>
      <c r="P4138">
        <v>14</v>
      </c>
      <c r="Q4138" t="s">
        <v>8625</v>
      </c>
    </row>
    <row r="4139" spans="1:17" x14ac:dyDescent="0.3">
      <c r="A4139" t="s">
        <v>47</v>
      </c>
      <c r="B4139" t="str">
        <f>"300179"</f>
        <v>300179</v>
      </c>
      <c r="C4139" t="s">
        <v>8626</v>
      </c>
      <c r="D4139" t="s">
        <v>2646</v>
      </c>
      <c r="E4139">
        <v>1216863500</v>
      </c>
      <c r="F4139">
        <v>1136660309</v>
      </c>
      <c r="G4139">
        <v>1178612145</v>
      </c>
      <c r="H4139">
        <v>1082812721</v>
      </c>
      <c r="I4139">
        <v>1080657311</v>
      </c>
      <c r="J4139">
        <v>871858620</v>
      </c>
      <c r="K4139">
        <v>855742934</v>
      </c>
      <c r="L4139">
        <v>868024125</v>
      </c>
      <c r="M4139">
        <v>836568344</v>
      </c>
      <c r="N4139">
        <v>732991290</v>
      </c>
      <c r="O4139">
        <v>686895361</v>
      </c>
      <c r="P4139">
        <v>166</v>
      </c>
      <c r="Q4139" t="s">
        <v>8627</v>
      </c>
    </row>
    <row r="4140" spans="1:17" x14ac:dyDescent="0.3">
      <c r="A4140" t="s">
        <v>17</v>
      </c>
      <c r="B4140" t="str">
        <f>"688026"</f>
        <v>688026</v>
      </c>
      <c r="C4140" t="s">
        <v>8628</v>
      </c>
      <c r="D4140" t="s">
        <v>3077</v>
      </c>
      <c r="E4140">
        <v>1214895768</v>
      </c>
      <c r="F4140">
        <v>1068331679</v>
      </c>
      <c r="G4140">
        <v>856394228</v>
      </c>
      <c r="H4140">
        <v>329145103</v>
      </c>
      <c r="P4140">
        <v>211</v>
      </c>
      <c r="Q4140" t="s">
        <v>8629</v>
      </c>
    </row>
    <row r="4141" spans="1:17" x14ac:dyDescent="0.3">
      <c r="A4141" t="s">
        <v>47</v>
      </c>
      <c r="B4141" t="str">
        <f>"300338"</f>
        <v>300338</v>
      </c>
      <c r="C4141" t="s">
        <v>8630</v>
      </c>
      <c r="D4141" t="s">
        <v>2954</v>
      </c>
      <c r="E4141">
        <v>1214869678</v>
      </c>
      <c r="F4141">
        <v>1692800624</v>
      </c>
      <c r="G4141">
        <v>2040369846</v>
      </c>
      <c r="H4141">
        <v>3016972858</v>
      </c>
      <c r="I4141">
        <v>2976888268</v>
      </c>
      <c r="J4141">
        <v>2577786148</v>
      </c>
      <c r="K4141">
        <v>892541218</v>
      </c>
      <c r="L4141">
        <v>863162771</v>
      </c>
      <c r="M4141">
        <v>821032403</v>
      </c>
      <c r="N4141">
        <v>796476045</v>
      </c>
      <c r="P4141">
        <v>118</v>
      </c>
      <c r="Q4141" t="s">
        <v>8631</v>
      </c>
    </row>
    <row r="4142" spans="1:17" x14ac:dyDescent="0.3">
      <c r="A4142" t="s">
        <v>47</v>
      </c>
      <c r="B4142" t="str">
        <f>"300670"</f>
        <v>300670</v>
      </c>
      <c r="C4142" t="s">
        <v>8632</v>
      </c>
      <c r="D4142" t="s">
        <v>562</v>
      </c>
      <c r="E4142">
        <v>1214619377</v>
      </c>
      <c r="F4142">
        <v>1225524290</v>
      </c>
      <c r="G4142">
        <v>1192632830</v>
      </c>
      <c r="H4142">
        <v>774644787</v>
      </c>
      <c r="I4142">
        <v>731170871</v>
      </c>
      <c r="J4142">
        <v>372710792</v>
      </c>
      <c r="P4142">
        <v>67</v>
      </c>
      <c r="Q4142" t="s">
        <v>8633</v>
      </c>
    </row>
    <row r="4143" spans="1:17" x14ac:dyDescent="0.3">
      <c r="A4143" t="s">
        <v>47</v>
      </c>
      <c r="B4143" t="str">
        <f>"300535"</f>
        <v>300535</v>
      </c>
      <c r="C4143" t="s">
        <v>8634</v>
      </c>
      <c r="D4143" t="s">
        <v>710</v>
      </c>
      <c r="E4143">
        <v>1214092055</v>
      </c>
      <c r="F4143">
        <v>1145753567</v>
      </c>
      <c r="G4143">
        <v>940891776</v>
      </c>
      <c r="H4143">
        <v>788144969</v>
      </c>
      <c r="I4143">
        <v>726507001</v>
      </c>
      <c r="J4143">
        <v>696552266</v>
      </c>
      <c r="K4143">
        <v>400055250</v>
      </c>
      <c r="P4143">
        <v>73</v>
      </c>
      <c r="Q4143" t="s">
        <v>8635</v>
      </c>
    </row>
    <row r="4144" spans="1:17" x14ac:dyDescent="0.3">
      <c r="A4144" t="s">
        <v>47</v>
      </c>
      <c r="B4144" t="str">
        <f>"301006"</f>
        <v>301006</v>
      </c>
      <c r="C4144" t="s">
        <v>8636</v>
      </c>
      <c r="D4144" t="s">
        <v>3722</v>
      </c>
      <c r="E4144">
        <v>1213964970</v>
      </c>
      <c r="F4144">
        <v>688376765</v>
      </c>
      <c r="P4144">
        <v>50</v>
      </c>
      <c r="Q4144" t="s">
        <v>8637</v>
      </c>
    </row>
    <row r="4145" spans="1:17" x14ac:dyDescent="0.3">
      <c r="A4145" t="s">
        <v>47</v>
      </c>
      <c r="B4145" t="str">
        <f>"300651"</f>
        <v>300651</v>
      </c>
      <c r="C4145" t="s">
        <v>8638</v>
      </c>
      <c r="D4145" t="s">
        <v>3561</v>
      </c>
      <c r="E4145">
        <v>1213603961</v>
      </c>
      <c r="F4145">
        <v>1233996312</v>
      </c>
      <c r="G4145">
        <v>908840633</v>
      </c>
      <c r="H4145">
        <v>862277965</v>
      </c>
      <c r="I4145">
        <v>832469637</v>
      </c>
      <c r="J4145">
        <v>477488529</v>
      </c>
      <c r="P4145">
        <v>99</v>
      </c>
      <c r="Q4145" t="s">
        <v>8639</v>
      </c>
    </row>
    <row r="4146" spans="1:17" x14ac:dyDescent="0.3">
      <c r="A4146" t="s">
        <v>17</v>
      </c>
      <c r="B4146" t="str">
        <f>"688319"</f>
        <v>688319</v>
      </c>
      <c r="C4146" t="s">
        <v>8640</v>
      </c>
      <c r="D4146" t="s">
        <v>894</v>
      </c>
      <c r="E4146">
        <v>1212302017</v>
      </c>
      <c r="F4146">
        <v>632059630</v>
      </c>
      <c r="P4146">
        <v>46</v>
      </c>
      <c r="Q4146" t="s">
        <v>8641</v>
      </c>
    </row>
    <row r="4147" spans="1:17" x14ac:dyDescent="0.3">
      <c r="A4147" t="s">
        <v>47</v>
      </c>
      <c r="B4147" t="str">
        <f>"002338"</f>
        <v>002338</v>
      </c>
      <c r="C4147" t="s">
        <v>8642</v>
      </c>
      <c r="D4147" t="s">
        <v>1385</v>
      </c>
      <c r="E4147">
        <v>1210726534</v>
      </c>
      <c r="F4147">
        <v>1100850935</v>
      </c>
      <c r="G4147">
        <v>1050980378</v>
      </c>
      <c r="H4147">
        <v>987530948</v>
      </c>
      <c r="I4147">
        <v>969279553</v>
      </c>
      <c r="J4147">
        <v>993474605</v>
      </c>
      <c r="K4147">
        <v>986784228</v>
      </c>
      <c r="L4147">
        <v>945272034</v>
      </c>
      <c r="M4147">
        <v>931868351</v>
      </c>
      <c r="N4147">
        <v>804425185</v>
      </c>
      <c r="O4147">
        <v>750564901</v>
      </c>
      <c r="P4147">
        <v>147</v>
      </c>
      <c r="Q4147" t="s">
        <v>8643</v>
      </c>
    </row>
    <row r="4148" spans="1:17" x14ac:dyDescent="0.3">
      <c r="A4148" t="s">
        <v>17</v>
      </c>
      <c r="B4148" t="str">
        <f>"688677"</f>
        <v>688677</v>
      </c>
      <c r="C4148" t="s">
        <v>8644</v>
      </c>
      <c r="D4148" t="s">
        <v>1083</v>
      </c>
      <c r="E4148">
        <v>1209559170</v>
      </c>
      <c r="F4148">
        <v>1146144171</v>
      </c>
      <c r="G4148">
        <v>340162600</v>
      </c>
      <c r="I4148">
        <v>241815162</v>
      </c>
      <c r="P4148">
        <v>94</v>
      </c>
      <c r="Q4148" t="s">
        <v>8645</v>
      </c>
    </row>
    <row r="4149" spans="1:17" x14ac:dyDescent="0.3">
      <c r="A4149" t="s">
        <v>17</v>
      </c>
      <c r="B4149" t="str">
        <f>"605028"</f>
        <v>605028</v>
      </c>
      <c r="C4149" t="s">
        <v>8646</v>
      </c>
      <c r="D4149" t="s">
        <v>1293</v>
      </c>
      <c r="E4149">
        <v>1207413198</v>
      </c>
      <c r="F4149">
        <v>578490714</v>
      </c>
      <c r="P4149">
        <v>46</v>
      </c>
      <c r="Q4149" t="s">
        <v>8647</v>
      </c>
    </row>
    <row r="4150" spans="1:17" x14ac:dyDescent="0.3">
      <c r="A4150" t="s">
        <v>47</v>
      </c>
      <c r="B4150" t="str">
        <f>"002980"</f>
        <v>002980</v>
      </c>
      <c r="C4150" t="s">
        <v>8648</v>
      </c>
      <c r="D4150" t="s">
        <v>2197</v>
      </c>
      <c r="E4150">
        <v>1206519955</v>
      </c>
      <c r="F4150">
        <v>1233950732</v>
      </c>
      <c r="G4150">
        <v>685138984</v>
      </c>
      <c r="P4150">
        <v>154</v>
      </c>
      <c r="Q4150" t="s">
        <v>8649</v>
      </c>
    </row>
    <row r="4151" spans="1:17" x14ac:dyDescent="0.3">
      <c r="A4151" t="s">
        <v>17</v>
      </c>
      <c r="B4151" t="str">
        <f>"600379"</f>
        <v>600379</v>
      </c>
      <c r="C4151" t="s">
        <v>8650</v>
      </c>
      <c r="D4151" t="s">
        <v>459</v>
      </c>
      <c r="E4151">
        <v>1206312201</v>
      </c>
      <c r="F4151">
        <v>989668012</v>
      </c>
      <c r="G4151">
        <v>846089536</v>
      </c>
      <c r="H4151">
        <v>789782840</v>
      </c>
      <c r="I4151">
        <v>696571987</v>
      </c>
      <c r="J4151">
        <v>693919345</v>
      </c>
      <c r="K4151">
        <v>839881327</v>
      </c>
      <c r="L4151">
        <v>758013152</v>
      </c>
      <c r="M4151">
        <v>614750495</v>
      </c>
      <c r="N4151">
        <v>650911002</v>
      </c>
      <c r="O4151">
        <v>628096074</v>
      </c>
      <c r="P4151">
        <v>83</v>
      </c>
      <c r="Q4151" t="s">
        <v>8651</v>
      </c>
    </row>
    <row r="4152" spans="1:17" x14ac:dyDescent="0.3">
      <c r="A4152" t="s">
        <v>47</v>
      </c>
      <c r="B4152" t="str">
        <f>"300400"</f>
        <v>300400</v>
      </c>
      <c r="C4152" t="s">
        <v>8652</v>
      </c>
      <c r="D4152" t="s">
        <v>4037</v>
      </c>
      <c r="E4152">
        <v>1206036200</v>
      </c>
      <c r="F4152">
        <v>1260357368</v>
      </c>
      <c r="G4152">
        <v>1102067002</v>
      </c>
      <c r="H4152">
        <v>903017190</v>
      </c>
      <c r="I4152">
        <v>775774355</v>
      </c>
      <c r="J4152">
        <v>602995755</v>
      </c>
      <c r="K4152">
        <v>476358583</v>
      </c>
      <c r="L4152">
        <v>456655731</v>
      </c>
      <c r="P4152">
        <v>273</v>
      </c>
      <c r="Q4152" t="s">
        <v>8653</v>
      </c>
    </row>
    <row r="4153" spans="1:17" x14ac:dyDescent="0.3">
      <c r="A4153" t="s">
        <v>47</v>
      </c>
      <c r="B4153" t="str">
        <f>"001211"</f>
        <v>001211</v>
      </c>
      <c r="C4153" t="s">
        <v>8654</v>
      </c>
      <c r="D4153" t="s">
        <v>2016</v>
      </c>
      <c r="E4153">
        <v>1205141571</v>
      </c>
      <c r="F4153">
        <v>797072938</v>
      </c>
      <c r="P4153">
        <v>13</v>
      </c>
      <c r="Q4153" t="s">
        <v>8655</v>
      </c>
    </row>
    <row r="4154" spans="1:17" x14ac:dyDescent="0.3">
      <c r="A4154" t="s">
        <v>17</v>
      </c>
      <c r="B4154" t="str">
        <f>"688329"</f>
        <v>688329</v>
      </c>
      <c r="C4154" t="s">
        <v>8656</v>
      </c>
      <c r="D4154" t="s">
        <v>4037</v>
      </c>
      <c r="E4154">
        <v>1204561410</v>
      </c>
      <c r="F4154">
        <v>1071133160</v>
      </c>
      <c r="P4154">
        <v>43</v>
      </c>
      <c r="Q4154" t="s">
        <v>8657</v>
      </c>
    </row>
    <row r="4155" spans="1:17" x14ac:dyDescent="0.3">
      <c r="A4155" t="s">
        <v>47</v>
      </c>
      <c r="B4155" t="str">
        <f>"301046"</f>
        <v>301046</v>
      </c>
      <c r="C4155" t="s">
        <v>8658</v>
      </c>
      <c r="D4155" t="s">
        <v>152</v>
      </c>
      <c r="E4155">
        <v>1203985139</v>
      </c>
      <c r="F4155">
        <v>715924621</v>
      </c>
      <c r="G4155">
        <v>683896193</v>
      </c>
      <c r="P4155">
        <v>33</v>
      </c>
      <c r="Q4155" t="s">
        <v>8659</v>
      </c>
    </row>
    <row r="4156" spans="1:17" x14ac:dyDescent="0.3">
      <c r="A4156" t="s">
        <v>17</v>
      </c>
      <c r="B4156" t="str">
        <f>"688191"</f>
        <v>688191</v>
      </c>
      <c r="C4156" t="s">
        <v>8660</v>
      </c>
      <c r="D4156" t="s">
        <v>679</v>
      </c>
      <c r="E4156">
        <v>1203661568</v>
      </c>
      <c r="F4156">
        <v>667570098</v>
      </c>
      <c r="P4156">
        <v>56</v>
      </c>
      <c r="Q4156" t="s">
        <v>8661</v>
      </c>
    </row>
    <row r="4157" spans="1:17" x14ac:dyDescent="0.3">
      <c r="A4157" t="s">
        <v>17</v>
      </c>
      <c r="B4157" t="str">
        <f>"600130"</f>
        <v>600130</v>
      </c>
      <c r="C4157" t="s">
        <v>8662</v>
      </c>
      <c r="D4157" t="s">
        <v>283</v>
      </c>
      <c r="E4157">
        <v>1203560921</v>
      </c>
      <c r="F4157">
        <v>1232641765</v>
      </c>
      <c r="G4157">
        <v>1030031353</v>
      </c>
      <c r="H4157">
        <v>1023815136</v>
      </c>
      <c r="I4157">
        <v>998023684</v>
      </c>
      <c r="J4157">
        <v>1357186563</v>
      </c>
      <c r="K4157">
        <v>1531837427</v>
      </c>
      <c r="L4157">
        <v>1213804820</v>
      </c>
      <c r="M4157">
        <v>1132558040</v>
      </c>
      <c r="N4157">
        <v>1018441968</v>
      </c>
      <c r="O4157">
        <v>969213765</v>
      </c>
      <c r="P4157">
        <v>93</v>
      </c>
      <c r="Q4157" t="s">
        <v>8663</v>
      </c>
    </row>
    <row r="4158" spans="1:17" x14ac:dyDescent="0.3">
      <c r="A4158" t="s">
        <v>47</v>
      </c>
      <c r="B4158" t="str">
        <f>"300719"</f>
        <v>300719</v>
      </c>
      <c r="C4158" t="s">
        <v>8664</v>
      </c>
      <c r="D4158" t="s">
        <v>570</v>
      </c>
      <c r="E4158">
        <v>1202955998</v>
      </c>
      <c r="F4158">
        <v>1359096289</v>
      </c>
      <c r="G4158">
        <v>1215310163</v>
      </c>
      <c r="H4158">
        <v>1108039683</v>
      </c>
      <c r="I4158">
        <v>1039842947</v>
      </c>
      <c r="P4158">
        <v>93</v>
      </c>
      <c r="Q4158" t="s">
        <v>8665</v>
      </c>
    </row>
    <row r="4159" spans="1:17" x14ac:dyDescent="0.3">
      <c r="A4159" t="s">
        <v>47</v>
      </c>
      <c r="B4159" t="str">
        <f>"300576"</f>
        <v>300576</v>
      </c>
      <c r="C4159" t="s">
        <v>8666</v>
      </c>
      <c r="D4159" t="s">
        <v>3050</v>
      </c>
      <c r="E4159">
        <v>1202714873</v>
      </c>
      <c r="F4159">
        <v>1042003861</v>
      </c>
      <c r="G4159">
        <v>700466949</v>
      </c>
      <c r="H4159">
        <v>532770524</v>
      </c>
      <c r="I4159">
        <v>521267963</v>
      </c>
      <c r="J4159">
        <v>472871896</v>
      </c>
      <c r="P4159">
        <v>189</v>
      </c>
      <c r="Q4159" t="s">
        <v>8667</v>
      </c>
    </row>
    <row r="4160" spans="1:17" x14ac:dyDescent="0.3">
      <c r="A4160" t="s">
        <v>47</v>
      </c>
      <c r="B4160" t="str">
        <f>"300959"</f>
        <v>300959</v>
      </c>
      <c r="C4160" t="s">
        <v>8668</v>
      </c>
      <c r="D4160" t="s">
        <v>3761</v>
      </c>
      <c r="E4160">
        <v>1201362432</v>
      </c>
      <c r="F4160">
        <v>1183326673</v>
      </c>
      <c r="P4160">
        <v>31</v>
      </c>
      <c r="Q4160" t="s">
        <v>8669</v>
      </c>
    </row>
    <row r="4161" spans="1:17" x14ac:dyDescent="0.3">
      <c r="A4161" t="s">
        <v>47</v>
      </c>
      <c r="B4161" t="str">
        <f>"300546"</f>
        <v>300546</v>
      </c>
      <c r="C4161" t="s">
        <v>8670</v>
      </c>
      <c r="D4161" t="s">
        <v>765</v>
      </c>
      <c r="E4161">
        <v>1201351136</v>
      </c>
      <c r="F4161">
        <v>1007854106</v>
      </c>
      <c r="G4161">
        <v>1106135888</v>
      </c>
      <c r="H4161">
        <v>1013264357</v>
      </c>
      <c r="I4161">
        <v>889544012</v>
      </c>
      <c r="J4161">
        <v>695634912</v>
      </c>
      <c r="P4161">
        <v>196</v>
      </c>
      <c r="Q4161" t="s">
        <v>8671</v>
      </c>
    </row>
    <row r="4162" spans="1:17" x14ac:dyDescent="0.3">
      <c r="A4162" t="s">
        <v>47</v>
      </c>
      <c r="B4162" t="str">
        <f>"300359"</f>
        <v>300359</v>
      </c>
      <c r="C4162" t="s">
        <v>8672</v>
      </c>
      <c r="D4162" t="s">
        <v>2954</v>
      </c>
      <c r="E4162">
        <v>1199007838</v>
      </c>
      <c r="F4162">
        <v>1229562037</v>
      </c>
      <c r="G4162">
        <v>1281751707</v>
      </c>
      <c r="H4162">
        <v>2047303351</v>
      </c>
      <c r="I4162">
        <v>2653790197</v>
      </c>
      <c r="J4162">
        <v>2720905049</v>
      </c>
      <c r="K4162">
        <v>2167488739</v>
      </c>
      <c r="L4162">
        <v>395791245</v>
      </c>
      <c r="M4162">
        <v>361384661</v>
      </c>
      <c r="P4162">
        <v>166</v>
      </c>
      <c r="Q4162" t="s">
        <v>8673</v>
      </c>
    </row>
    <row r="4163" spans="1:17" x14ac:dyDescent="0.3">
      <c r="A4163" t="s">
        <v>17</v>
      </c>
      <c r="B4163" t="str">
        <f>"600576"</f>
        <v>600576</v>
      </c>
      <c r="C4163" t="s">
        <v>8674</v>
      </c>
      <c r="D4163" t="s">
        <v>1673</v>
      </c>
      <c r="E4163">
        <v>1197444617</v>
      </c>
      <c r="F4163">
        <v>1157277696</v>
      </c>
      <c r="G4163">
        <v>1220236033</v>
      </c>
      <c r="H4163">
        <v>2117867934</v>
      </c>
      <c r="I4163">
        <v>2159350436</v>
      </c>
      <c r="J4163">
        <v>2055284474</v>
      </c>
      <c r="K4163">
        <v>1924927988</v>
      </c>
      <c r="L4163">
        <v>714585678</v>
      </c>
      <c r="M4163">
        <v>669994845</v>
      </c>
      <c r="N4163">
        <v>843891609</v>
      </c>
      <c r="O4163">
        <v>795277835</v>
      </c>
      <c r="P4163">
        <v>85</v>
      </c>
      <c r="Q4163" t="s">
        <v>8675</v>
      </c>
    </row>
    <row r="4164" spans="1:17" x14ac:dyDescent="0.3">
      <c r="A4164" t="s">
        <v>47</v>
      </c>
      <c r="B4164" t="str">
        <f>"000409"</f>
        <v>000409</v>
      </c>
      <c r="C4164" t="s">
        <v>8676</v>
      </c>
      <c r="D4164" t="s">
        <v>810</v>
      </c>
      <c r="E4164">
        <v>1195818259</v>
      </c>
      <c r="F4164">
        <v>944010023</v>
      </c>
      <c r="G4164">
        <v>3858517776</v>
      </c>
      <c r="H4164">
        <v>4878670279</v>
      </c>
      <c r="I4164">
        <v>6122515238</v>
      </c>
      <c r="J4164">
        <v>6277279610</v>
      </c>
      <c r="K4164">
        <v>5585823043</v>
      </c>
      <c r="L4164">
        <v>3271859930</v>
      </c>
      <c r="M4164">
        <v>2184459808</v>
      </c>
      <c r="N4164">
        <v>1204156147</v>
      </c>
      <c r="O4164">
        <v>48769626</v>
      </c>
      <c r="P4164">
        <v>75</v>
      </c>
      <c r="Q4164" t="s">
        <v>8677</v>
      </c>
    </row>
    <row r="4165" spans="1:17" x14ac:dyDescent="0.3">
      <c r="A4165" t="s">
        <v>17</v>
      </c>
      <c r="B4165" t="str">
        <f>"688168"</f>
        <v>688168</v>
      </c>
      <c r="C4165" t="s">
        <v>8678</v>
      </c>
      <c r="D4165" t="s">
        <v>1010</v>
      </c>
      <c r="E4165">
        <v>1193497160</v>
      </c>
      <c r="F4165">
        <v>1133438606</v>
      </c>
      <c r="G4165">
        <v>1025983760</v>
      </c>
      <c r="P4165">
        <v>144</v>
      </c>
      <c r="Q4165" t="s">
        <v>8679</v>
      </c>
    </row>
    <row r="4166" spans="1:17" x14ac:dyDescent="0.3">
      <c r="A4166" t="s">
        <v>17</v>
      </c>
      <c r="B4166" t="str">
        <f>"605180"</f>
        <v>605180</v>
      </c>
      <c r="C4166" t="s">
        <v>8680</v>
      </c>
      <c r="D4166" t="s">
        <v>3463</v>
      </c>
      <c r="E4166">
        <v>1193065517</v>
      </c>
      <c r="F4166">
        <v>611631135</v>
      </c>
      <c r="P4166">
        <v>40</v>
      </c>
      <c r="Q4166" t="s">
        <v>8681</v>
      </c>
    </row>
    <row r="4167" spans="1:17" x14ac:dyDescent="0.3">
      <c r="A4167" t="s">
        <v>47</v>
      </c>
      <c r="B4167" t="str">
        <f>"001266"</f>
        <v>001266</v>
      </c>
      <c r="C4167" t="s">
        <v>8682</v>
      </c>
      <c r="E4167">
        <v>1192330417</v>
      </c>
      <c r="P4167">
        <v>8</v>
      </c>
      <c r="Q4167" t="s">
        <v>8683</v>
      </c>
    </row>
    <row r="4168" spans="1:17" x14ac:dyDescent="0.3">
      <c r="A4168" t="s">
        <v>17</v>
      </c>
      <c r="B4168" t="str">
        <f>"688555"</f>
        <v>688555</v>
      </c>
      <c r="C4168" t="s">
        <v>8684</v>
      </c>
      <c r="D4168" t="s">
        <v>1859</v>
      </c>
      <c r="E4168">
        <v>1189942001</v>
      </c>
      <c r="F4168">
        <v>984619265</v>
      </c>
      <c r="G4168">
        <v>505049011</v>
      </c>
      <c r="P4168">
        <v>55</v>
      </c>
      <c r="Q4168" t="s">
        <v>8685</v>
      </c>
    </row>
    <row r="4169" spans="1:17" x14ac:dyDescent="0.3">
      <c r="A4169" t="s">
        <v>17</v>
      </c>
      <c r="B4169" t="str">
        <f>"605398"</f>
        <v>605398</v>
      </c>
      <c r="C4169" t="s">
        <v>8686</v>
      </c>
      <c r="D4169" t="s">
        <v>700</v>
      </c>
      <c r="E4169">
        <v>1189875477</v>
      </c>
      <c r="F4169">
        <v>1119638424</v>
      </c>
      <c r="P4169">
        <v>39</v>
      </c>
      <c r="Q4169" t="s">
        <v>8687</v>
      </c>
    </row>
    <row r="4170" spans="1:17" x14ac:dyDescent="0.3">
      <c r="A4170" t="s">
        <v>17</v>
      </c>
      <c r="B4170" t="str">
        <f>"688551"</f>
        <v>688551</v>
      </c>
      <c r="C4170" t="s">
        <v>8688</v>
      </c>
      <c r="D4170" t="s">
        <v>2256</v>
      </c>
      <c r="E4170">
        <v>1189562563</v>
      </c>
      <c r="F4170">
        <v>1047257855</v>
      </c>
      <c r="G4170">
        <v>277431300</v>
      </c>
      <c r="P4170">
        <v>39</v>
      </c>
      <c r="Q4170" t="s">
        <v>8689</v>
      </c>
    </row>
    <row r="4171" spans="1:17" x14ac:dyDescent="0.3">
      <c r="A4171" t="s">
        <v>47</v>
      </c>
      <c r="B4171" t="str">
        <f>"002577"</f>
        <v>002577</v>
      </c>
      <c r="C4171" t="s">
        <v>8690</v>
      </c>
      <c r="D4171" t="s">
        <v>765</v>
      </c>
      <c r="E4171">
        <v>1189163667</v>
      </c>
      <c r="F4171">
        <v>1159692972</v>
      </c>
      <c r="G4171">
        <v>1102300550</v>
      </c>
      <c r="H4171">
        <v>1307990389</v>
      </c>
      <c r="I4171">
        <v>1321119008</v>
      </c>
      <c r="J4171">
        <v>1315811383</v>
      </c>
      <c r="K4171">
        <v>1362691012</v>
      </c>
      <c r="L4171">
        <v>1912441166</v>
      </c>
      <c r="M4171">
        <v>1989577650</v>
      </c>
      <c r="N4171">
        <v>1559446375</v>
      </c>
      <c r="O4171">
        <v>1560452522</v>
      </c>
      <c r="P4171">
        <v>83</v>
      </c>
      <c r="Q4171" t="s">
        <v>8691</v>
      </c>
    </row>
    <row r="4172" spans="1:17" x14ac:dyDescent="0.3">
      <c r="A4172" t="s">
        <v>17</v>
      </c>
      <c r="B4172" t="str">
        <f>"600444"</f>
        <v>600444</v>
      </c>
      <c r="C4172" t="s">
        <v>8692</v>
      </c>
      <c r="D4172" t="s">
        <v>1973</v>
      </c>
      <c r="E4172">
        <v>1187395217</v>
      </c>
      <c r="F4172">
        <v>1096657000</v>
      </c>
      <c r="G4172">
        <v>936048192</v>
      </c>
      <c r="H4172">
        <v>907107261</v>
      </c>
      <c r="I4172">
        <v>808494768</v>
      </c>
      <c r="J4172">
        <v>798533502</v>
      </c>
      <c r="K4172">
        <v>813934028</v>
      </c>
      <c r="L4172">
        <v>440665890</v>
      </c>
      <c r="M4172">
        <v>450574668</v>
      </c>
      <c r="N4172">
        <v>454281044</v>
      </c>
      <c r="O4172">
        <v>455868348</v>
      </c>
      <c r="P4172">
        <v>69</v>
      </c>
      <c r="Q4172" t="s">
        <v>8693</v>
      </c>
    </row>
    <row r="4173" spans="1:17" x14ac:dyDescent="0.3">
      <c r="A4173" t="s">
        <v>17</v>
      </c>
      <c r="B4173" t="str">
        <f>"600156"</f>
        <v>600156</v>
      </c>
      <c r="C4173" t="s">
        <v>8694</v>
      </c>
      <c r="D4173" t="s">
        <v>3463</v>
      </c>
      <c r="E4173">
        <v>1187330122</v>
      </c>
      <c r="F4173">
        <v>1235107278</v>
      </c>
      <c r="G4173">
        <v>1195221221</v>
      </c>
      <c r="H4173">
        <v>1129324485</v>
      </c>
      <c r="I4173">
        <v>1071749410</v>
      </c>
      <c r="J4173">
        <v>1120448087</v>
      </c>
      <c r="K4173">
        <v>1169546458</v>
      </c>
      <c r="L4173">
        <v>1122209460</v>
      </c>
      <c r="M4173">
        <v>1151658550</v>
      </c>
      <c r="N4173">
        <v>1251394428</v>
      </c>
      <c r="O4173">
        <v>1086005983</v>
      </c>
      <c r="P4173">
        <v>75</v>
      </c>
      <c r="Q4173" t="s">
        <v>8695</v>
      </c>
    </row>
    <row r="4174" spans="1:17" x14ac:dyDescent="0.3">
      <c r="A4174" t="s">
        <v>47</v>
      </c>
      <c r="B4174" t="str">
        <f>"300727"</f>
        <v>300727</v>
      </c>
      <c r="C4174" t="s">
        <v>8696</v>
      </c>
      <c r="D4174" t="s">
        <v>1833</v>
      </c>
      <c r="E4174">
        <v>1186359589</v>
      </c>
      <c r="F4174">
        <v>996728245</v>
      </c>
      <c r="G4174">
        <v>656846138</v>
      </c>
      <c r="H4174">
        <v>634491607</v>
      </c>
      <c r="I4174">
        <v>613075232</v>
      </c>
      <c r="P4174">
        <v>73</v>
      </c>
      <c r="Q4174" t="s">
        <v>8697</v>
      </c>
    </row>
    <row r="4175" spans="1:17" x14ac:dyDescent="0.3">
      <c r="A4175" t="s">
        <v>17</v>
      </c>
      <c r="B4175" t="str">
        <f>"688601"</f>
        <v>688601</v>
      </c>
      <c r="C4175" t="s">
        <v>8698</v>
      </c>
      <c r="D4175" t="s">
        <v>2795</v>
      </c>
      <c r="E4175">
        <v>1186276292</v>
      </c>
      <c r="F4175">
        <v>431502837</v>
      </c>
      <c r="G4175">
        <v>382107985</v>
      </c>
      <c r="P4175">
        <v>57</v>
      </c>
      <c r="Q4175" t="s">
        <v>8699</v>
      </c>
    </row>
    <row r="4176" spans="1:17" x14ac:dyDescent="0.3">
      <c r="A4176" t="s">
        <v>17</v>
      </c>
      <c r="B4176" t="str">
        <f>"688163"</f>
        <v>688163</v>
      </c>
      <c r="C4176" t="s">
        <v>8700</v>
      </c>
      <c r="E4176">
        <v>1185958846</v>
      </c>
      <c r="P4176">
        <v>12</v>
      </c>
      <c r="Q4176" t="s">
        <v>8701</v>
      </c>
    </row>
    <row r="4177" spans="1:17" x14ac:dyDescent="0.3">
      <c r="A4177" t="s">
        <v>47</v>
      </c>
      <c r="B4177" t="str">
        <f>"002766"</f>
        <v>002766</v>
      </c>
      <c r="C4177" t="s">
        <v>8702</v>
      </c>
      <c r="D4177" t="s">
        <v>836</v>
      </c>
      <c r="E4177">
        <v>1184694082</v>
      </c>
      <c r="F4177">
        <v>2131669970</v>
      </c>
      <c r="G4177">
        <v>5630606013</v>
      </c>
      <c r="H4177">
        <v>3945602136</v>
      </c>
      <c r="I4177">
        <v>3362828659</v>
      </c>
      <c r="J4177">
        <v>2164453710</v>
      </c>
      <c r="K4177">
        <v>1602219905</v>
      </c>
      <c r="L4177">
        <v>1150609527</v>
      </c>
      <c r="P4177">
        <v>85</v>
      </c>
      <c r="Q4177" t="s">
        <v>8703</v>
      </c>
    </row>
    <row r="4178" spans="1:17" x14ac:dyDescent="0.3">
      <c r="A4178" t="s">
        <v>17</v>
      </c>
      <c r="B4178" t="str">
        <f>"600543"</f>
        <v>600543</v>
      </c>
      <c r="C4178" t="s">
        <v>8704</v>
      </c>
      <c r="D4178" t="s">
        <v>2319</v>
      </c>
      <c r="E4178">
        <v>1184402714</v>
      </c>
      <c r="F4178">
        <v>1345482268</v>
      </c>
      <c r="G4178">
        <v>1327992596</v>
      </c>
      <c r="H4178">
        <v>1281164933</v>
      </c>
      <c r="I4178">
        <v>1278009688</v>
      </c>
      <c r="J4178">
        <v>1302824857</v>
      </c>
      <c r="K4178">
        <v>1278151298</v>
      </c>
      <c r="L4178">
        <v>1247501616</v>
      </c>
      <c r="M4178">
        <v>1238673423</v>
      </c>
      <c r="N4178">
        <v>1320109709</v>
      </c>
      <c r="O4178">
        <v>1245178200</v>
      </c>
      <c r="P4178">
        <v>150</v>
      </c>
      <c r="Q4178" t="s">
        <v>8705</v>
      </c>
    </row>
    <row r="4179" spans="1:17" x14ac:dyDescent="0.3">
      <c r="A4179" t="s">
        <v>47</v>
      </c>
      <c r="B4179" t="str">
        <f>"301049"</f>
        <v>301049</v>
      </c>
      <c r="C4179" t="s">
        <v>8706</v>
      </c>
      <c r="D4179" t="s">
        <v>1310</v>
      </c>
      <c r="E4179">
        <v>1179420929</v>
      </c>
      <c r="P4179">
        <v>26</v>
      </c>
      <c r="Q4179" t="s">
        <v>8707</v>
      </c>
    </row>
    <row r="4180" spans="1:17" x14ac:dyDescent="0.3">
      <c r="A4180" t="s">
        <v>47</v>
      </c>
      <c r="B4180" t="str">
        <f>"301218"</f>
        <v>301218</v>
      </c>
      <c r="C4180" t="s">
        <v>8708</v>
      </c>
      <c r="E4180">
        <v>1179374356</v>
      </c>
      <c r="P4180">
        <v>8</v>
      </c>
      <c r="Q4180" t="s">
        <v>8709</v>
      </c>
    </row>
    <row r="4181" spans="1:17" x14ac:dyDescent="0.3">
      <c r="A4181" t="s">
        <v>47</v>
      </c>
      <c r="B4181" t="str">
        <f>"002592"</f>
        <v>002592</v>
      </c>
      <c r="C4181" t="s">
        <v>8710</v>
      </c>
      <c r="D4181" t="s">
        <v>274</v>
      </c>
      <c r="E4181">
        <v>1178660347</v>
      </c>
      <c r="F4181">
        <v>1515986459</v>
      </c>
      <c r="G4181">
        <v>2641148370</v>
      </c>
      <c r="H4181">
        <v>2370940910</v>
      </c>
      <c r="I4181">
        <v>2580621453</v>
      </c>
      <c r="J4181">
        <v>2530352956</v>
      </c>
      <c r="K4181">
        <v>2549271267</v>
      </c>
      <c r="L4181">
        <v>1704272579</v>
      </c>
      <c r="M4181">
        <v>953481930</v>
      </c>
      <c r="N4181">
        <v>874734780</v>
      </c>
      <c r="O4181">
        <v>768174399</v>
      </c>
      <c r="P4181">
        <v>76</v>
      </c>
      <c r="Q4181" t="s">
        <v>8711</v>
      </c>
    </row>
    <row r="4182" spans="1:17" x14ac:dyDescent="0.3">
      <c r="A4182" t="s">
        <v>17</v>
      </c>
      <c r="B4182" t="str">
        <f>"688052"</f>
        <v>688052</v>
      </c>
      <c r="C4182" t="s">
        <v>8712</v>
      </c>
      <c r="E4182">
        <v>1176994096</v>
      </c>
      <c r="P4182">
        <v>11</v>
      </c>
      <c r="Q4182" t="s">
        <v>8713</v>
      </c>
    </row>
    <row r="4183" spans="1:17" x14ac:dyDescent="0.3">
      <c r="A4183" t="s">
        <v>17</v>
      </c>
      <c r="B4183" t="str">
        <f>"688096"</f>
        <v>688096</v>
      </c>
      <c r="C4183" t="s">
        <v>8714</v>
      </c>
      <c r="D4183" t="s">
        <v>520</v>
      </c>
      <c r="E4183">
        <v>1175565585</v>
      </c>
      <c r="F4183">
        <v>985491506</v>
      </c>
      <c r="G4183">
        <v>567962312</v>
      </c>
      <c r="H4183">
        <v>436195593</v>
      </c>
      <c r="I4183">
        <v>273563932</v>
      </c>
      <c r="P4183">
        <v>73</v>
      </c>
      <c r="Q4183" t="s">
        <v>8715</v>
      </c>
    </row>
    <row r="4184" spans="1:17" x14ac:dyDescent="0.3">
      <c r="A4184" t="s">
        <v>17</v>
      </c>
      <c r="B4184" t="str">
        <f>"688722"</f>
        <v>688722</v>
      </c>
      <c r="C4184" t="s">
        <v>8716</v>
      </c>
      <c r="D4184" t="s">
        <v>2454</v>
      </c>
      <c r="E4184">
        <v>1175436683</v>
      </c>
      <c r="P4184">
        <v>13</v>
      </c>
      <c r="Q4184" t="s">
        <v>8717</v>
      </c>
    </row>
    <row r="4185" spans="1:17" x14ac:dyDescent="0.3">
      <c r="A4185" t="s">
        <v>47</v>
      </c>
      <c r="B4185" t="str">
        <f>"301182"</f>
        <v>301182</v>
      </c>
      <c r="C4185" t="s">
        <v>8718</v>
      </c>
      <c r="D4185" t="s">
        <v>283</v>
      </c>
      <c r="E4185">
        <v>1175351823</v>
      </c>
      <c r="P4185">
        <v>11</v>
      </c>
      <c r="Q4185" t="s">
        <v>8719</v>
      </c>
    </row>
    <row r="4186" spans="1:17" x14ac:dyDescent="0.3">
      <c r="A4186" t="s">
        <v>17</v>
      </c>
      <c r="B4186" t="str">
        <f>"600091"</f>
        <v>600091</v>
      </c>
      <c r="C4186" t="s">
        <v>8720</v>
      </c>
      <c r="D4186" t="s">
        <v>625</v>
      </c>
      <c r="E4186">
        <v>1174388298</v>
      </c>
      <c r="F4186">
        <v>1142742098</v>
      </c>
      <c r="G4186">
        <v>1180397732</v>
      </c>
      <c r="H4186">
        <v>1182192297</v>
      </c>
      <c r="I4186">
        <v>1188306935</v>
      </c>
      <c r="J4186">
        <v>1264225987</v>
      </c>
      <c r="K4186">
        <v>1238541001</v>
      </c>
      <c r="L4186">
        <v>1249817474</v>
      </c>
      <c r="M4186">
        <v>1289696604</v>
      </c>
      <c r="N4186">
        <v>1334508351</v>
      </c>
      <c r="O4186">
        <v>1370417445</v>
      </c>
      <c r="P4186">
        <v>58</v>
      </c>
      <c r="Q4186" t="s">
        <v>8721</v>
      </c>
    </row>
    <row r="4187" spans="1:17" x14ac:dyDescent="0.3">
      <c r="A4187" t="s">
        <v>17</v>
      </c>
      <c r="B4187" t="str">
        <f>"688258"</f>
        <v>688258</v>
      </c>
      <c r="C4187" t="s">
        <v>8722</v>
      </c>
      <c r="D4187" t="s">
        <v>700</v>
      </c>
      <c r="E4187">
        <v>1174176880</v>
      </c>
      <c r="F4187">
        <v>1105147461</v>
      </c>
      <c r="G4187">
        <v>938925976</v>
      </c>
      <c r="P4187">
        <v>2718</v>
      </c>
      <c r="Q4187" t="s">
        <v>8723</v>
      </c>
    </row>
    <row r="4188" spans="1:17" x14ac:dyDescent="0.3">
      <c r="A4188" t="s">
        <v>47</v>
      </c>
      <c r="B4188" t="str">
        <f>"300542"</f>
        <v>300542</v>
      </c>
      <c r="C4188" t="s">
        <v>8724</v>
      </c>
      <c r="D4188" t="s">
        <v>1859</v>
      </c>
      <c r="E4188">
        <v>1173855938</v>
      </c>
      <c r="F4188">
        <v>1064087401</v>
      </c>
      <c r="G4188">
        <v>1023955346</v>
      </c>
      <c r="H4188">
        <v>1154316471</v>
      </c>
      <c r="I4188">
        <v>753019939</v>
      </c>
      <c r="J4188">
        <v>644690001</v>
      </c>
      <c r="P4188">
        <v>143</v>
      </c>
      <c r="Q4188" t="s">
        <v>8725</v>
      </c>
    </row>
    <row r="4189" spans="1:17" x14ac:dyDescent="0.3">
      <c r="A4189" t="s">
        <v>47</v>
      </c>
      <c r="B4189" t="str">
        <f>"003025"</f>
        <v>003025</v>
      </c>
      <c r="C4189" t="s">
        <v>8726</v>
      </c>
      <c r="D4189" t="s">
        <v>3186</v>
      </c>
      <c r="E4189">
        <v>1171029882</v>
      </c>
      <c r="F4189">
        <v>1019745722</v>
      </c>
      <c r="P4189">
        <v>118</v>
      </c>
      <c r="Q4189" t="s">
        <v>8727</v>
      </c>
    </row>
    <row r="4190" spans="1:17" x14ac:dyDescent="0.3">
      <c r="A4190" t="s">
        <v>47</v>
      </c>
      <c r="B4190" t="str">
        <f>"300139"</f>
        <v>300139</v>
      </c>
      <c r="C4190" t="s">
        <v>8728</v>
      </c>
      <c r="D4190" t="s">
        <v>976</v>
      </c>
      <c r="E4190">
        <v>1169632071</v>
      </c>
      <c r="F4190">
        <v>1131212092</v>
      </c>
      <c r="G4190">
        <v>1249861454</v>
      </c>
      <c r="H4190">
        <v>1429480593</v>
      </c>
      <c r="I4190">
        <v>1450838518</v>
      </c>
      <c r="J4190">
        <v>1419572460</v>
      </c>
      <c r="K4190">
        <v>1426514389</v>
      </c>
      <c r="L4190">
        <v>1349172017</v>
      </c>
      <c r="M4190">
        <v>1287582553</v>
      </c>
      <c r="N4190">
        <v>1249096387</v>
      </c>
      <c r="O4190">
        <v>1218233332</v>
      </c>
      <c r="P4190">
        <v>147</v>
      </c>
      <c r="Q4190" t="s">
        <v>8729</v>
      </c>
    </row>
    <row r="4191" spans="1:17" x14ac:dyDescent="0.3">
      <c r="A4191" t="s">
        <v>47</v>
      </c>
      <c r="B4191" t="str">
        <f>"300946"</f>
        <v>300946</v>
      </c>
      <c r="C4191" t="s">
        <v>8730</v>
      </c>
      <c r="D4191" t="s">
        <v>401</v>
      </c>
      <c r="E4191">
        <v>1169357658</v>
      </c>
      <c r="F4191">
        <v>1078674201</v>
      </c>
      <c r="P4191">
        <v>75</v>
      </c>
      <c r="Q4191" t="s">
        <v>8731</v>
      </c>
    </row>
    <row r="4192" spans="1:17" x14ac:dyDescent="0.3">
      <c r="A4192" t="s">
        <v>17</v>
      </c>
      <c r="B4192" t="str">
        <f>"603988"</f>
        <v>603988</v>
      </c>
      <c r="C4192" t="s">
        <v>8732</v>
      </c>
      <c r="D4192" t="s">
        <v>1594</v>
      </c>
      <c r="E4192">
        <v>1168338736</v>
      </c>
      <c r="F4192">
        <v>1285854555</v>
      </c>
      <c r="G4192">
        <v>1187225108</v>
      </c>
      <c r="H4192">
        <v>983676097</v>
      </c>
      <c r="I4192">
        <v>894267553</v>
      </c>
      <c r="J4192">
        <v>836326480</v>
      </c>
      <c r="K4192">
        <v>807821896</v>
      </c>
      <c r="L4192">
        <v>792867207</v>
      </c>
      <c r="P4192">
        <v>192</v>
      </c>
      <c r="Q4192" t="s">
        <v>8733</v>
      </c>
    </row>
    <row r="4193" spans="1:17" x14ac:dyDescent="0.3">
      <c r="A4193" t="s">
        <v>17</v>
      </c>
      <c r="B4193" t="str">
        <f>"688059"</f>
        <v>688059</v>
      </c>
      <c r="C4193" t="s">
        <v>8734</v>
      </c>
      <c r="D4193" t="s">
        <v>401</v>
      </c>
      <c r="E4193">
        <v>1167870904</v>
      </c>
      <c r="F4193">
        <v>967942253</v>
      </c>
      <c r="P4193">
        <v>105</v>
      </c>
      <c r="Q4193" t="s">
        <v>8735</v>
      </c>
    </row>
    <row r="4194" spans="1:17" x14ac:dyDescent="0.3">
      <c r="A4194" t="s">
        <v>47</v>
      </c>
      <c r="B4194" t="str">
        <f>"301056"</f>
        <v>301056</v>
      </c>
      <c r="C4194" t="s">
        <v>8736</v>
      </c>
      <c r="D4194" t="s">
        <v>1092</v>
      </c>
      <c r="E4194">
        <v>1166829039</v>
      </c>
      <c r="P4194">
        <v>16</v>
      </c>
      <c r="Q4194" t="s">
        <v>8737</v>
      </c>
    </row>
    <row r="4195" spans="1:17" x14ac:dyDescent="0.3">
      <c r="A4195" t="s">
        <v>47</v>
      </c>
      <c r="B4195" t="str">
        <f>"002883"</f>
        <v>002883</v>
      </c>
      <c r="C4195" t="s">
        <v>8738</v>
      </c>
      <c r="D4195" t="s">
        <v>2178</v>
      </c>
      <c r="E4195">
        <v>1166148257</v>
      </c>
      <c r="F4195">
        <v>940734792</v>
      </c>
      <c r="G4195">
        <v>608183652</v>
      </c>
      <c r="H4195">
        <v>549739910</v>
      </c>
      <c r="I4195">
        <v>458648427</v>
      </c>
      <c r="J4195">
        <v>253482300</v>
      </c>
      <c r="P4195">
        <v>102</v>
      </c>
      <c r="Q4195" t="s">
        <v>8739</v>
      </c>
    </row>
    <row r="4196" spans="1:17" x14ac:dyDescent="0.3">
      <c r="A4196" t="s">
        <v>47</v>
      </c>
      <c r="B4196" t="str">
        <f>"300635"</f>
        <v>300635</v>
      </c>
      <c r="C4196" t="s">
        <v>8740</v>
      </c>
      <c r="D4196" t="s">
        <v>2178</v>
      </c>
      <c r="E4196">
        <v>1165535519</v>
      </c>
      <c r="F4196">
        <v>1185963258</v>
      </c>
      <c r="G4196">
        <v>1157763353</v>
      </c>
      <c r="H4196">
        <v>1037010973</v>
      </c>
      <c r="I4196">
        <v>882698832</v>
      </c>
      <c r="J4196">
        <v>712362683</v>
      </c>
      <c r="P4196">
        <v>113</v>
      </c>
      <c r="Q4196" t="s">
        <v>8741</v>
      </c>
    </row>
    <row r="4197" spans="1:17" x14ac:dyDescent="0.3">
      <c r="A4197" t="s">
        <v>17</v>
      </c>
      <c r="B4197" t="str">
        <f>"605155"</f>
        <v>605155</v>
      </c>
      <c r="C4197" t="s">
        <v>8742</v>
      </c>
      <c r="D4197" t="s">
        <v>2016</v>
      </c>
      <c r="E4197">
        <v>1164083709</v>
      </c>
      <c r="F4197">
        <v>1090826569</v>
      </c>
      <c r="P4197">
        <v>45</v>
      </c>
      <c r="Q4197" t="s">
        <v>8743</v>
      </c>
    </row>
    <row r="4198" spans="1:17" x14ac:dyDescent="0.3">
      <c r="A4198" t="s">
        <v>47</v>
      </c>
      <c r="B4198" t="str">
        <f>"300192"</f>
        <v>300192</v>
      </c>
      <c r="C4198" t="s">
        <v>8744</v>
      </c>
      <c r="D4198" t="s">
        <v>2954</v>
      </c>
      <c r="E4198">
        <v>1163616373</v>
      </c>
      <c r="F4198">
        <v>1628533372</v>
      </c>
      <c r="G4198">
        <v>1735600153</v>
      </c>
      <c r="H4198">
        <v>1683863985</v>
      </c>
      <c r="I4198">
        <v>1753407982</v>
      </c>
      <c r="J4198">
        <v>800195238</v>
      </c>
      <c r="K4198">
        <v>788199287</v>
      </c>
      <c r="L4198">
        <v>799976462</v>
      </c>
      <c r="M4198">
        <v>753847385</v>
      </c>
      <c r="N4198">
        <v>727082242</v>
      </c>
      <c r="O4198">
        <v>631710388</v>
      </c>
      <c r="P4198">
        <v>182</v>
      </c>
      <c r="Q4198" t="s">
        <v>8745</v>
      </c>
    </row>
    <row r="4199" spans="1:17" x14ac:dyDescent="0.3">
      <c r="A4199" t="s">
        <v>17</v>
      </c>
      <c r="B4199" t="str">
        <f>"688356"</f>
        <v>688356</v>
      </c>
      <c r="C4199" t="s">
        <v>8746</v>
      </c>
      <c r="D4199" t="s">
        <v>1112</v>
      </c>
      <c r="E4199">
        <v>1160654183</v>
      </c>
      <c r="F4199">
        <v>959920354</v>
      </c>
      <c r="G4199">
        <v>270703446</v>
      </c>
      <c r="P4199">
        <v>152</v>
      </c>
      <c r="Q4199" t="s">
        <v>8747</v>
      </c>
    </row>
    <row r="4200" spans="1:17" x14ac:dyDescent="0.3">
      <c r="A4200" t="s">
        <v>47</v>
      </c>
      <c r="B4200" t="str">
        <f>"002800"</f>
        <v>002800</v>
      </c>
      <c r="C4200" t="s">
        <v>8748</v>
      </c>
      <c r="D4200" t="s">
        <v>1035</v>
      </c>
      <c r="E4200">
        <v>1159168689</v>
      </c>
      <c r="F4200">
        <v>946813758</v>
      </c>
      <c r="G4200">
        <v>942830643</v>
      </c>
      <c r="H4200">
        <v>951794409</v>
      </c>
      <c r="I4200">
        <v>736859248</v>
      </c>
      <c r="J4200">
        <v>638317163</v>
      </c>
      <c r="K4200">
        <v>452300581</v>
      </c>
      <c r="P4200">
        <v>86</v>
      </c>
      <c r="Q4200" t="s">
        <v>8749</v>
      </c>
    </row>
    <row r="4201" spans="1:17" x14ac:dyDescent="0.3">
      <c r="A4201" t="s">
        <v>17</v>
      </c>
      <c r="B4201" t="str">
        <f>"688201"</f>
        <v>688201</v>
      </c>
      <c r="C4201" t="s">
        <v>8750</v>
      </c>
      <c r="D4201" t="s">
        <v>1010</v>
      </c>
      <c r="E4201">
        <v>1158862716</v>
      </c>
      <c r="F4201">
        <v>551547337</v>
      </c>
      <c r="P4201">
        <v>62</v>
      </c>
      <c r="Q4201" t="s">
        <v>8751</v>
      </c>
    </row>
    <row r="4202" spans="1:17" x14ac:dyDescent="0.3">
      <c r="A4202" t="s">
        <v>47</v>
      </c>
      <c r="B4202" t="str">
        <f>"300865"</f>
        <v>300865</v>
      </c>
      <c r="C4202" t="s">
        <v>8752</v>
      </c>
      <c r="D4202" t="s">
        <v>607</v>
      </c>
      <c r="E4202">
        <v>1158264705</v>
      </c>
      <c r="F4202">
        <v>1173259276</v>
      </c>
      <c r="P4202">
        <v>43</v>
      </c>
      <c r="Q4202" t="s">
        <v>8753</v>
      </c>
    </row>
    <row r="4203" spans="1:17" x14ac:dyDescent="0.3">
      <c r="A4203" t="s">
        <v>17</v>
      </c>
      <c r="B4203" t="str">
        <f>"605086"</f>
        <v>605086</v>
      </c>
      <c r="C4203" t="s">
        <v>8754</v>
      </c>
      <c r="D4203" t="s">
        <v>1197</v>
      </c>
      <c r="E4203">
        <v>1157783725</v>
      </c>
      <c r="F4203">
        <v>677806352</v>
      </c>
      <c r="P4203">
        <v>29</v>
      </c>
      <c r="Q4203" t="s">
        <v>8755</v>
      </c>
    </row>
    <row r="4204" spans="1:17" x14ac:dyDescent="0.3">
      <c r="A4204" t="s">
        <v>47</v>
      </c>
      <c r="B4204" t="str">
        <f>"301228"</f>
        <v>301228</v>
      </c>
      <c r="C4204" t="s">
        <v>8756</v>
      </c>
      <c r="E4204">
        <v>1157342915</v>
      </c>
      <c r="G4204">
        <v>486388107</v>
      </c>
      <c r="P4204">
        <v>11</v>
      </c>
      <c r="Q4204" t="s">
        <v>8757</v>
      </c>
    </row>
    <row r="4205" spans="1:17" x14ac:dyDescent="0.3">
      <c r="A4205" t="s">
        <v>17</v>
      </c>
      <c r="B4205" t="str">
        <f>"603838"</f>
        <v>603838</v>
      </c>
      <c r="C4205" t="s">
        <v>8758</v>
      </c>
      <c r="D4205" t="s">
        <v>2016</v>
      </c>
      <c r="E4205">
        <v>1157160655</v>
      </c>
      <c r="F4205">
        <v>1417691929</v>
      </c>
      <c r="G4205">
        <v>1087876070</v>
      </c>
      <c r="H4205">
        <v>855047547</v>
      </c>
      <c r="I4205">
        <v>810261415</v>
      </c>
      <c r="J4205">
        <v>819238856</v>
      </c>
      <c r="K4205">
        <v>732657731</v>
      </c>
      <c r="L4205">
        <v>452516200</v>
      </c>
      <c r="P4205">
        <v>49</v>
      </c>
      <c r="Q4205" t="s">
        <v>8759</v>
      </c>
    </row>
    <row r="4206" spans="1:17" x14ac:dyDescent="0.3">
      <c r="A4206" t="s">
        <v>17</v>
      </c>
      <c r="B4206" t="str">
        <f>"603488"</f>
        <v>603488</v>
      </c>
      <c r="C4206" t="s">
        <v>8760</v>
      </c>
      <c r="D4206" t="s">
        <v>1092</v>
      </c>
      <c r="E4206">
        <v>1154168153</v>
      </c>
      <c r="F4206">
        <v>1084420097</v>
      </c>
      <c r="G4206">
        <v>977991564</v>
      </c>
      <c r="H4206">
        <v>925366459</v>
      </c>
      <c r="I4206">
        <v>875744830</v>
      </c>
      <c r="J4206">
        <v>454966500</v>
      </c>
      <c r="P4206">
        <v>64</v>
      </c>
      <c r="Q4206" t="s">
        <v>8761</v>
      </c>
    </row>
    <row r="4207" spans="1:17" x14ac:dyDescent="0.3">
      <c r="A4207" t="s">
        <v>47</v>
      </c>
      <c r="B4207" t="str">
        <f>"300106"</f>
        <v>300106</v>
      </c>
      <c r="C4207" t="s">
        <v>8762</v>
      </c>
      <c r="D4207" t="s">
        <v>487</v>
      </c>
      <c r="E4207">
        <v>1151720294</v>
      </c>
      <c r="F4207">
        <v>1138089485</v>
      </c>
      <c r="G4207">
        <v>1110886208</v>
      </c>
      <c r="H4207">
        <v>1131892719</v>
      </c>
      <c r="I4207">
        <v>2389932525</v>
      </c>
      <c r="J4207">
        <v>2807488791</v>
      </c>
      <c r="K4207">
        <v>2545235717</v>
      </c>
      <c r="L4207">
        <v>1689536805</v>
      </c>
      <c r="M4207">
        <v>1247226167</v>
      </c>
      <c r="N4207">
        <v>1102263587</v>
      </c>
      <c r="O4207">
        <v>921500074</v>
      </c>
      <c r="P4207">
        <v>124</v>
      </c>
      <c r="Q4207" t="s">
        <v>8763</v>
      </c>
    </row>
    <row r="4208" spans="1:17" x14ac:dyDescent="0.3">
      <c r="A4208" t="s">
        <v>17</v>
      </c>
      <c r="B4208" t="str">
        <f>"688398"</f>
        <v>688398</v>
      </c>
      <c r="C4208" t="s">
        <v>8764</v>
      </c>
      <c r="D4208" t="s">
        <v>710</v>
      </c>
      <c r="E4208">
        <v>1150467285</v>
      </c>
      <c r="F4208">
        <v>1104293147</v>
      </c>
      <c r="G4208">
        <v>941804853</v>
      </c>
      <c r="H4208">
        <v>427526979</v>
      </c>
      <c r="P4208">
        <v>81</v>
      </c>
      <c r="Q4208" t="s">
        <v>8765</v>
      </c>
    </row>
    <row r="4209" spans="1:17" x14ac:dyDescent="0.3">
      <c r="A4209" t="s">
        <v>17</v>
      </c>
      <c r="B4209" t="str">
        <f>"603499"</f>
        <v>603499</v>
      </c>
      <c r="C4209" t="s">
        <v>8766</v>
      </c>
      <c r="D4209" t="s">
        <v>1842</v>
      </c>
      <c r="E4209">
        <v>1150248373</v>
      </c>
      <c r="F4209">
        <v>1008127264</v>
      </c>
      <c r="G4209">
        <v>868521980</v>
      </c>
      <c r="H4209">
        <v>682658645</v>
      </c>
      <c r="I4209">
        <v>690126282</v>
      </c>
      <c r="P4209">
        <v>83</v>
      </c>
      <c r="Q4209" t="s">
        <v>8767</v>
      </c>
    </row>
    <row r="4210" spans="1:17" x14ac:dyDescent="0.3">
      <c r="A4210" t="s">
        <v>47</v>
      </c>
      <c r="B4210" t="str">
        <f>"200054"</f>
        <v>200054</v>
      </c>
      <c r="C4210" t="s">
        <v>8768</v>
      </c>
      <c r="E4210">
        <v>1148996174.076</v>
      </c>
      <c r="F4210">
        <v>1337230786.2525001</v>
      </c>
      <c r="G4210">
        <v>1201838937.5690999</v>
      </c>
      <c r="H4210">
        <v>1546413053.0859001</v>
      </c>
      <c r="I4210">
        <v>1677043097.7695</v>
      </c>
      <c r="J4210">
        <v>1540429560.3745999</v>
      </c>
      <c r="K4210">
        <v>1639381104.2825</v>
      </c>
      <c r="L4210">
        <v>3119726483.75</v>
      </c>
      <c r="M4210">
        <v>3264933136.9624</v>
      </c>
      <c r="N4210">
        <v>3743201480.6718001</v>
      </c>
      <c r="O4210">
        <v>3313586952.5489998</v>
      </c>
      <c r="P4210">
        <v>7</v>
      </c>
      <c r="Q4210" t="s">
        <v>8769</v>
      </c>
    </row>
    <row r="4211" spans="1:17" x14ac:dyDescent="0.3">
      <c r="A4211" t="s">
        <v>17</v>
      </c>
      <c r="B4211" t="str">
        <f>"688286"</f>
        <v>688286</v>
      </c>
      <c r="C4211" t="s">
        <v>8770</v>
      </c>
      <c r="D4211" t="s">
        <v>2795</v>
      </c>
      <c r="E4211">
        <v>1148736400</v>
      </c>
      <c r="F4211">
        <v>1139891774</v>
      </c>
      <c r="G4211">
        <v>329499046</v>
      </c>
      <c r="P4211">
        <v>91</v>
      </c>
      <c r="Q4211" t="s">
        <v>8771</v>
      </c>
    </row>
    <row r="4212" spans="1:17" x14ac:dyDescent="0.3">
      <c r="A4212" t="s">
        <v>17</v>
      </c>
      <c r="B4212" t="str">
        <f>"603813"</f>
        <v>603813</v>
      </c>
      <c r="C4212" t="s">
        <v>8772</v>
      </c>
      <c r="D4212" t="s">
        <v>1035</v>
      </c>
      <c r="E4212">
        <v>1148438030</v>
      </c>
      <c r="F4212">
        <v>1245137466</v>
      </c>
      <c r="G4212">
        <v>885544830</v>
      </c>
      <c r="H4212">
        <v>812153927</v>
      </c>
      <c r="I4212">
        <v>654309700</v>
      </c>
      <c r="P4212">
        <v>59</v>
      </c>
      <c r="Q4212" t="s">
        <v>8773</v>
      </c>
    </row>
    <row r="4213" spans="1:17" x14ac:dyDescent="0.3">
      <c r="A4213" t="s">
        <v>47</v>
      </c>
      <c r="B4213" t="str">
        <f>"300404"</f>
        <v>300404</v>
      </c>
      <c r="C4213" t="s">
        <v>8774</v>
      </c>
      <c r="D4213" t="s">
        <v>777</v>
      </c>
      <c r="E4213">
        <v>1147315639</v>
      </c>
      <c r="F4213">
        <v>759934380</v>
      </c>
      <c r="G4213">
        <v>651513809</v>
      </c>
      <c r="H4213">
        <v>612590864</v>
      </c>
      <c r="I4213">
        <v>584729726</v>
      </c>
      <c r="J4213">
        <v>527686933</v>
      </c>
      <c r="K4213">
        <v>512670424</v>
      </c>
      <c r="L4213">
        <v>310379279</v>
      </c>
      <c r="P4213">
        <v>150</v>
      </c>
      <c r="Q4213" t="s">
        <v>8775</v>
      </c>
    </row>
    <row r="4214" spans="1:17" x14ac:dyDescent="0.3">
      <c r="A4214" t="s">
        <v>47</v>
      </c>
      <c r="B4214" t="str">
        <f>"300963"</f>
        <v>300963</v>
      </c>
      <c r="C4214" t="s">
        <v>8776</v>
      </c>
      <c r="D4214" t="s">
        <v>2432</v>
      </c>
      <c r="E4214">
        <v>1146023479</v>
      </c>
      <c r="F4214">
        <v>759078085</v>
      </c>
      <c r="P4214">
        <v>35</v>
      </c>
      <c r="Q4214" t="s">
        <v>8777</v>
      </c>
    </row>
    <row r="4215" spans="1:17" x14ac:dyDescent="0.3">
      <c r="A4215" t="s">
        <v>47</v>
      </c>
      <c r="B4215" t="str">
        <f>"300547"</f>
        <v>300547</v>
      </c>
      <c r="C4215" t="s">
        <v>8778</v>
      </c>
      <c r="D4215" t="s">
        <v>274</v>
      </c>
      <c r="E4215">
        <v>1144764985</v>
      </c>
      <c r="F4215">
        <v>1073663140</v>
      </c>
      <c r="G4215">
        <v>1020720892</v>
      </c>
      <c r="H4215">
        <v>1015003259</v>
      </c>
      <c r="I4215">
        <v>992904040</v>
      </c>
      <c r="J4215">
        <v>880864679</v>
      </c>
      <c r="P4215">
        <v>181</v>
      </c>
      <c r="Q4215" t="s">
        <v>8779</v>
      </c>
    </row>
    <row r="4216" spans="1:17" x14ac:dyDescent="0.3">
      <c r="A4216" t="s">
        <v>17</v>
      </c>
      <c r="B4216" t="str">
        <f>"603196"</f>
        <v>603196</v>
      </c>
      <c r="C4216" t="s">
        <v>8780</v>
      </c>
      <c r="D4216" t="s">
        <v>628</v>
      </c>
      <c r="E4216">
        <v>1142623224</v>
      </c>
      <c r="F4216">
        <v>1071325734</v>
      </c>
      <c r="G4216">
        <v>1108282126</v>
      </c>
      <c r="H4216">
        <v>1197669226</v>
      </c>
      <c r="I4216">
        <v>1142697295</v>
      </c>
      <c r="J4216">
        <v>725670500</v>
      </c>
      <c r="P4216">
        <v>70</v>
      </c>
      <c r="Q4216" t="s">
        <v>8781</v>
      </c>
    </row>
    <row r="4217" spans="1:17" x14ac:dyDescent="0.3">
      <c r="A4217" t="s">
        <v>47</v>
      </c>
      <c r="B4217" t="str">
        <f>"300314"</f>
        <v>300314</v>
      </c>
      <c r="C4217" t="s">
        <v>8782</v>
      </c>
      <c r="D4217" t="s">
        <v>1083</v>
      </c>
      <c r="E4217">
        <v>1142384274</v>
      </c>
      <c r="F4217">
        <v>1047146215</v>
      </c>
      <c r="G4217">
        <v>942580057</v>
      </c>
      <c r="H4217">
        <v>873511790</v>
      </c>
      <c r="I4217">
        <v>864746940</v>
      </c>
      <c r="J4217">
        <v>838265637</v>
      </c>
      <c r="K4217">
        <v>768320375</v>
      </c>
      <c r="L4217">
        <v>728032169</v>
      </c>
      <c r="M4217">
        <v>692848833</v>
      </c>
      <c r="N4217">
        <v>658568215</v>
      </c>
      <c r="O4217">
        <v>276062855</v>
      </c>
      <c r="P4217">
        <v>196</v>
      </c>
      <c r="Q4217" t="s">
        <v>8783</v>
      </c>
    </row>
    <row r="4218" spans="1:17" x14ac:dyDescent="0.3">
      <c r="A4218" t="s">
        <v>47</v>
      </c>
      <c r="B4218" t="str">
        <f>"000819"</f>
        <v>000819</v>
      </c>
      <c r="C4218" t="s">
        <v>8784</v>
      </c>
      <c r="D4218" t="s">
        <v>615</v>
      </c>
      <c r="E4218">
        <v>1142291636</v>
      </c>
      <c r="F4218">
        <v>975921644</v>
      </c>
      <c r="G4218">
        <v>942936349</v>
      </c>
      <c r="H4218">
        <v>852792527</v>
      </c>
      <c r="I4218">
        <v>807983700</v>
      </c>
      <c r="J4218">
        <v>835326057</v>
      </c>
      <c r="K4218">
        <v>811963267</v>
      </c>
      <c r="L4218">
        <v>786637602</v>
      </c>
      <c r="M4218">
        <v>723494224</v>
      </c>
      <c r="N4218">
        <v>685387268</v>
      </c>
      <c r="O4218">
        <v>607614720</v>
      </c>
      <c r="P4218">
        <v>81</v>
      </c>
      <c r="Q4218" t="s">
        <v>8785</v>
      </c>
    </row>
    <row r="4219" spans="1:17" x14ac:dyDescent="0.3">
      <c r="A4219" t="s">
        <v>17</v>
      </c>
      <c r="B4219" t="str">
        <f>"603040"</f>
        <v>603040</v>
      </c>
      <c r="C4219" t="s">
        <v>8786</v>
      </c>
      <c r="D4219" t="s">
        <v>274</v>
      </c>
      <c r="E4219">
        <v>1141937947</v>
      </c>
      <c r="F4219">
        <v>1051456575</v>
      </c>
      <c r="G4219">
        <v>915233976</v>
      </c>
      <c r="H4219">
        <v>788274917</v>
      </c>
      <c r="I4219">
        <v>697573696</v>
      </c>
      <c r="J4219">
        <v>531331098</v>
      </c>
      <c r="P4219">
        <v>619</v>
      </c>
      <c r="Q4219" t="s">
        <v>8787</v>
      </c>
    </row>
    <row r="4220" spans="1:17" x14ac:dyDescent="0.3">
      <c r="A4220" t="s">
        <v>47</v>
      </c>
      <c r="B4220" t="str">
        <f>"301011"</f>
        <v>301011</v>
      </c>
      <c r="C4220" t="s">
        <v>8788</v>
      </c>
      <c r="D4220" t="s">
        <v>1973</v>
      </c>
      <c r="E4220">
        <v>1141247924</v>
      </c>
      <c r="F4220">
        <v>888120776</v>
      </c>
      <c r="P4220">
        <v>28</v>
      </c>
      <c r="Q4220" t="s">
        <v>8789</v>
      </c>
    </row>
    <row r="4221" spans="1:17" x14ac:dyDescent="0.3">
      <c r="A4221" t="s">
        <v>17</v>
      </c>
      <c r="B4221" t="str">
        <f>"688600"</f>
        <v>688600</v>
      </c>
      <c r="C4221" t="s">
        <v>8790</v>
      </c>
      <c r="D4221" t="s">
        <v>1347</v>
      </c>
      <c r="E4221">
        <v>1140600880</v>
      </c>
      <c r="F4221">
        <v>1037833440</v>
      </c>
      <c r="G4221">
        <v>473368359</v>
      </c>
      <c r="P4221">
        <v>62</v>
      </c>
      <c r="Q4221" t="s">
        <v>8791</v>
      </c>
    </row>
    <row r="4222" spans="1:17" x14ac:dyDescent="0.3">
      <c r="A4222" t="s">
        <v>47</v>
      </c>
      <c r="B4222" t="str">
        <f>"300991"</f>
        <v>300991</v>
      </c>
      <c r="C4222" t="s">
        <v>8792</v>
      </c>
      <c r="D4222" t="s">
        <v>1609</v>
      </c>
      <c r="E4222">
        <v>1140208961</v>
      </c>
      <c r="F4222">
        <v>776646938</v>
      </c>
      <c r="P4222">
        <v>58</v>
      </c>
      <c r="Q4222" t="s">
        <v>8793</v>
      </c>
    </row>
    <row r="4223" spans="1:17" x14ac:dyDescent="0.3">
      <c r="A4223" t="s">
        <v>47</v>
      </c>
      <c r="B4223" t="str">
        <f>"301002"</f>
        <v>301002</v>
      </c>
      <c r="C4223" t="s">
        <v>8794</v>
      </c>
      <c r="D4223" t="s">
        <v>459</v>
      </c>
      <c r="E4223">
        <v>1139151660</v>
      </c>
      <c r="F4223">
        <v>656107600</v>
      </c>
      <c r="P4223">
        <v>43</v>
      </c>
      <c r="Q4223" t="s">
        <v>8795</v>
      </c>
    </row>
    <row r="4224" spans="1:17" x14ac:dyDescent="0.3">
      <c r="A4224" t="s">
        <v>47</v>
      </c>
      <c r="B4224" t="str">
        <f>"300275"</f>
        <v>300275</v>
      </c>
      <c r="C4224" t="s">
        <v>8796</v>
      </c>
      <c r="D4224" t="s">
        <v>607</v>
      </c>
      <c r="E4224">
        <v>1138101675</v>
      </c>
      <c r="F4224">
        <v>976753693</v>
      </c>
      <c r="G4224">
        <v>738206634</v>
      </c>
      <c r="H4224">
        <v>771908033</v>
      </c>
      <c r="I4224">
        <v>992261130</v>
      </c>
      <c r="J4224">
        <v>968174097</v>
      </c>
      <c r="K4224">
        <v>864782667</v>
      </c>
      <c r="L4224">
        <v>828175077</v>
      </c>
      <c r="M4224">
        <v>756388149</v>
      </c>
      <c r="N4224">
        <v>629197408</v>
      </c>
      <c r="O4224">
        <v>555941507</v>
      </c>
      <c r="P4224">
        <v>89</v>
      </c>
      <c r="Q4224" t="s">
        <v>8797</v>
      </c>
    </row>
    <row r="4225" spans="1:17" x14ac:dyDescent="0.3">
      <c r="A4225" t="s">
        <v>47</v>
      </c>
      <c r="B4225" t="str">
        <f>"300901"</f>
        <v>300901</v>
      </c>
      <c r="C4225" t="s">
        <v>8798</v>
      </c>
      <c r="D4225" t="s">
        <v>628</v>
      </c>
      <c r="E4225">
        <v>1137588437</v>
      </c>
      <c r="F4225">
        <v>1052871411</v>
      </c>
      <c r="P4225">
        <v>45</v>
      </c>
      <c r="Q4225" t="s">
        <v>8799</v>
      </c>
    </row>
    <row r="4226" spans="1:17" x14ac:dyDescent="0.3">
      <c r="A4226" t="s">
        <v>47</v>
      </c>
      <c r="B4226" t="str">
        <f>"300414"</f>
        <v>300414</v>
      </c>
      <c r="C4226" t="s">
        <v>8800</v>
      </c>
      <c r="D4226" t="s">
        <v>4914</v>
      </c>
      <c r="E4226">
        <v>1137431104</v>
      </c>
      <c r="F4226">
        <v>1075908058</v>
      </c>
      <c r="G4226">
        <v>1022325832</v>
      </c>
      <c r="H4226">
        <v>986925017</v>
      </c>
      <c r="I4226">
        <v>951850062</v>
      </c>
      <c r="J4226">
        <v>898669912</v>
      </c>
      <c r="K4226">
        <v>819299825</v>
      </c>
      <c r="L4226">
        <v>479476865</v>
      </c>
      <c r="P4226">
        <v>219</v>
      </c>
      <c r="Q4226" t="s">
        <v>8801</v>
      </c>
    </row>
    <row r="4227" spans="1:17" x14ac:dyDescent="0.3">
      <c r="A4227" t="s">
        <v>17</v>
      </c>
      <c r="B4227" t="str">
        <f>"600083"</f>
        <v>600083</v>
      </c>
      <c r="C4227" t="s">
        <v>8802</v>
      </c>
      <c r="D4227" t="s">
        <v>810</v>
      </c>
      <c r="E4227">
        <v>1137346085</v>
      </c>
      <c r="F4227">
        <v>463678363</v>
      </c>
      <c r="G4227">
        <v>112855291</v>
      </c>
      <c r="H4227">
        <v>492019917</v>
      </c>
      <c r="I4227">
        <v>206879899</v>
      </c>
      <c r="J4227">
        <v>122545101</v>
      </c>
      <c r="K4227">
        <v>114201618</v>
      </c>
      <c r="L4227">
        <v>108534207</v>
      </c>
      <c r="M4227">
        <v>82218105</v>
      </c>
      <c r="N4227">
        <v>42757347</v>
      </c>
      <c r="O4227">
        <v>37194341</v>
      </c>
      <c r="P4227">
        <v>83</v>
      </c>
      <c r="Q4227" t="s">
        <v>8803</v>
      </c>
    </row>
    <row r="4228" spans="1:17" x14ac:dyDescent="0.3">
      <c r="A4228" t="s">
        <v>47</v>
      </c>
      <c r="B4228" t="str">
        <f>"002691"</f>
        <v>002691</v>
      </c>
      <c r="C4228" t="s">
        <v>8804</v>
      </c>
      <c r="D4228" t="s">
        <v>607</v>
      </c>
      <c r="E4228">
        <v>1137287141</v>
      </c>
      <c r="F4228">
        <v>1075129139</v>
      </c>
      <c r="G4228">
        <v>1105694527</v>
      </c>
      <c r="H4228">
        <v>1005902783</v>
      </c>
      <c r="I4228">
        <v>968524207</v>
      </c>
      <c r="J4228">
        <v>939480989</v>
      </c>
      <c r="K4228">
        <v>932692809</v>
      </c>
      <c r="L4228">
        <v>956496872</v>
      </c>
      <c r="M4228">
        <v>919709798</v>
      </c>
      <c r="N4228">
        <v>862521725</v>
      </c>
      <c r="O4228">
        <v>472201300</v>
      </c>
      <c r="P4228">
        <v>54</v>
      </c>
      <c r="Q4228" t="s">
        <v>8805</v>
      </c>
    </row>
    <row r="4229" spans="1:17" x14ac:dyDescent="0.3">
      <c r="A4229" t="s">
        <v>47</v>
      </c>
      <c r="B4229" t="str">
        <f>"002210"</f>
        <v>002210</v>
      </c>
      <c r="C4229" t="s">
        <v>8806</v>
      </c>
      <c r="D4229" t="s">
        <v>134</v>
      </c>
      <c r="E4229">
        <v>1137129039</v>
      </c>
      <c r="F4229">
        <v>1116785013</v>
      </c>
      <c r="G4229">
        <v>2590893448</v>
      </c>
      <c r="H4229">
        <v>15654920368</v>
      </c>
      <c r="I4229">
        <v>22494077367</v>
      </c>
      <c r="J4229">
        <v>20732834497</v>
      </c>
      <c r="K4229">
        <v>20692233584</v>
      </c>
      <c r="L4229">
        <v>17058941839</v>
      </c>
      <c r="M4229">
        <v>15988353135</v>
      </c>
      <c r="N4229">
        <v>11537153330</v>
      </c>
      <c r="O4229">
        <v>7900403003</v>
      </c>
      <c r="P4229">
        <v>83</v>
      </c>
      <c r="Q4229" t="s">
        <v>8807</v>
      </c>
    </row>
    <row r="4230" spans="1:17" x14ac:dyDescent="0.3">
      <c r="A4230" t="s">
        <v>47</v>
      </c>
      <c r="B4230" t="str">
        <f>"300844"</f>
        <v>300844</v>
      </c>
      <c r="C4230" t="s">
        <v>8808</v>
      </c>
      <c r="D4230" t="s">
        <v>2178</v>
      </c>
      <c r="E4230">
        <v>1136590855</v>
      </c>
      <c r="P4230">
        <v>16</v>
      </c>
      <c r="Q4230" t="s">
        <v>8809</v>
      </c>
    </row>
    <row r="4231" spans="1:17" x14ac:dyDescent="0.3">
      <c r="A4231" t="s">
        <v>47</v>
      </c>
      <c r="B4231" t="str">
        <f>"300046"</f>
        <v>300046</v>
      </c>
      <c r="C4231" t="s">
        <v>8810</v>
      </c>
      <c r="D4231" t="s">
        <v>2213</v>
      </c>
      <c r="E4231">
        <v>1135835919</v>
      </c>
      <c r="F4231">
        <v>1072724343</v>
      </c>
      <c r="G4231">
        <v>814850186</v>
      </c>
      <c r="H4231">
        <v>1067602107</v>
      </c>
      <c r="I4231">
        <v>1036560028</v>
      </c>
      <c r="J4231">
        <v>1026540082</v>
      </c>
      <c r="K4231">
        <v>840113038</v>
      </c>
      <c r="L4231">
        <v>880872377</v>
      </c>
      <c r="M4231">
        <v>914138501</v>
      </c>
      <c r="N4231">
        <v>927190470</v>
      </c>
      <c r="O4231">
        <v>970260979</v>
      </c>
      <c r="P4231">
        <v>225</v>
      </c>
      <c r="Q4231" t="s">
        <v>8811</v>
      </c>
    </row>
    <row r="4232" spans="1:17" x14ac:dyDescent="0.3">
      <c r="A4232" t="s">
        <v>17</v>
      </c>
      <c r="B4232" t="str">
        <f>"688595"</f>
        <v>688595</v>
      </c>
      <c r="C4232" t="s">
        <v>8812</v>
      </c>
      <c r="D4232" t="s">
        <v>2795</v>
      </c>
      <c r="E4232">
        <v>1134365344</v>
      </c>
      <c r="F4232">
        <v>977541487</v>
      </c>
      <c r="G4232">
        <v>418896428</v>
      </c>
      <c r="P4232">
        <v>128</v>
      </c>
      <c r="Q4232" t="s">
        <v>8813</v>
      </c>
    </row>
    <row r="4233" spans="1:17" x14ac:dyDescent="0.3">
      <c r="A4233" t="s">
        <v>17</v>
      </c>
      <c r="B4233" t="str">
        <f>"603088"</f>
        <v>603088</v>
      </c>
      <c r="C4233" t="s">
        <v>8814</v>
      </c>
      <c r="D4233" t="s">
        <v>3186</v>
      </c>
      <c r="E4233">
        <v>1133678727</v>
      </c>
      <c r="F4233">
        <v>943498065</v>
      </c>
      <c r="G4233">
        <v>865393563</v>
      </c>
      <c r="H4233">
        <v>781303896</v>
      </c>
      <c r="I4233">
        <v>768733111</v>
      </c>
      <c r="J4233">
        <v>687383783</v>
      </c>
      <c r="K4233">
        <v>582752002</v>
      </c>
      <c r="L4233">
        <v>579974927</v>
      </c>
      <c r="P4233">
        <v>106</v>
      </c>
      <c r="Q4233" t="s">
        <v>8815</v>
      </c>
    </row>
    <row r="4234" spans="1:17" x14ac:dyDescent="0.3">
      <c r="A4234" t="s">
        <v>17</v>
      </c>
      <c r="B4234" t="str">
        <f>"688597"</f>
        <v>688597</v>
      </c>
      <c r="C4234" t="s">
        <v>8816</v>
      </c>
      <c r="D4234" t="s">
        <v>2197</v>
      </c>
      <c r="E4234">
        <v>1132441116</v>
      </c>
      <c r="F4234">
        <v>848035100</v>
      </c>
      <c r="G4234">
        <v>797521102</v>
      </c>
      <c r="P4234">
        <v>17</v>
      </c>
      <c r="Q4234" t="s">
        <v>8817</v>
      </c>
    </row>
    <row r="4235" spans="1:17" x14ac:dyDescent="0.3">
      <c r="A4235" t="s">
        <v>17</v>
      </c>
      <c r="B4235" t="str">
        <f>"603041"</f>
        <v>603041</v>
      </c>
      <c r="C4235" t="s">
        <v>8818</v>
      </c>
      <c r="D4235" t="s">
        <v>334</v>
      </c>
      <c r="E4235">
        <v>1130670656</v>
      </c>
      <c r="F4235">
        <v>1032854992</v>
      </c>
      <c r="G4235">
        <v>909103575</v>
      </c>
      <c r="H4235">
        <v>822994111</v>
      </c>
      <c r="I4235">
        <v>795273962</v>
      </c>
      <c r="J4235">
        <v>752716386</v>
      </c>
      <c r="P4235">
        <v>98</v>
      </c>
      <c r="Q4235" t="s">
        <v>8819</v>
      </c>
    </row>
    <row r="4236" spans="1:17" x14ac:dyDescent="0.3">
      <c r="A4236" t="s">
        <v>47</v>
      </c>
      <c r="B4236" t="str">
        <f>"002835"</f>
        <v>002835</v>
      </c>
      <c r="C4236" t="s">
        <v>8820</v>
      </c>
      <c r="D4236" t="s">
        <v>523</v>
      </c>
      <c r="E4236">
        <v>1128553020</v>
      </c>
      <c r="F4236">
        <v>1101306388</v>
      </c>
      <c r="G4236">
        <v>875633102</v>
      </c>
      <c r="H4236">
        <v>795733098</v>
      </c>
      <c r="I4236">
        <v>732475617</v>
      </c>
      <c r="J4236">
        <v>776689447</v>
      </c>
      <c r="P4236">
        <v>94</v>
      </c>
      <c r="Q4236" t="s">
        <v>8821</v>
      </c>
    </row>
    <row r="4237" spans="1:17" x14ac:dyDescent="0.3">
      <c r="A4237" t="s">
        <v>47</v>
      </c>
      <c r="B4237" t="str">
        <f>"301187"</f>
        <v>301187</v>
      </c>
      <c r="C4237" t="s">
        <v>8822</v>
      </c>
      <c r="E4237">
        <v>1127830797</v>
      </c>
      <c r="G4237">
        <v>547294743</v>
      </c>
      <c r="P4237">
        <v>1</v>
      </c>
      <c r="Q4237" t="s">
        <v>8823</v>
      </c>
    </row>
    <row r="4238" spans="1:17" x14ac:dyDescent="0.3">
      <c r="A4238" t="s">
        <v>17</v>
      </c>
      <c r="B4238" t="str">
        <f>"603949"</f>
        <v>603949</v>
      </c>
      <c r="C4238" t="s">
        <v>8824</v>
      </c>
      <c r="D4238" t="s">
        <v>274</v>
      </c>
      <c r="E4238">
        <v>1127758314</v>
      </c>
      <c r="F4238">
        <v>1092578584</v>
      </c>
      <c r="G4238">
        <v>954440978</v>
      </c>
      <c r="P4238">
        <v>158</v>
      </c>
      <c r="Q4238" t="s">
        <v>8825</v>
      </c>
    </row>
    <row r="4239" spans="1:17" x14ac:dyDescent="0.3">
      <c r="A4239" t="s">
        <v>17</v>
      </c>
      <c r="B4239" t="str">
        <f>"688320"</f>
        <v>688320</v>
      </c>
      <c r="C4239" t="s">
        <v>8826</v>
      </c>
      <c r="E4239">
        <v>1127064278</v>
      </c>
      <c r="P4239">
        <v>1</v>
      </c>
      <c r="Q4239" t="s">
        <v>8827</v>
      </c>
    </row>
    <row r="4240" spans="1:17" x14ac:dyDescent="0.3">
      <c r="A4240" t="s">
        <v>47</v>
      </c>
      <c r="B4240" t="str">
        <f>"002820"</f>
        <v>002820</v>
      </c>
      <c r="C4240" t="s">
        <v>8828</v>
      </c>
      <c r="D4240" t="s">
        <v>3790</v>
      </c>
      <c r="E4240">
        <v>1126920595</v>
      </c>
      <c r="F4240">
        <v>1187662687</v>
      </c>
      <c r="G4240">
        <v>1136672933</v>
      </c>
      <c r="H4240">
        <v>1132373888</v>
      </c>
      <c r="I4240">
        <v>1115788020</v>
      </c>
      <c r="J4240">
        <v>1069800119</v>
      </c>
      <c r="P4240">
        <v>146</v>
      </c>
      <c r="Q4240" t="s">
        <v>8829</v>
      </c>
    </row>
    <row r="4241" spans="1:17" x14ac:dyDescent="0.3">
      <c r="A4241" t="s">
        <v>47</v>
      </c>
      <c r="B4241" t="str">
        <f>"301135"</f>
        <v>301135</v>
      </c>
      <c r="C4241" t="s">
        <v>8830</v>
      </c>
      <c r="E4241">
        <v>1125815672</v>
      </c>
      <c r="P4241">
        <v>1</v>
      </c>
      <c r="Q4241" t="s">
        <v>8831</v>
      </c>
    </row>
    <row r="4242" spans="1:17" x14ac:dyDescent="0.3">
      <c r="A4242" t="s">
        <v>47</v>
      </c>
      <c r="B4242" t="str">
        <f>"300076"</f>
        <v>300076</v>
      </c>
      <c r="C4242" t="s">
        <v>8832</v>
      </c>
      <c r="D4242" t="s">
        <v>181</v>
      </c>
      <c r="E4242">
        <v>1120268507</v>
      </c>
      <c r="F4242">
        <v>1101970505</v>
      </c>
      <c r="G4242">
        <v>1101283732</v>
      </c>
      <c r="H4242">
        <v>1086855740</v>
      </c>
      <c r="I4242">
        <v>1112612369</v>
      </c>
      <c r="J4242">
        <v>1096668559</v>
      </c>
      <c r="K4242">
        <v>1107697239</v>
      </c>
      <c r="L4242">
        <v>1224496095</v>
      </c>
      <c r="M4242">
        <v>1168334836</v>
      </c>
      <c r="N4242">
        <v>1165064116</v>
      </c>
      <c r="O4242">
        <v>1143118709</v>
      </c>
      <c r="P4242">
        <v>93</v>
      </c>
      <c r="Q4242" t="s">
        <v>8833</v>
      </c>
    </row>
    <row r="4243" spans="1:17" x14ac:dyDescent="0.3">
      <c r="A4243" t="s">
        <v>47</v>
      </c>
      <c r="B4243" t="str">
        <f>"002655"</f>
        <v>002655</v>
      </c>
      <c r="C4243" t="s">
        <v>8834</v>
      </c>
      <c r="D4243" t="s">
        <v>283</v>
      </c>
      <c r="E4243">
        <v>1120032982</v>
      </c>
      <c r="F4243">
        <v>1184581884</v>
      </c>
      <c r="G4243">
        <v>1133022356</v>
      </c>
      <c r="H4243">
        <v>1105077088</v>
      </c>
      <c r="I4243">
        <v>1033821519</v>
      </c>
      <c r="J4243">
        <v>1211260346</v>
      </c>
      <c r="K4243">
        <v>1158349834</v>
      </c>
      <c r="L4243">
        <v>1002746636</v>
      </c>
      <c r="M4243">
        <v>926665968</v>
      </c>
      <c r="N4243">
        <v>928933474</v>
      </c>
      <c r="O4243">
        <v>792978955</v>
      </c>
      <c r="P4243">
        <v>230</v>
      </c>
      <c r="Q4243" t="s">
        <v>8835</v>
      </c>
    </row>
    <row r="4244" spans="1:17" x14ac:dyDescent="0.3">
      <c r="A4244" t="s">
        <v>47</v>
      </c>
      <c r="B4244" t="str">
        <f>"301226"</f>
        <v>301226</v>
      </c>
      <c r="C4244" t="s">
        <v>8836</v>
      </c>
      <c r="E4244">
        <v>1119079802</v>
      </c>
      <c r="P4244">
        <v>4</v>
      </c>
      <c r="Q4244" t="s">
        <v>8837</v>
      </c>
    </row>
    <row r="4245" spans="1:17" x14ac:dyDescent="0.3">
      <c r="A4245" t="s">
        <v>47</v>
      </c>
      <c r="B4245" t="str">
        <f>"300943"</f>
        <v>300943</v>
      </c>
      <c r="C4245" t="s">
        <v>8838</v>
      </c>
      <c r="D4245" t="s">
        <v>401</v>
      </c>
      <c r="E4245">
        <v>1118800790</v>
      </c>
      <c r="F4245">
        <v>1032197493</v>
      </c>
      <c r="H4245">
        <v>626616907</v>
      </c>
      <c r="I4245">
        <v>624231507</v>
      </c>
      <c r="P4245">
        <v>35</v>
      </c>
      <c r="Q4245" t="s">
        <v>8839</v>
      </c>
    </row>
    <row r="4246" spans="1:17" x14ac:dyDescent="0.3">
      <c r="A4246" t="s">
        <v>17</v>
      </c>
      <c r="B4246" t="str">
        <f>"603099"</f>
        <v>603099</v>
      </c>
      <c r="C4246" t="s">
        <v>8840</v>
      </c>
      <c r="D4246" t="s">
        <v>4410</v>
      </c>
      <c r="E4246">
        <v>1118111418</v>
      </c>
      <c r="F4246">
        <v>1163834990</v>
      </c>
      <c r="G4246">
        <v>1266086547</v>
      </c>
      <c r="H4246">
        <v>1233918686</v>
      </c>
      <c r="I4246">
        <v>1124775076</v>
      </c>
      <c r="J4246">
        <v>1040263091</v>
      </c>
      <c r="K4246">
        <v>895030062</v>
      </c>
      <c r="L4246">
        <v>828913478</v>
      </c>
      <c r="M4246">
        <v>462877700</v>
      </c>
      <c r="P4246">
        <v>97</v>
      </c>
      <c r="Q4246" t="s">
        <v>8841</v>
      </c>
    </row>
    <row r="4247" spans="1:17" x14ac:dyDescent="0.3">
      <c r="A4247" t="s">
        <v>17</v>
      </c>
      <c r="B4247" t="str">
        <f>"600698"</f>
        <v>600698</v>
      </c>
      <c r="C4247" t="s">
        <v>8842</v>
      </c>
      <c r="D4247" t="s">
        <v>274</v>
      </c>
      <c r="E4247">
        <v>1118038717</v>
      </c>
      <c r="F4247">
        <v>1239274331</v>
      </c>
      <c r="G4247">
        <v>1241277343</v>
      </c>
      <c r="H4247">
        <v>1160829491</v>
      </c>
      <c r="I4247">
        <v>1292060769</v>
      </c>
      <c r="J4247">
        <v>1434258463</v>
      </c>
      <c r="K4247">
        <v>1101224225</v>
      </c>
      <c r="L4247">
        <v>1088239139</v>
      </c>
      <c r="M4247">
        <v>1059036712</v>
      </c>
      <c r="N4247">
        <v>1012997579</v>
      </c>
      <c r="O4247">
        <v>1063359502</v>
      </c>
      <c r="P4247">
        <v>93</v>
      </c>
      <c r="Q4247" t="s">
        <v>8843</v>
      </c>
    </row>
    <row r="4248" spans="1:17" x14ac:dyDescent="0.3">
      <c r="A4248" t="s">
        <v>47</v>
      </c>
      <c r="B4248" t="str">
        <f>"002476"</f>
        <v>002476</v>
      </c>
      <c r="C4248" t="s">
        <v>8844</v>
      </c>
      <c r="D4248" t="s">
        <v>615</v>
      </c>
      <c r="E4248">
        <v>1117475814</v>
      </c>
      <c r="F4248">
        <v>1006374482</v>
      </c>
      <c r="G4248">
        <v>1065024756</v>
      </c>
      <c r="H4248">
        <v>1039964688</v>
      </c>
      <c r="I4248">
        <v>1230107438</v>
      </c>
      <c r="J4248">
        <v>1374088919</v>
      </c>
      <c r="K4248">
        <v>1627867095</v>
      </c>
      <c r="L4248">
        <v>1369498635</v>
      </c>
      <c r="M4248">
        <v>1125289278</v>
      </c>
      <c r="N4248">
        <v>1075113783</v>
      </c>
      <c r="O4248">
        <v>1012383275</v>
      </c>
      <c r="P4248">
        <v>85</v>
      </c>
      <c r="Q4248" t="s">
        <v>8845</v>
      </c>
    </row>
    <row r="4249" spans="1:17" x14ac:dyDescent="0.3">
      <c r="A4249" t="s">
        <v>47</v>
      </c>
      <c r="B4249" t="str">
        <f>"300893"</f>
        <v>300893</v>
      </c>
      <c r="C4249" t="s">
        <v>8846</v>
      </c>
      <c r="D4249" t="s">
        <v>1815</v>
      </c>
      <c r="E4249">
        <v>1117272031</v>
      </c>
      <c r="F4249">
        <v>932017961</v>
      </c>
      <c r="G4249">
        <v>517919866</v>
      </c>
      <c r="P4249">
        <v>48</v>
      </c>
      <c r="Q4249" t="s">
        <v>8847</v>
      </c>
    </row>
    <row r="4250" spans="1:17" x14ac:dyDescent="0.3">
      <c r="A4250" t="s">
        <v>17</v>
      </c>
      <c r="B4250" t="str">
        <f>"605298"</f>
        <v>605298</v>
      </c>
      <c r="C4250" t="s">
        <v>8848</v>
      </c>
      <c r="D4250" t="s">
        <v>193</v>
      </c>
      <c r="E4250">
        <v>1116652445</v>
      </c>
      <c r="F4250">
        <v>1021508220</v>
      </c>
      <c r="P4250">
        <v>46</v>
      </c>
      <c r="Q4250" t="s">
        <v>8849</v>
      </c>
    </row>
    <row r="4251" spans="1:17" x14ac:dyDescent="0.3">
      <c r="A4251" t="s">
        <v>47</v>
      </c>
      <c r="B4251" t="str">
        <f>"300948"</f>
        <v>300948</v>
      </c>
      <c r="C4251" t="s">
        <v>8850</v>
      </c>
      <c r="D4251" t="s">
        <v>952</v>
      </c>
      <c r="E4251">
        <v>1115160425</v>
      </c>
      <c r="F4251">
        <v>925445705</v>
      </c>
      <c r="P4251">
        <v>38</v>
      </c>
      <c r="Q4251" t="s">
        <v>8851</v>
      </c>
    </row>
    <row r="4252" spans="1:17" x14ac:dyDescent="0.3">
      <c r="A4252" t="s">
        <v>17</v>
      </c>
      <c r="B4252" t="str">
        <f>"688038"</f>
        <v>688038</v>
      </c>
      <c r="C4252" t="s">
        <v>8852</v>
      </c>
      <c r="D4252" t="s">
        <v>1859</v>
      </c>
      <c r="E4252">
        <v>1111225945</v>
      </c>
      <c r="F4252">
        <v>999761469</v>
      </c>
      <c r="G4252">
        <v>914515897</v>
      </c>
      <c r="P4252">
        <v>17</v>
      </c>
      <c r="Q4252" t="s">
        <v>8853</v>
      </c>
    </row>
    <row r="4253" spans="1:17" x14ac:dyDescent="0.3">
      <c r="A4253" t="s">
        <v>17</v>
      </c>
      <c r="B4253" t="str">
        <f>"688305"</f>
        <v>688305</v>
      </c>
      <c r="C4253" t="s">
        <v>8854</v>
      </c>
      <c r="D4253" t="s">
        <v>3186</v>
      </c>
      <c r="E4253">
        <v>1110646973</v>
      </c>
      <c r="F4253">
        <v>702496722</v>
      </c>
      <c r="P4253">
        <v>79</v>
      </c>
      <c r="Q4253" t="s">
        <v>8855</v>
      </c>
    </row>
    <row r="4254" spans="1:17" x14ac:dyDescent="0.3">
      <c r="A4254" t="s">
        <v>47</v>
      </c>
      <c r="B4254" t="str">
        <f>"300882"</f>
        <v>300882</v>
      </c>
      <c r="C4254" t="s">
        <v>8856</v>
      </c>
      <c r="D4254" t="s">
        <v>2197</v>
      </c>
      <c r="E4254">
        <v>1110395885</v>
      </c>
      <c r="F4254">
        <v>1036350093</v>
      </c>
      <c r="P4254">
        <v>41</v>
      </c>
      <c r="Q4254" t="s">
        <v>8857</v>
      </c>
    </row>
    <row r="4255" spans="1:17" x14ac:dyDescent="0.3">
      <c r="A4255" t="s">
        <v>47</v>
      </c>
      <c r="B4255" t="str">
        <f>"301076"</f>
        <v>301076</v>
      </c>
      <c r="C4255" t="s">
        <v>8858</v>
      </c>
      <c r="D4255" t="s">
        <v>710</v>
      </c>
      <c r="E4255">
        <v>1109844833</v>
      </c>
      <c r="P4255">
        <v>20</v>
      </c>
      <c r="Q4255" t="s">
        <v>8859</v>
      </c>
    </row>
    <row r="4256" spans="1:17" x14ac:dyDescent="0.3">
      <c r="A4256" t="s">
        <v>47</v>
      </c>
      <c r="B4256" t="str">
        <f>"300238"</f>
        <v>300238</v>
      </c>
      <c r="C4256" t="s">
        <v>8860</v>
      </c>
      <c r="D4256" t="s">
        <v>1650</v>
      </c>
      <c r="E4256">
        <v>1108065687</v>
      </c>
      <c r="F4256">
        <v>1121378541</v>
      </c>
      <c r="G4256">
        <v>1173735981</v>
      </c>
      <c r="H4256">
        <v>1618327398</v>
      </c>
      <c r="I4256">
        <v>1661387635</v>
      </c>
      <c r="J4256">
        <v>1609684665</v>
      </c>
      <c r="K4256">
        <v>820357877</v>
      </c>
      <c r="L4256">
        <v>655106102</v>
      </c>
      <c r="M4256">
        <v>574861859</v>
      </c>
      <c r="N4256">
        <v>537814484</v>
      </c>
      <c r="O4256">
        <v>524380936</v>
      </c>
      <c r="P4256">
        <v>195</v>
      </c>
      <c r="Q4256" t="s">
        <v>8861</v>
      </c>
    </row>
    <row r="4257" spans="1:17" x14ac:dyDescent="0.3">
      <c r="A4257" t="s">
        <v>47</v>
      </c>
      <c r="B4257" t="str">
        <f>"300989"</f>
        <v>300989</v>
      </c>
      <c r="C4257" t="s">
        <v>8862</v>
      </c>
      <c r="D4257" t="s">
        <v>2178</v>
      </c>
      <c r="E4257">
        <v>1107692372</v>
      </c>
      <c r="F4257">
        <v>296964043</v>
      </c>
      <c r="P4257">
        <v>32</v>
      </c>
      <c r="Q4257" t="s">
        <v>8863</v>
      </c>
    </row>
    <row r="4258" spans="1:17" x14ac:dyDescent="0.3">
      <c r="A4258" t="s">
        <v>47</v>
      </c>
      <c r="B4258" t="str">
        <f>"000503"</f>
        <v>000503</v>
      </c>
      <c r="C4258" t="s">
        <v>8864</v>
      </c>
      <c r="D4258" t="s">
        <v>1859</v>
      </c>
      <c r="E4258">
        <v>1106807386</v>
      </c>
      <c r="F4258">
        <v>1222606635</v>
      </c>
      <c r="G4258">
        <v>1236447376</v>
      </c>
      <c r="H4258">
        <v>1198034503</v>
      </c>
      <c r="I4258">
        <v>1361621219</v>
      </c>
      <c r="J4258">
        <v>1431162182</v>
      </c>
      <c r="K4258">
        <v>1439558799</v>
      </c>
      <c r="L4258">
        <v>1394820886</v>
      </c>
      <c r="M4258">
        <v>1417157442</v>
      </c>
      <c r="N4258">
        <v>1440111462</v>
      </c>
      <c r="O4258">
        <v>1416310030</v>
      </c>
      <c r="P4258">
        <v>174</v>
      </c>
      <c r="Q4258" t="s">
        <v>8865</v>
      </c>
    </row>
    <row r="4259" spans="1:17" x14ac:dyDescent="0.3">
      <c r="A4259" t="s">
        <v>47</v>
      </c>
      <c r="B4259" t="str">
        <f>"300810"</f>
        <v>300810</v>
      </c>
      <c r="C4259" t="s">
        <v>8866</v>
      </c>
      <c r="D4259" t="s">
        <v>351</v>
      </c>
      <c r="E4259">
        <v>1106380538</v>
      </c>
      <c r="F4259">
        <v>1110155027</v>
      </c>
      <c r="G4259">
        <v>1070278174</v>
      </c>
      <c r="P4259">
        <v>57</v>
      </c>
      <c r="Q4259" t="s">
        <v>8867</v>
      </c>
    </row>
    <row r="4260" spans="1:17" x14ac:dyDescent="0.3">
      <c r="A4260" t="s">
        <v>47</v>
      </c>
      <c r="B4260" t="str">
        <f>"301167"</f>
        <v>301167</v>
      </c>
      <c r="C4260" t="s">
        <v>8868</v>
      </c>
      <c r="D4260" t="s">
        <v>2178</v>
      </c>
      <c r="E4260">
        <v>1105268405</v>
      </c>
      <c r="P4260">
        <v>17</v>
      </c>
      <c r="Q4260" t="s">
        <v>8869</v>
      </c>
    </row>
    <row r="4261" spans="1:17" x14ac:dyDescent="0.3">
      <c r="A4261" t="s">
        <v>47</v>
      </c>
      <c r="B4261" t="str">
        <f>"000677"</f>
        <v>000677</v>
      </c>
      <c r="C4261" t="s">
        <v>8870</v>
      </c>
      <c r="D4261" t="s">
        <v>1438</v>
      </c>
      <c r="E4261">
        <v>1104056449</v>
      </c>
      <c r="F4261">
        <v>874603872</v>
      </c>
      <c r="G4261">
        <v>861701671</v>
      </c>
      <c r="H4261">
        <v>887126820</v>
      </c>
      <c r="I4261">
        <v>860278932</v>
      </c>
      <c r="J4261">
        <v>834983354</v>
      </c>
      <c r="K4261">
        <v>834890387</v>
      </c>
      <c r="L4261">
        <v>3006590571</v>
      </c>
      <c r="M4261">
        <v>3015421887</v>
      </c>
      <c r="N4261">
        <v>4327787783</v>
      </c>
      <c r="O4261">
        <v>5419171866</v>
      </c>
      <c r="P4261">
        <v>80</v>
      </c>
      <c r="Q4261" t="s">
        <v>8871</v>
      </c>
    </row>
    <row r="4262" spans="1:17" x14ac:dyDescent="0.3">
      <c r="A4262" t="s">
        <v>47</v>
      </c>
      <c r="B4262" t="str">
        <f>"003000"</f>
        <v>003000</v>
      </c>
      <c r="C4262" t="s">
        <v>8872</v>
      </c>
      <c r="D4262" t="s">
        <v>3331</v>
      </c>
      <c r="E4262">
        <v>1100912383</v>
      </c>
      <c r="F4262">
        <v>1003578681</v>
      </c>
      <c r="P4262">
        <v>84</v>
      </c>
      <c r="Q4262" t="s">
        <v>8873</v>
      </c>
    </row>
    <row r="4263" spans="1:17" x14ac:dyDescent="0.3">
      <c r="A4263" t="s">
        <v>47</v>
      </c>
      <c r="B4263" t="str">
        <f>"301016"</f>
        <v>301016</v>
      </c>
      <c r="C4263" t="s">
        <v>8874</v>
      </c>
      <c r="D4263" t="s">
        <v>193</v>
      </c>
      <c r="E4263">
        <v>1100895196</v>
      </c>
      <c r="F4263">
        <v>681584441</v>
      </c>
      <c r="P4263">
        <v>35</v>
      </c>
      <c r="Q4263" t="s">
        <v>8875</v>
      </c>
    </row>
    <row r="4264" spans="1:17" x14ac:dyDescent="0.3">
      <c r="A4264" t="s">
        <v>47</v>
      </c>
      <c r="B4264" t="str">
        <f>"301068"</f>
        <v>301068</v>
      </c>
      <c r="C4264" t="s">
        <v>8876</v>
      </c>
      <c r="D4264" t="s">
        <v>1310</v>
      </c>
      <c r="E4264">
        <v>1100211457</v>
      </c>
      <c r="P4264">
        <v>14</v>
      </c>
      <c r="Q4264" t="s">
        <v>8877</v>
      </c>
    </row>
    <row r="4265" spans="1:17" x14ac:dyDescent="0.3">
      <c r="A4265" t="s">
        <v>47</v>
      </c>
      <c r="B4265" t="str">
        <f>"300897"</f>
        <v>300897</v>
      </c>
      <c r="C4265" t="s">
        <v>8878</v>
      </c>
      <c r="D4265" t="s">
        <v>3722</v>
      </c>
      <c r="E4265">
        <v>1099563540</v>
      </c>
      <c r="F4265">
        <v>973628141</v>
      </c>
      <c r="P4265">
        <v>50</v>
      </c>
      <c r="Q4265" t="s">
        <v>8879</v>
      </c>
    </row>
    <row r="4266" spans="1:17" x14ac:dyDescent="0.3">
      <c r="A4266" t="s">
        <v>47</v>
      </c>
      <c r="B4266" t="str">
        <f>"300514"</f>
        <v>300514</v>
      </c>
      <c r="C4266" t="s">
        <v>8880</v>
      </c>
      <c r="D4266" t="s">
        <v>2197</v>
      </c>
      <c r="E4266">
        <v>1099546657</v>
      </c>
      <c r="F4266">
        <v>968585309</v>
      </c>
      <c r="G4266">
        <v>1063178309</v>
      </c>
      <c r="H4266">
        <v>866001692</v>
      </c>
      <c r="I4266">
        <v>723387599</v>
      </c>
      <c r="J4266">
        <v>461007441</v>
      </c>
      <c r="P4266">
        <v>148</v>
      </c>
      <c r="Q4266" t="s">
        <v>8881</v>
      </c>
    </row>
    <row r="4267" spans="1:17" x14ac:dyDescent="0.3">
      <c r="A4267" t="s">
        <v>47</v>
      </c>
      <c r="B4267" t="str">
        <f>"301021"</f>
        <v>301021</v>
      </c>
      <c r="C4267" t="s">
        <v>8882</v>
      </c>
      <c r="D4267" t="s">
        <v>1296</v>
      </c>
      <c r="E4267">
        <v>1098994866</v>
      </c>
      <c r="F4267">
        <v>769585511</v>
      </c>
      <c r="P4267">
        <v>35</v>
      </c>
      <c r="Q4267" t="s">
        <v>8883</v>
      </c>
    </row>
    <row r="4268" spans="1:17" x14ac:dyDescent="0.3">
      <c r="A4268" t="s">
        <v>17</v>
      </c>
      <c r="B4268" t="str">
        <f>"688659"</f>
        <v>688659</v>
      </c>
      <c r="C4268" t="s">
        <v>8884</v>
      </c>
      <c r="D4268" t="s">
        <v>710</v>
      </c>
      <c r="E4268">
        <v>1098562830</v>
      </c>
      <c r="F4268">
        <v>936341229</v>
      </c>
      <c r="P4268">
        <v>40</v>
      </c>
      <c r="Q4268" t="s">
        <v>8885</v>
      </c>
    </row>
    <row r="4269" spans="1:17" x14ac:dyDescent="0.3">
      <c r="A4269" t="s">
        <v>17</v>
      </c>
      <c r="B4269" t="str">
        <f>"603138"</f>
        <v>603138</v>
      </c>
      <c r="C4269" t="s">
        <v>8886</v>
      </c>
      <c r="D4269" t="s">
        <v>700</v>
      </c>
      <c r="E4269">
        <v>1095339263</v>
      </c>
      <c r="F4269">
        <v>711166141</v>
      </c>
      <c r="G4269">
        <v>656850112</v>
      </c>
      <c r="H4269">
        <v>626170739</v>
      </c>
      <c r="I4269">
        <v>600376606</v>
      </c>
      <c r="J4269">
        <v>518152653</v>
      </c>
      <c r="P4269">
        <v>147</v>
      </c>
      <c r="Q4269" t="s">
        <v>8887</v>
      </c>
    </row>
    <row r="4270" spans="1:17" x14ac:dyDescent="0.3">
      <c r="A4270" t="s">
        <v>47</v>
      </c>
      <c r="B4270" t="str">
        <f>"002952"</f>
        <v>002952</v>
      </c>
      <c r="C4270" t="s">
        <v>8888</v>
      </c>
      <c r="D4270" t="s">
        <v>181</v>
      </c>
      <c r="E4270">
        <v>1094387121</v>
      </c>
      <c r="F4270">
        <v>1023651039</v>
      </c>
      <c r="G4270">
        <v>928030756</v>
      </c>
      <c r="H4270">
        <v>932874164</v>
      </c>
      <c r="J4270">
        <v>362242138</v>
      </c>
      <c r="P4270">
        <v>79</v>
      </c>
      <c r="Q4270" t="s">
        <v>8889</v>
      </c>
    </row>
    <row r="4271" spans="1:17" x14ac:dyDescent="0.3">
      <c r="A4271" t="s">
        <v>17</v>
      </c>
      <c r="B4271" t="str">
        <f>"603500"</f>
        <v>603500</v>
      </c>
      <c r="C4271" t="s">
        <v>8890</v>
      </c>
      <c r="D4271" t="s">
        <v>193</v>
      </c>
      <c r="E4271">
        <v>1094004830</v>
      </c>
      <c r="F4271">
        <v>1035929124</v>
      </c>
      <c r="G4271">
        <v>932318277</v>
      </c>
      <c r="H4271">
        <v>930008768</v>
      </c>
      <c r="I4271">
        <v>857283720</v>
      </c>
      <c r="P4271">
        <v>91</v>
      </c>
      <c r="Q4271" t="s">
        <v>8891</v>
      </c>
    </row>
    <row r="4272" spans="1:17" x14ac:dyDescent="0.3">
      <c r="A4272" t="s">
        <v>47</v>
      </c>
      <c r="B4272" t="str">
        <f>"200468"</f>
        <v>200468</v>
      </c>
      <c r="C4272" t="s">
        <v>8892</v>
      </c>
      <c r="E4272">
        <v>1093408205.6919999</v>
      </c>
      <c r="F4272">
        <v>1292626598.0395</v>
      </c>
      <c r="G4272">
        <v>1606689657.2739</v>
      </c>
      <c r="H4272">
        <v>2140257910.1517</v>
      </c>
      <c r="I4272">
        <v>2327927248.5799999</v>
      </c>
      <c r="J4272">
        <v>2558413489.9744</v>
      </c>
      <c r="K4272">
        <v>2367228355.7863998</v>
      </c>
      <c r="L4272">
        <v>2567502176.25</v>
      </c>
      <c r="M4272">
        <v>2610409122.6971998</v>
      </c>
      <c r="N4272">
        <v>2570184687.1427999</v>
      </c>
      <c r="O4272">
        <v>2617919056.9619999</v>
      </c>
      <c r="P4272">
        <v>4</v>
      </c>
      <c r="Q4272" t="s">
        <v>8893</v>
      </c>
    </row>
    <row r="4273" spans="1:17" x14ac:dyDescent="0.3">
      <c r="A4273" t="s">
        <v>47</v>
      </c>
      <c r="B4273" t="str">
        <f>"300913"</f>
        <v>300913</v>
      </c>
      <c r="C4273" t="s">
        <v>8894</v>
      </c>
      <c r="D4273" t="s">
        <v>828</v>
      </c>
      <c r="E4273">
        <v>1093255666</v>
      </c>
      <c r="F4273">
        <v>969610408</v>
      </c>
      <c r="H4273">
        <v>537253244</v>
      </c>
      <c r="P4273">
        <v>33</v>
      </c>
      <c r="Q4273" t="s">
        <v>8895</v>
      </c>
    </row>
    <row r="4274" spans="1:17" x14ac:dyDescent="0.3">
      <c r="A4274" t="s">
        <v>47</v>
      </c>
      <c r="B4274" t="str">
        <f>"002656"</f>
        <v>002656</v>
      </c>
      <c r="C4274" t="s">
        <v>8896</v>
      </c>
      <c r="D4274" t="s">
        <v>628</v>
      </c>
      <c r="E4274">
        <v>1092820929</v>
      </c>
      <c r="F4274">
        <v>1231646594</v>
      </c>
      <c r="G4274">
        <v>1946740735</v>
      </c>
      <c r="H4274">
        <v>3253668340</v>
      </c>
      <c r="I4274">
        <v>3390251793</v>
      </c>
      <c r="J4274">
        <v>2806890062</v>
      </c>
      <c r="K4274">
        <v>2818391542</v>
      </c>
      <c r="L4274">
        <v>2184996798</v>
      </c>
      <c r="M4274">
        <v>2107387801</v>
      </c>
      <c r="N4274">
        <v>1619214555</v>
      </c>
      <c r="O4274">
        <v>1225652079</v>
      </c>
      <c r="P4274">
        <v>62</v>
      </c>
      <c r="Q4274" t="s">
        <v>8897</v>
      </c>
    </row>
    <row r="4275" spans="1:17" x14ac:dyDescent="0.3">
      <c r="A4275" t="s">
        <v>47</v>
      </c>
      <c r="B4275" t="str">
        <f>"300537"</f>
        <v>300537</v>
      </c>
      <c r="C4275" t="s">
        <v>8898</v>
      </c>
      <c r="D4275" t="s">
        <v>3050</v>
      </c>
      <c r="E4275">
        <v>1091918190</v>
      </c>
      <c r="F4275">
        <v>1503297007</v>
      </c>
      <c r="G4275">
        <v>1887687752</v>
      </c>
      <c r="H4275">
        <v>1917380242</v>
      </c>
      <c r="I4275">
        <v>1564998154</v>
      </c>
      <c r="J4275">
        <v>586249264</v>
      </c>
      <c r="K4275">
        <v>343493799</v>
      </c>
      <c r="P4275">
        <v>225</v>
      </c>
      <c r="Q4275" t="s">
        <v>8899</v>
      </c>
    </row>
    <row r="4276" spans="1:17" x14ac:dyDescent="0.3">
      <c r="A4276" t="s">
        <v>47</v>
      </c>
      <c r="B4276" t="str">
        <f>"300700"</f>
        <v>300700</v>
      </c>
      <c r="C4276" t="s">
        <v>8900</v>
      </c>
      <c r="D4276" t="s">
        <v>2646</v>
      </c>
      <c r="E4276">
        <v>1091163568</v>
      </c>
      <c r="F4276">
        <v>1145729875</v>
      </c>
      <c r="G4276">
        <v>1135012721</v>
      </c>
      <c r="H4276">
        <v>1178748668</v>
      </c>
      <c r="I4276">
        <v>1034173347</v>
      </c>
      <c r="P4276">
        <v>140</v>
      </c>
      <c r="Q4276" t="s">
        <v>8901</v>
      </c>
    </row>
    <row r="4277" spans="1:17" x14ac:dyDescent="0.3">
      <c r="A4277" t="s">
        <v>47</v>
      </c>
      <c r="B4277" t="str">
        <f>"000587"</f>
        <v>000587</v>
      </c>
      <c r="C4277" t="s">
        <v>8902</v>
      </c>
      <c r="D4277" t="s">
        <v>1508</v>
      </c>
      <c r="E4277">
        <v>1090117483</v>
      </c>
      <c r="F4277">
        <v>5262787992</v>
      </c>
      <c r="G4277">
        <v>23208120204</v>
      </c>
      <c r="H4277">
        <v>30877315365</v>
      </c>
      <c r="I4277">
        <v>37641986694</v>
      </c>
      <c r="J4277">
        <v>37542876727</v>
      </c>
      <c r="K4277">
        <v>20269809428</v>
      </c>
      <c r="L4277">
        <v>3502888257</v>
      </c>
      <c r="M4277">
        <v>2735752544</v>
      </c>
      <c r="N4277">
        <v>2194020495</v>
      </c>
      <c r="O4277">
        <v>1575430296</v>
      </c>
      <c r="P4277">
        <v>114</v>
      </c>
      <c r="Q4277" t="s">
        <v>8903</v>
      </c>
    </row>
    <row r="4278" spans="1:17" x14ac:dyDescent="0.3">
      <c r="A4278" t="s">
        <v>47</v>
      </c>
      <c r="B4278" t="str">
        <f>"300931"</f>
        <v>300931</v>
      </c>
      <c r="C4278" t="s">
        <v>8904</v>
      </c>
      <c r="D4278" t="s">
        <v>1092</v>
      </c>
      <c r="E4278">
        <v>1088496116</v>
      </c>
      <c r="F4278">
        <v>938616885</v>
      </c>
      <c r="G4278">
        <v>612556891</v>
      </c>
      <c r="P4278">
        <v>31</v>
      </c>
      <c r="Q4278" t="s">
        <v>8905</v>
      </c>
    </row>
    <row r="4279" spans="1:17" x14ac:dyDescent="0.3">
      <c r="A4279" t="s">
        <v>17</v>
      </c>
      <c r="B4279" t="str">
        <f>"688108"</f>
        <v>688108</v>
      </c>
      <c r="C4279" t="s">
        <v>8906</v>
      </c>
      <c r="D4279" t="s">
        <v>1650</v>
      </c>
      <c r="E4279">
        <v>1088011575</v>
      </c>
      <c r="F4279">
        <v>1196016419</v>
      </c>
      <c r="G4279">
        <v>1190938937</v>
      </c>
      <c r="P4279">
        <v>104</v>
      </c>
      <c r="Q4279" t="s">
        <v>8907</v>
      </c>
    </row>
    <row r="4280" spans="1:17" x14ac:dyDescent="0.3">
      <c r="A4280" t="s">
        <v>17</v>
      </c>
      <c r="B4280" t="str">
        <f>"600538"</f>
        <v>600538</v>
      </c>
      <c r="C4280" t="s">
        <v>8908</v>
      </c>
      <c r="D4280" t="s">
        <v>362</v>
      </c>
      <c r="E4280">
        <v>1084923898</v>
      </c>
      <c r="F4280">
        <v>1033539373</v>
      </c>
      <c r="G4280">
        <v>743505197</v>
      </c>
      <c r="H4280">
        <v>758285239</v>
      </c>
      <c r="I4280">
        <v>780507712</v>
      </c>
      <c r="J4280">
        <v>929637898</v>
      </c>
      <c r="K4280">
        <v>988708946</v>
      </c>
      <c r="L4280">
        <v>976059899</v>
      </c>
      <c r="M4280">
        <v>691437983</v>
      </c>
      <c r="N4280">
        <v>615344558</v>
      </c>
      <c r="O4280">
        <v>723524547</v>
      </c>
      <c r="P4280">
        <v>69</v>
      </c>
      <c r="Q4280" t="s">
        <v>8909</v>
      </c>
    </row>
    <row r="4281" spans="1:17" x14ac:dyDescent="0.3">
      <c r="A4281" t="s">
        <v>47</v>
      </c>
      <c r="B4281" t="str">
        <f>"002817"</f>
        <v>002817</v>
      </c>
      <c r="C4281" t="s">
        <v>8910</v>
      </c>
      <c r="D4281" t="s">
        <v>1650</v>
      </c>
      <c r="E4281">
        <v>1084560421</v>
      </c>
      <c r="F4281">
        <v>973707067</v>
      </c>
      <c r="G4281">
        <v>847486343</v>
      </c>
      <c r="H4281">
        <v>790186894</v>
      </c>
      <c r="I4281">
        <v>762611053</v>
      </c>
      <c r="J4281">
        <v>710626412</v>
      </c>
      <c r="P4281">
        <v>126</v>
      </c>
      <c r="Q4281" t="s">
        <v>8911</v>
      </c>
    </row>
    <row r="4282" spans="1:17" x14ac:dyDescent="0.3">
      <c r="A4282" t="s">
        <v>47</v>
      </c>
      <c r="B4282" t="str">
        <f>"301148"</f>
        <v>301148</v>
      </c>
      <c r="C4282" t="s">
        <v>8912</v>
      </c>
      <c r="E4282">
        <v>1083873610</v>
      </c>
      <c r="G4282">
        <v>662181243</v>
      </c>
      <c r="P4282">
        <v>1</v>
      </c>
      <c r="Q4282" t="s">
        <v>8913</v>
      </c>
    </row>
    <row r="4283" spans="1:17" x14ac:dyDescent="0.3">
      <c r="A4283" t="s">
        <v>17</v>
      </c>
      <c r="B4283" t="str">
        <f>"688193"</f>
        <v>688193</v>
      </c>
      <c r="C4283" t="s">
        <v>8914</v>
      </c>
      <c r="E4283">
        <v>1083745414</v>
      </c>
      <c r="P4283">
        <v>2</v>
      </c>
      <c r="Q4283" t="s">
        <v>8915</v>
      </c>
    </row>
    <row r="4284" spans="1:17" x14ac:dyDescent="0.3">
      <c r="A4284" t="s">
        <v>47</v>
      </c>
      <c r="B4284" t="str">
        <f>"300371"</f>
        <v>300371</v>
      </c>
      <c r="C4284" t="s">
        <v>8916</v>
      </c>
      <c r="D4284" t="s">
        <v>3722</v>
      </c>
      <c r="E4284">
        <v>1083218781</v>
      </c>
      <c r="F4284">
        <v>930765074</v>
      </c>
      <c r="G4284">
        <v>830367496</v>
      </c>
      <c r="H4284">
        <v>708580281</v>
      </c>
      <c r="I4284">
        <v>603105842</v>
      </c>
      <c r="J4284">
        <v>588899228</v>
      </c>
      <c r="K4284">
        <v>549475735</v>
      </c>
      <c r="L4284">
        <v>492098348</v>
      </c>
      <c r="M4284">
        <v>433779418</v>
      </c>
      <c r="P4284">
        <v>288</v>
      </c>
      <c r="Q4284" t="s">
        <v>8917</v>
      </c>
    </row>
    <row r="4285" spans="1:17" x14ac:dyDescent="0.3">
      <c r="A4285" t="s">
        <v>47</v>
      </c>
      <c r="B4285" t="str">
        <f>"000004"</f>
        <v>000004</v>
      </c>
      <c r="C4285" t="s">
        <v>8918</v>
      </c>
      <c r="D4285" t="s">
        <v>1010</v>
      </c>
      <c r="E4285">
        <v>1080483960</v>
      </c>
      <c r="F4285">
        <v>1579539538</v>
      </c>
      <c r="G4285">
        <v>1477356854</v>
      </c>
      <c r="H4285">
        <v>161331508</v>
      </c>
      <c r="I4285">
        <v>310130098</v>
      </c>
      <c r="J4285">
        <v>223801878</v>
      </c>
      <c r="K4285">
        <v>410947644</v>
      </c>
      <c r="L4285">
        <v>342611997</v>
      </c>
      <c r="M4285">
        <v>253126108</v>
      </c>
      <c r="N4285">
        <v>182456995</v>
      </c>
      <c r="O4285">
        <v>197250030</v>
      </c>
      <c r="P4285">
        <v>187</v>
      </c>
      <c r="Q4285" t="s">
        <v>8919</v>
      </c>
    </row>
    <row r="4286" spans="1:17" x14ac:dyDescent="0.3">
      <c r="A4286" t="s">
        <v>47</v>
      </c>
      <c r="B4286" t="str">
        <f>"002591"</f>
        <v>002591</v>
      </c>
      <c r="C4286" t="s">
        <v>8920</v>
      </c>
      <c r="D4286" t="s">
        <v>1824</v>
      </c>
      <c r="E4286">
        <v>1079900001</v>
      </c>
      <c r="F4286">
        <v>1029353523</v>
      </c>
      <c r="G4286">
        <v>1501022647</v>
      </c>
      <c r="H4286">
        <v>1490457413</v>
      </c>
      <c r="I4286">
        <v>1473991909</v>
      </c>
      <c r="J4286">
        <v>890973603</v>
      </c>
      <c r="K4286">
        <v>926536993</v>
      </c>
      <c r="L4286">
        <v>935176303</v>
      </c>
      <c r="M4286">
        <v>885525326</v>
      </c>
      <c r="N4286">
        <v>834060790</v>
      </c>
      <c r="O4286">
        <v>739887338</v>
      </c>
      <c r="P4286">
        <v>113</v>
      </c>
      <c r="Q4286" t="s">
        <v>8921</v>
      </c>
    </row>
    <row r="4287" spans="1:17" x14ac:dyDescent="0.3">
      <c r="A4287" t="s">
        <v>47</v>
      </c>
      <c r="B4287" t="str">
        <f>"002715"</f>
        <v>002715</v>
      </c>
      <c r="C4287" t="s">
        <v>8922</v>
      </c>
      <c r="D4287" t="s">
        <v>274</v>
      </c>
      <c r="E4287">
        <v>1079528836</v>
      </c>
      <c r="F4287">
        <v>988282316</v>
      </c>
      <c r="G4287">
        <v>683998614</v>
      </c>
      <c r="H4287">
        <v>743272441</v>
      </c>
      <c r="I4287">
        <v>677272119</v>
      </c>
      <c r="J4287">
        <v>687226231</v>
      </c>
      <c r="K4287">
        <v>673007455</v>
      </c>
      <c r="L4287">
        <v>673537111</v>
      </c>
      <c r="M4287">
        <v>825986047</v>
      </c>
      <c r="P4287">
        <v>61</v>
      </c>
      <c r="Q4287" t="s">
        <v>8923</v>
      </c>
    </row>
    <row r="4288" spans="1:17" x14ac:dyDescent="0.3">
      <c r="A4288" t="s">
        <v>47</v>
      </c>
      <c r="B4288" t="str">
        <f>"301019"</f>
        <v>301019</v>
      </c>
      <c r="C4288" t="s">
        <v>8924</v>
      </c>
      <c r="D4288" t="s">
        <v>3077</v>
      </c>
      <c r="E4288">
        <v>1077800374</v>
      </c>
      <c r="F4288">
        <v>465544144</v>
      </c>
      <c r="P4288">
        <v>39</v>
      </c>
      <c r="Q4288" t="s">
        <v>8925</v>
      </c>
    </row>
    <row r="4289" spans="1:17" x14ac:dyDescent="0.3">
      <c r="A4289" t="s">
        <v>47</v>
      </c>
      <c r="B4289" t="str">
        <f>"300710"</f>
        <v>300710</v>
      </c>
      <c r="C4289" t="s">
        <v>8926</v>
      </c>
      <c r="D4289" t="s">
        <v>367</v>
      </c>
      <c r="E4289">
        <v>1077647561</v>
      </c>
      <c r="F4289">
        <v>1015080045</v>
      </c>
      <c r="G4289">
        <v>889297672</v>
      </c>
      <c r="H4289">
        <v>773212187</v>
      </c>
      <c r="I4289">
        <v>655850232</v>
      </c>
      <c r="P4289">
        <v>107</v>
      </c>
      <c r="Q4289" t="s">
        <v>8927</v>
      </c>
    </row>
    <row r="4290" spans="1:17" x14ac:dyDescent="0.3">
      <c r="A4290" t="s">
        <v>47</v>
      </c>
      <c r="B4290" t="str">
        <f>"002843"</f>
        <v>002843</v>
      </c>
      <c r="C4290" t="s">
        <v>8928</v>
      </c>
      <c r="D4290" t="s">
        <v>401</v>
      </c>
      <c r="E4290">
        <v>1077257765</v>
      </c>
      <c r="F4290">
        <v>822072673</v>
      </c>
      <c r="G4290">
        <v>816000883</v>
      </c>
      <c r="H4290">
        <v>786589678</v>
      </c>
      <c r="I4290">
        <v>709842054</v>
      </c>
      <c r="J4290">
        <v>629414088</v>
      </c>
      <c r="P4290">
        <v>74</v>
      </c>
      <c r="Q4290" t="s">
        <v>8929</v>
      </c>
    </row>
    <row r="4291" spans="1:17" x14ac:dyDescent="0.3">
      <c r="A4291" t="s">
        <v>47</v>
      </c>
      <c r="B4291" t="str">
        <f>"003008"</f>
        <v>003008</v>
      </c>
      <c r="C4291" t="s">
        <v>8930</v>
      </c>
      <c r="D4291" t="s">
        <v>3772</v>
      </c>
      <c r="E4291">
        <v>1073779908</v>
      </c>
      <c r="F4291">
        <v>1056587774</v>
      </c>
      <c r="P4291">
        <v>68</v>
      </c>
      <c r="Q4291" t="s">
        <v>8931</v>
      </c>
    </row>
    <row r="4292" spans="1:17" x14ac:dyDescent="0.3">
      <c r="A4292" t="s">
        <v>17</v>
      </c>
      <c r="B4292" t="str">
        <f>"688517"</f>
        <v>688517</v>
      </c>
      <c r="C4292" t="s">
        <v>8932</v>
      </c>
      <c r="D4292" t="s">
        <v>562</v>
      </c>
      <c r="E4292">
        <v>1072912341</v>
      </c>
      <c r="F4292">
        <v>760466823</v>
      </c>
      <c r="P4292">
        <v>19</v>
      </c>
      <c r="Q4292" t="s">
        <v>8933</v>
      </c>
    </row>
    <row r="4293" spans="1:17" x14ac:dyDescent="0.3">
      <c r="A4293" t="s">
        <v>47</v>
      </c>
      <c r="B4293" t="str">
        <f>"002529"</f>
        <v>002529</v>
      </c>
      <c r="C4293" t="s">
        <v>8934</v>
      </c>
      <c r="D4293" t="s">
        <v>1973</v>
      </c>
      <c r="E4293">
        <v>1072491025</v>
      </c>
      <c r="F4293">
        <v>1117601108</v>
      </c>
      <c r="G4293">
        <v>1483944986</v>
      </c>
      <c r="H4293">
        <v>1883222341</v>
      </c>
      <c r="I4293">
        <v>2003903242</v>
      </c>
      <c r="J4293">
        <v>1902965212</v>
      </c>
      <c r="K4293">
        <v>1240164361</v>
      </c>
      <c r="L4293">
        <v>1165178512</v>
      </c>
      <c r="M4293">
        <v>1101599087</v>
      </c>
      <c r="N4293">
        <v>1096921746</v>
      </c>
      <c r="O4293">
        <v>1242686259</v>
      </c>
      <c r="P4293">
        <v>68</v>
      </c>
      <c r="Q4293" t="s">
        <v>8935</v>
      </c>
    </row>
    <row r="4294" spans="1:17" x14ac:dyDescent="0.3">
      <c r="A4294" t="s">
        <v>47</v>
      </c>
      <c r="B4294" t="str">
        <f>"300898"</f>
        <v>300898</v>
      </c>
      <c r="C4294" t="s">
        <v>8936</v>
      </c>
      <c r="D4294" t="s">
        <v>487</v>
      </c>
      <c r="E4294">
        <v>1071146358</v>
      </c>
      <c r="F4294">
        <v>934158366</v>
      </c>
      <c r="H4294">
        <v>528176222</v>
      </c>
      <c r="I4294">
        <v>535437212</v>
      </c>
      <c r="P4294">
        <v>73</v>
      </c>
      <c r="Q4294" t="s">
        <v>8937</v>
      </c>
    </row>
    <row r="4295" spans="1:17" x14ac:dyDescent="0.3">
      <c r="A4295" t="s">
        <v>47</v>
      </c>
      <c r="B4295" t="str">
        <f>"002762"</f>
        <v>002762</v>
      </c>
      <c r="C4295" t="s">
        <v>8938</v>
      </c>
      <c r="D4295" t="s">
        <v>628</v>
      </c>
      <c r="E4295">
        <v>1069735593</v>
      </c>
      <c r="F4295">
        <v>1081227767</v>
      </c>
      <c r="G4295">
        <v>1080343500</v>
      </c>
      <c r="H4295">
        <v>1082809999</v>
      </c>
      <c r="I4295">
        <v>1109533708</v>
      </c>
      <c r="J4295">
        <v>975103094</v>
      </c>
      <c r="K4295">
        <v>912982740</v>
      </c>
      <c r="L4295">
        <v>462806300</v>
      </c>
      <c r="P4295">
        <v>128</v>
      </c>
      <c r="Q4295" t="s">
        <v>8939</v>
      </c>
    </row>
    <row r="4296" spans="1:17" x14ac:dyDescent="0.3">
      <c r="A4296" t="s">
        <v>17</v>
      </c>
      <c r="B4296" t="str">
        <f>"688665"</f>
        <v>688665</v>
      </c>
      <c r="C4296" t="s">
        <v>8940</v>
      </c>
      <c r="D4296" t="s">
        <v>3722</v>
      </c>
      <c r="E4296">
        <v>1069034154</v>
      </c>
      <c r="F4296">
        <v>839960363</v>
      </c>
      <c r="P4296">
        <v>63</v>
      </c>
      <c r="Q4296" t="s">
        <v>8941</v>
      </c>
    </row>
    <row r="4297" spans="1:17" x14ac:dyDescent="0.3">
      <c r="A4297" t="s">
        <v>47</v>
      </c>
      <c r="B4297" t="str">
        <f>"300880"</f>
        <v>300880</v>
      </c>
      <c r="C4297" t="s">
        <v>8942</v>
      </c>
      <c r="D4297" t="s">
        <v>2197</v>
      </c>
      <c r="E4297">
        <v>1068407289</v>
      </c>
      <c r="F4297">
        <v>960181520</v>
      </c>
      <c r="P4297">
        <v>55</v>
      </c>
      <c r="Q4297" t="s">
        <v>8943</v>
      </c>
    </row>
    <row r="4298" spans="1:17" x14ac:dyDescent="0.3">
      <c r="A4298" t="s">
        <v>17</v>
      </c>
      <c r="B4298" t="str">
        <f>"603958"</f>
        <v>603958</v>
      </c>
      <c r="C4298" t="s">
        <v>8944</v>
      </c>
      <c r="D4298" t="s">
        <v>4276</v>
      </c>
      <c r="E4298">
        <v>1068098956</v>
      </c>
      <c r="F4298">
        <v>1091013987</v>
      </c>
      <c r="G4298">
        <v>1169884915</v>
      </c>
      <c r="H4298">
        <v>1242170541</v>
      </c>
      <c r="I4298">
        <v>1447602921</v>
      </c>
      <c r="J4298">
        <v>1434520420</v>
      </c>
      <c r="K4298">
        <v>1224807872</v>
      </c>
      <c r="P4298">
        <v>67</v>
      </c>
      <c r="Q4298" t="s">
        <v>8945</v>
      </c>
    </row>
    <row r="4299" spans="1:17" x14ac:dyDescent="0.3">
      <c r="A4299" t="s">
        <v>47</v>
      </c>
      <c r="B4299" t="str">
        <f>"003043"</f>
        <v>003043</v>
      </c>
      <c r="C4299" t="s">
        <v>8946</v>
      </c>
      <c r="D4299" t="s">
        <v>1252</v>
      </c>
      <c r="E4299">
        <v>1067753647</v>
      </c>
      <c r="F4299">
        <v>891238733</v>
      </c>
      <c r="P4299">
        <v>46</v>
      </c>
      <c r="Q4299" t="s">
        <v>8947</v>
      </c>
    </row>
    <row r="4300" spans="1:17" x14ac:dyDescent="0.3">
      <c r="A4300" t="s">
        <v>47</v>
      </c>
      <c r="B4300" t="str">
        <f>"002634"</f>
        <v>002634</v>
      </c>
      <c r="C4300" t="s">
        <v>8948</v>
      </c>
      <c r="D4300" t="s">
        <v>4276</v>
      </c>
      <c r="E4300">
        <v>1066185658</v>
      </c>
      <c r="F4300">
        <v>1000520393</v>
      </c>
      <c r="G4300">
        <v>932722892</v>
      </c>
      <c r="H4300">
        <v>906635373</v>
      </c>
      <c r="I4300">
        <v>1129845379</v>
      </c>
      <c r="J4300">
        <v>1102239821</v>
      </c>
      <c r="K4300">
        <v>1081070616</v>
      </c>
      <c r="L4300">
        <v>754202782</v>
      </c>
      <c r="M4300">
        <v>676079300</v>
      </c>
      <c r="N4300">
        <v>677261189</v>
      </c>
      <c r="O4300">
        <v>600111444</v>
      </c>
      <c r="P4300">
        <v>88</v>
      </c>
      <c r="Q4300" t="s">
        <v>8949</v>
      </c>
    </row>
    <row r="4301" spans="1:17" x14ac:dyDescent="0.3">
      <c r="A4301" t="s">
        <v>17</v>
      </c>
      <c r="B4301" t="str">
        <f>"605186"</f>
        <v>605186</v>
      </c>
      <c r="C4301" t="s">
        <v>8950</v>
      </c>
      <c r="D4301" t="s">
        <v>4037</v>
      </c>
      <c r="E4301">
        <v>1064942117</v>
      </c>
      <c r="F4301">
        <v>958984906</v>
      </c>
      <c r="P4301">
        <v>47</v>
      </c>
      <c r="Q4301" t="s">
        <v>8951</v>
      </c>
    </row>
    <row r="4302" spans="1:17" x14ac:dyDescent="0.3">
      <c r="A4302" t="s">
        <v>47</v>
      </c>
      <c r="B4302" t="str">
        <f>"300052"</f>
        <v>300052</v>
      </c>
      <c r="C4302" t="s">
        <v>8952</v>
      </c>
      <c r="D4302" t="s">
        <v>1032</v>
      </c>
      <c r="E4302">
        <v>1064379099</v>
      </c>
      <c r="F4302">
        <v>1010208043</v>
      </c>
      <c r="G4302">
        <v>1220854605</v>
      </c>
      <c r="H4302">
        <v>1424291755</v>
      </c>
      <c r="I4302">
        <v>1144410972</v>
      </c>
      <c r="J4302">
        <v>1095977948</v>
      </c>
      <c r="K4302">
        <v>1166925327</v>
      </c>
      <c r="L4302">
        <v>1550779419</v>
      </c>
      <c r="M4302">
        <v>1428394918</v>
      </c>
      <c r="N4302">
        <v>975130014</v>
      </c>
      <c r="O4302">
        <v>964527611</v>
      </c>
      <c r="P4302">
        <v>219</v>
      </c>
      <c r="Q4302" t="s">
        <v>8953</v>
      </c>
    </row>
    <row r="4303" spans="1:17" x14ac:dyDescent="0.3">
      <c r="A4303" t="s">
        <v>47</v>
      </c>
      <c r="B4303" t="str">
        <f>"300858"</f>
        <v>300858</v>
      </c>
      <c r="C4303" t="s">
        <v>8954</v>
      </c>
      <c r="D4303" t="s">
        <v>1699</v>
      </c>
      <c r="E4303">
        <v>1063165160</v>
      </c>
      <c r="F4303">
        <v>1016465616</v>
      </c>
      <c r="G4303">
        <v>464585424</v>
      </c>
      <c r="P4303">
        <v>75</v>
      </c>
      <c r="Q4303" t="s">
        <v>8955</v>
      </c>
    </row>
    <row r="4304" spans="1:17" x14ac:dyDescent="0.3">
      <c r="A4304" t="s">
        <v>17</v>
      </c>
      <c r="B4304" t="str">
        <f>"688288"</f>
        <v>688288</v>
      </c>
      <c r="C4304" t="s">
        <v>8956</v>
      </c>
      <c r="D4304" t="s">
        <v>765</v>
      </c>
      <c r="E4304">
        <v>1061403437</v>
      </c>
      <c r="F4304">
        <v>1138301515</v>
      </c>
      <c r="G4304">
        <v>948498689</v>
      </c>
      <c r="P4304">
        <v>110</v>
      </c>
      <c r="Q4304" t="s">
        <v>8957</v>
      </c>
    </row>
    <row r="4305" spans="1:17" x14ac:dyDescent="0.3">
      <c r="A4305" t="s">
        <v>47</v>
      </c>
      <c r="B4305" t="str">
        <f>"300789"</f>
        <v>300789</v>
      </c>
      <c r="C4305" t="s">
        <v>8958</v>
      </c>
      <c r="D4305" t="s">
        <v>765</v>
      </c>
      <c r="E4305">
        <v>1060540336</v>
      </c>
      <c r="F4305">
        <v>929723335</v>
      </c>
      <c r="G4305">
        <v>834423687</v>
      </c>
      <c r="P4305">
        <v>79</v>
      </c>
      <c r="Q4305" t="s">
        <v>8959</v>
      </c>
    </row>
    <row r="4306" spans="1:17" x14ac:dyDescent="0.3">
      <c r="A4306" t="s">
        <v>47</v>
      </c>
      <c r="B4306" t="str">
        <f>"002107"</f>
        <v>002107</v>
      </c>
      <c r="C4306" t="s">
        <v>8960</v>
      </c>
      <c r="D4306" t="s">
        <v>695</v>
      </c>
      <c r="E4306">
        <v>1060131756</v>
      </c>
      <c r="F4306">
        <v>1376936158</v>
      </c>
      <c r="G4306">
        <v>1046898360</v>
      </c>
      <c r="H4306">
        <v>929338636</v>
      </c>
      <c r="I4306">
        <v>888830707</v>
      </c>
      <c r="J4306">
        <v>739788130</v>
      </c>
      <c r="K4306">
        <v>675721910</v>
      </c>
      <c r="L4306">
        <v>667018348</v>
      </c>
      <c r="M4306">
        <v>647676067</v>
      </c>
      <c r="N4306">
        <v>638633992</v>
      </c>
      <c r="O4306">
        <v>644641631</v>
      </c>
      <c r="P4306">
        <v>350</v>
      </c>
      <c r="Q4306" t="s">
        <v>8961</v>
      </c>
    </row>
    <row r="4307" spans="1:17" x14ac:dyDescent="0.3">
      <c r="A4307" t="s">
        <v>17</v>
      </c>
      <c r="B4307" t="str">
        <f>"688668"</f>
        <v>688668</v>
      </c>
      <c r="C4307" t="s">
        <v>8962</v>
      </c>
      <c r="D4307" t="s">
        <v>367</v>
      </c>
      <c r="E4307">
        <v>1060052600</v>
      </c>
      <c r="F4307">
        <v>919692100</v>
      </c>
      <c r="P4307">
        <v>44</v>
      </c>
      <c r="Q4307" t="s">
        <v>8963</v>
      </c>
    </row>
    <row r="4308" spans="1:17" x14ac:dyDescent="0.3">
      <c r="A4308" t="s">
        <v>47</v>
      </c>
      <c r="B4308" t="str">
        <f>"002858"</f>
        <v>002858</v>
      </c>
      <c r="C4308" t="s">
        <v>8964</v>
      </c>
      <c r="D4308" t="s">
        <v>3561</v>
      </c>
      <c r="E4308">
        <v>1058872937</v>
      </c>
      <c r="F4308">
        <v>605531220</v>
      </c>
      <c r="G4308">
        <v>698683591</v>
      </c>
      <c r="H4308">
        <v>672286403</v>
      </c>
      <c r="I4308">
        <v>462006213</v>
      </c>
      <c r="J4308">
        <v>391541401</v>
      </c>
      <c r="P4308">
        <v>75</v>
      </c>
      <c r="Q4308" t="s">
        <v>8965</v>
      </c>
    </row>
    <row r="4309" spans="1:17" x14ac:dyDescent="0.3">
      <c r="A4309" t="s">
        <v>47</v>
      </c>
      <c r="B4309" t="str">
        <f>"300189"</f>
        <v>300189</v>
      </c>
      <c r="C4309" t="s">
        <v>8966</v>
      </c>
      <c r="D4309" t="s">
        <v>2235</v>
      </c>
      <c r="E4309">
        <v>1056272471</v>
      </c>
      <c r="F4309">
        <v>1133948965</v>
      </c>
      <c r="G4309">
        <v>1104862136</v>
      </c>
      <c r="H4309">
        <v>1481415902</v>
      </c>
      <c r="I4309">
        <v>2485302307</v>
      </c>
      <c r="J4309">
        <v>3282865040</v>
      </c>
      <c r="K4309">
        <v>2260118880</v>
      </c>
      <c r="L4309">
        <v>1554045244</v>
      </c>
      <c r="M4309">
        <v>1663756575</v>
      </c>
      <c r="N4309">
        <v>1608732982</v>
      </c>
      <c r="O4309">
        <v>1362376297</v>
      </c>
      <c r="P4309">
        <v>111</v>
      </c>
      <c r="Q4309" t="s">
        <v>8967</v>
      </c>
    </row>
    <row r="4310" spans="1:17" x14ac:dyDescent="0.3">
      <c r="A4310" t="s">
        <v>47</v>
      </c>
      <c r="B4310" t="str">
        <f>"001202"</f>
        <v>001202</v>
      </c>
      <c r="C4310" t="s">
        <v>8968</v>
      </c>
      <c r="D4310" t="s">
        <v>134</v>
      </c>
      <c r="E4310">
        <v>1055657657</v>
      </c>
      <c r="F4310">
        <v>448348557</v>
      </c>
      <c r="P4310">
        <v>32</v>
      </c>
      <c r="Q4310" t="s">
        <v>8969</v>
      </c>
    </row>
    <row r="4311" spans="1:17" x14ac:dyDescent="0.3">
      <c r="A4311" t="s">
        <v>47</v>
      </c>
      <c r="B4311" t="str">
        <f>"002247"</f>
        <v>002247</v>
      </c>
      <c r="C4311" t="s">
        <v>8970</v>
      </c>
      <c r="D4311" t="s">
        <v>1824</v>
      </c>
      <c r="E4311">
        <v>1055373866</v>
      </c>
      <c r="F4311">
        <v>991365750</v>
      </c>
      <c r="G4311">
        <v>1424271229</v>
      </c>
      <c r="H4311">
        <v>3229651026</v>
      </c>
      <c r="I4311">
        <v>6400060744</v>
      </c>
      <c r="J4311">
        <v>5121996304</v>
      </c>
      <c r="K4311">
        <v>1320571658</v>
      </c>
      <c r="L4311">
        <v>1211402514</v>
      </c>
      <c r="M4311">
        <v>1110705261</v>
      </c>
      <c r="N4311">
        <v>1026612124</v>
      </c>
      <c r="O4311">
        <v>618148020</v>
      </c>
      <c r="P4311">
        <v>90</v>
      </c>
      <c r="Q4311" t="s">
        <v>8971</v>
      </c>
    </row>
    <row r="4312" spans="1:17" x14ac:dyDescent="0.3">
      <c r="A4312" t="s">
        <v>17</v>
      </c>
      <c r="B4312" t="str">
        <f>"688198"</f>
        <v>688198</v>
      </c>
      <c r="C4312" t="s">
        <v>8972</v>
      </c>
      <c r="D4312" t="s">
        <v>1650</v>
      </c>
      <c r="E4312">
        <v>1054828220</v>
      </c>
      <c r="F4312">
        <v>903186829</v>
      </c>
      <c r="G4312">
        <v>791846753</v>
      </c>
      <c r="P4312">
        <v>190</v>
      </c>
      <c r="Q4312" t="s">
        <v>8973</v>
      </c>
    </row>
    <row r="4313" spans="1:17" x14ac:dyDescent="0.3">
      <c r="A4313" t="s">
        <v>47</v>
      </c>
      <c r="B4313" t="str">
        <f>"301045"</f>
        <v>301045</v>
      </c>
      <c r="C4313" t="s">
        <v>8974</v>
      </c>
      <c r="D4313" t="s">
        <v>1487</v>
      </c>
      <c r="E4313">
        <v>1054563515</v>
      </c>
      <c r="F4313">
        <v>626610406</v>
      </c>
      <c r="G4313">
        <v>459857973</v>
      </c>
      <c r="P4313">
        <v>17</v>
      </c>
      <c r="Q4313" t="s">
        <v>8975</v>
      </c>
    </row>
    <row r="4314" spans="1:17" x14ac:dyDescent="0.3">
      <c r="A4314" t="s">
        <v>47</v>
      </c>
      <c r="B4314" t="str">
        <f>"002780"</f>
        <v>002780</v>
      </c>
      <c r="C4314" t="s">
        <v>8976</v>
      </c>
      <c r="D4314" t="s">
        <v>6137</v>
      </c>
      <c r="E4314">
        <v>1052798209</v>
      </c>
      <c r="F4314">
        <v>883972646</v>
      </c>
      <c r="G4314">
        <v>821370831</v>
      </c>
      <c r="H4314">
        <v>896433266</v>
      </c>
      <c r="I4314">
        <v>866527382</v>
      </c>
      <c r="J4314">
        <v>478723851</v>
      </c>
      <c r="K4314">
        <v>410307400</v>
      </c>
      <c r="L4314">
        <v>236229700</v>
      </c>
      <c r="P4314">
        <v>85</v>
      </c>
      <c r="Q4314" t="s">
        <v>8977</v>
      </c>
    </row>
    <row r="4315" spans="1:17" x14ac:dyDescent="0.3">
      <c r="A4315" t="s">
        <v>47</v>
      </c>
      <c r="B4315" t="str">
        <f>"301020"</f>
        <v>301020</v>
      </c>
      <c r="C4315" t="s">
        <v>8978</v>
      </c>
      <c r="D4315" t="s">
        <v>274</v>
      </c>
      <c r="E4315">
        <v>1052342999</v>
      </c>
      <c r="F4315">
        <v>671241963</v>
      </c>
      <c r="P4315">
        <v>54</v>
      </c>
      <c r="Q4315" t="s">
        <v>8979</v>
      </c>
    </row>
    <row r="4316" spans="1:17" x14ac:dyDescent="0.3">
      <c r="A4316" t="s">
        <v>47</v>
      </c>
      <c r="B4316" t="str">
        <f>"300597"</f>
        <v>300597</v>
      </c>
      <c r="C4316" t="s">
        <v>8980</v>
      </c>
      <c r="D4316" t="s">
        <v>2804</v>
      </c>
      <c r="E4316">
        <v>1051773844</v>
      </c>
      <c r="F4316">
        <v>1071985118</v>
      </c>
      <c r="G4316">
        <v>1075091887</v>
      </c>
      <c r="H4316">
        <v>1046222025</v>
      </c>
      <c r="I4316">
        <v>948795545</v>
      </c>
      <c r="J4316">
        <v>875118418</v>
      </c>
      <c r="P4316">
        <v>110</v>
      </c>
      <c r="Q4316" t="s">
        <v>8981</v>
      </c>
    </row>
    <row r="4317" spans="1:17" x14ac:dyDescent="0.3">
      <c r="A4317" t="s">
        <v>17</v>
      </c>
      <c r="B4317" t="str">
        <f>"603398"</f>
        <v>603398</v>
      </c>
      <c r="C4317" t="s">
        <v>8982</v>
      </c>
      <c r="D4317" t="s">
        <v>4263</v>
      </c>
      <c r="E4317">
        <v>1051677323</v>
      </c>
      <c r="F4317">
        <v>1030056556</v>
      </c>
      <c r="G4317">
        <v>1043884301</v>
      </c>
      <c r="H4317">
        <v>1014551152</v>
      </c>
      <c r="I4317">
        <v>718947370</v>
      </c>
      <c r="J4317">
        <v>629891743</v>
      </c>
      <c r="K4317">
        <v>594082129</v>
      </c>
      <c r="L4317">
        <v>261386919</v>
      </c>
      <c r="P4317">
        <v>89</v>
      </c>
      <c r="Q4317" t="s">
        <v>8983</v>
      </c>
    </row>
    <row r="4318" spans="1:17" x14ac:dyDescent="0.3">
      <c r="A4318" t="s">
        <v>17</v>
      </c>
      <c r="B4318" t="str">
        <f>"688071"</f>
        <v>688071</v>
      </c>
      <c r="C4318" t="s">
        <v>8984</v>
      </c>
      <c r="D4318" t="s">
        <v>1973</v>
      </c>
      <c r="E4318">
        <v>1049069779</v>
      </c>
      <c r="F4318">
        <v>583162143</v>
      </c>
      <c r="G4318">
        <v>468928406</v>
      </c>
      <c r="P4318">
        <v>28</v>
      </c>
      <c r="Q4318" t="s">
        <v>8985</v>
      </c>
    </row>
    <row r="4319" spans="1:17" x14ac:dyDescent="0.3">
      <c r="A4319" t="s">
        <v>47</v>
      </c>
      <c r="B4319" t="str">
        <f>"300539"</f>
        <v>300539</v>
      </c>
      <c r="C4319" t="s">
        <v>8986</v>
      </c>
      <c r="D4319" t="s">
        <v>3077</v>
      </c>
      <c r="E4319">
        <v>1047911275</v>
      </c>
      <c r="F4319">
        <v>1031595001</v>
      </c>
      <c r="G4319">
        <v>939588752</v>
      </c>
      <c r="H4319">
        <v>929321954</v>
      </c>
      <c r="I4319">
        <v>719896930</v>
      </c>
      <c r="J4319">
        <v>500945391</v>
      </c>
      <c r="P4319">
        <v>84</v>
      </c>
      <c r="Q4319" t="s">
        <v>8987</v>
      </c>
    </row>
    <row r="4320" spans="1:17" x14ac:dyDescent="0.3">
      <c r="A4320" t="s">
        <v>17</v>
      </c>
      <c r="B4320" t="str">
        <f>"688046"</f>
        <v>688046</v>
      </c>
      <c r="C4320" t="s">
        <v>8988</v>
      </c>
      <c r="E4320">
        <v>1047197385</v>
      </c>
      <c r="P4320">
        <v>2</v>
      </c>
      <c r="Q4320" t="s">
        <v>8989</v>
      </c>
    </row>
    <row r="4321" spans="1:17" x14ac:dyDescent="0.3">
      <c r="A4321" t="s">
        <v>17</v>
      </c>
      <c r="B4321" t="str">
        <f>"600272"</f>
        <v>600272</v>
      </c>
      <c r="C4321" t="s">
        <v>8990</v>
      </c>
      <c r="D4321" t="s">
        <v>362</v>
      </c>
      <c r="E4321">
        <v>1047121529</v>
      </c>
      <c r="F4321">
        <v>1031765535</v>
      </c>
      <c r="G4321">
        <v>993853073</v>
      </c>
      <c r="H4321">
        <v>1040361561</v>
      </c>
      <c r="I4321">
        <v>1009034598</v>
      </c>
      <c r="J4321">
        <v>1006387383</v>
      </c>
      <c r="K4321">
        <v>1037732233</v>
      </c>
      <c r="L4321">
        <v>957396279</v>
      </c>
      <c r="M4321">
        <v>1048323599</v>
      </c>
      <c r="N4321">
        <v>984904562</v>
      </c>
      <c r="O4321">
        <v>1000714511</v>
      </c>
      <c r="P4321">
        <v>66</v>
      </c>
      <c r="Q4321" t="s">
        <v>8991</v>
      </c>
    </row>
    <row r="4322" spans="1:17" x14ac:dyDescent="0.3">
      <c r="A4322" t="s">
        <v>47</v>
      </c>
      <c r="B4322" t="str">
        <f>"301031"</f>
        <v>301031</v>
      </c>
      <c r="C4322" t="s">
        <v>8992</v>
      </c>
      <c r="D4322" t="s">
        <v>1609</v>
      </c>
      <c r="E4322">
        <v>1046459091</v>
      </c>
      <c r="F4322">
        <v>397583325</v>
      </c>
      <c r="P4322">
        <v>77</v>
      </c>
      <c r="Q4322" t="s">
        <v>8993</v>
      </c>
    </row>
    <row r="4323" spans="1:17" x14ac:dyDescent="0.3">
      <c r="A4323" t="s">
        <v>17</v>
      </c>
      <c r="B4323" t="str">
        <f>"688711"</f>
        <v>688711</v>
      </c>
      <c r="C4323" t="s">
        <v>8994</v>
      </c>
      <c r="D4323" t="s">
        <v>2213</v>
      </c>
      <c r="E4323">
        <v>1043862369</v>
      </c>
      <c r="P4323">
        <v>38</v>
      </c>
      <c r="Q4323" t="s">
        <v>8995</v>
      </c>
    </row>
    <row r="4324" spans="1:17" x14ac:dyDescent="0.3">
      <c r="A4324" t="s">
        <v>17</v>
      </c>
      <c r="B4324" t="str">
        <f>"600734"</f>
        <v>600734</v>
      </c>
      <c r="C4324" t="s">
        <v>8996</v>
      </c>
      <c r="D4324" t="s">
        <v>962</v>
      </c>
      <c r="E4324">
        <v>1043400437</v>
      </c>
      <c r="F4324">
        <v>2178928047</v>
      </c>
      <c r="G4324">
        <v>2443979058</v>
      </c>
      <c r="H4324">
        <v>7017751043</v>
      </c>
      <c r="I4324">
        <v>8403661086</v>
      </c>
      <c r="J4324">
        <v>6409576931</v>
      </c>
      <c r="K4324">
        <v>409346540</v>
      </c>
      <c r="L4324">
        <v>1571205812</v>
      </c>
      <c r="M4324">
        <v>1261290964</v>
      </c>
      <c r="N4324">
        <v>1063783461</v>
      </c>
      <c r="O4324">
        <v>1295825763</v>
      </c>
      <c r="P4324">
        <v>175</v>
      </c>
      <c r="Q4324" t="s">
        <v>8997</v>
      </c>
    </row>
    <row r="4325" spans="1:17" x14ac:dyDescent="0.3">
      <c r="A4325" t="s">
        <v>47</v>
      </c>
      <c r="B4325" t="str">
        <f>"300980"</f>
        <v>300980</v>
      </c>
      <c r="C4325" t="s">
        <v>8998</v>
      </c>
      <c r="D4325" t="s">
        <v>3077</v>
      </c>
      <c r="E4325">
        <v>1042897614</v>
      </c>
      <c r="F4325">
        <v>478864624</v>
      </c>
      <c r="P4325">
        <v>77</v>
      </c>
      <c r="Q4325" t="s">
        <v>8999</v>
      </c>
    </row>
    <row r="4326" spans="1:17" x14ac:dyDescent="0.3">
      <c r="A4326" t="s">
        <v>47</v>
      </c>
      <c r="B4326" t="str">
        <f>"300935"</f>
        <v>300935</v>
      </c>
      <c r="C4326" t="s">
        <v>9000</v>
      </c>
      <c r="D4326" t="s">
        <v>1859</v>
      </c>
      <c r="E4326">
        <v>1042059625</v>
      </c>
      <c r="F4326">
        <v>995446652</v>
      </c>
      <c r="P4326">
        <v>55</v>
      </c>
      <c r="Q4326" t="s">
        <v>9001</v>
      </c>
    </row>
    <row r="4327" spans="1:17" x14ac:dyDescent="0.3">
      <c r="A4327" t="s">
        <v>17</v>
      </c>
      <c r="B4327" t="str">
        <f>"600242"</f>
        <v>600242</v>
      </c>
      <c r="C4327" t="s">
        <v>9002</v>
      </c>
      <c r="D4327" t="s">
        <v>1824</v>
      </c>
      <c r="E4327">
        <v>1039949046</v>
      </c>
      <c r="F4327">
        <v>1555339323</v>
      </c>
      <c r="G4327">
        <v>1571079227</v>
      </c>
      <c r="H4327">
        <v>3857228768</v>
      </c>
      <c r="I4327">
        <v>3113883765</v>
      </c>
      <c r="J4327">
        <v>2121753159</v>
      </c>
      <c r="K4327">
        <v>1733169349</v>
      </c>
      <c r="L4327">
        <v>2110883885</v>
      </c>
      <c r="M4327">
        <v>2463937826</v>
      </c>
      <c r="N4327">
        <v>2557623943</v>
      </c>
      <c r="O4327">
        <v>2068097269</v>
      </c>
      <c r="P4327">
        <v>84</v>
      </c>
      <c r="Q4327" t="s">
        <v>9003</v>
      </c>
    </row>
    <row r="4328" spans="1:17" x14ac:dyDescent="0.3">
      <c r="A4328" t="s">
        <v>17</v>
      </c>
      <c r="B4328" t="str">
        <f>"688113"</f>
        <v>688113</v>
      </c>
      <c r="C4328" t="s">
        <v>9004</v>
      </c>
      <c r="D4328" t="s">
        <v>1973</v>
      </c>
      <c r="E4328">
        <v>1036183509</v>
      </c>
      <c r="F4328">
        <v>634023476</v>
      </c>
      <c r="P4328">
        <v>40</v>
      </c>
      <c r="Q4328" t="s">
        <v>9005</v>
      </c>
    </row>
    <row r="4329" spans="1:17" x14ac:dyDescent="0.3">
      <c r="A4329" t="s">
        <v>47</v>
      </c>
      <c r="B4329" t="str">
        <f>"300654"</f>
        <v>300654</v>
      </c>
      <c r="C4329" t="s">
        <v>9006</v>
      </c>
      <c r="D4329" t="s">
        <v>1352</v>
      </c>
      <c r="E4329">
        <v>1034232468</v>
      </c>
      <c r="F4329">
        <v>725342023</v>
      </c>
      <c r="G4329">
        <v>717010720</v>
      </c>
      <c r="H4329">
        <v>626912883</v>
      </c>
      <c r="I4329">
        <v>620649613</v>
      </c>
      <c r="P4329">
        <v>73</v>
      </c>
      <c r="Q4329" t="s">
        <v>9007</v>
      </c>
    </row>
    <row r="4330" spans="1:17" x14ac:dyDescent="0.3">
      <c r="A4330" t="s">
        <v>47</v>
      </c>
      <c r="B4330" t="str">
        <f>"300962"</f>
        <v>300962</v>
      </c>
      <c r="C4330" t="s">
        <v>9008</v>
      </c>
      <c r="D4330" t="s">
        <v>9009</v>
      </c>
      <c r="E4330">
        <v>1033994703</v>
      </c>
      <c r="F4330">
        <v>961208204</v>
      </c>
      <c r="P4330">
        <v>32</v>
      </c>
      <c r="Q4330" t="s">
        <v>9010</v>
      </c>
    </row>
    <row r="4331" spans="1:17" x14ac:dyDescent="0.3">
      <c r="A4331" t="s">
        <v>17</v>
      </c>
      <c r="B4331" t="str">
        <f>"603261"</f>
        <v>603261</v>
      </c>
      <c r="C4331" t="s">
        <v>9011</v>
      </c>
      <c r="E4331">
        <v>1032083034</v>
      </c>
      <c r="P4331">
        <v>7</v>
      </c>
      <c r="Q4331" t="s">
        <v>9012</v>
      </c>
    </row>
    <row r="4332" spans="1:17" x14ac:dyDescent="0.3">
      <c r="A4332" t="s">
        <v>47</v>
      </c>
      <c r="B4332" t="str">
        <f>"300678"</f>
        <v>300678</v>
      </c>
      <c r="C4332" t="s">
        <v>9013</v>
      </c>
      <c r="D4332" t="s">
        <v>700</v>
      </c>
      <c r="E4332">
        <v>1031098225</v>
      </c>
      <c r="F4332">
        <v>825919944</v>
      </c>
      <c r="G4332">
        <v>803603295</v>
      </c>
      <c r="H4332">
        <v>711987523</v>
      </c>
      <c r="I4332">
        <v>669006927</v>
      </c>
      <c r="J4332">
        <v>450402401</v>
      </c>
      <c r="P4332">
        <v>105</v>
      </c>
      <c r="Q4332" t="s">
        <v>9014</v>
      </c>
    </row>
    <row r="4333" spans="1:17" x14ac:dyDescent="0.3">
      <c r="A4333" t="s">
        <v>47</v>
      </c>
      <c r="B4333" t="str">
        <f>"300445"</f>
        <v>300445</v>
      </c>
      <c r="C4333" t="s">
        <v>9015</v>
      </c>
      <c r="D4333" t="s">
        <v>3722</v>
      </c>
      <c r="E4333">
        <v>1030769561</v>
      </c>
      <c r="F4333">
        <v>1002917596</v>
      </c>
      <c r="G4333">
        <v>650503962</v>
      </c>
      <c r="H4333">
        <v>600211893</v>
      </c>
      <c r="I4333">
        <v>535172376</v>
      </c>
      <c r="J4333">
        <v>472043437</v>
      </c>
      <c r="K4333">
        <v>402979926</v>
      </c>
      <c r="L4333">
        <v>237531787</v>
      </c>
      <c r="P4333">
        <v>169</v>
      </c>
      <c r="Q4333" t="s">
        <v>9016</v>
      </c>
    </row>
    <row r="4334" spans="1:17" x14ac:dyDescent="0.3">
      <c r="A4334" t="s">
        <v>47</v>
      </c>
      <c r="B4334" t="str">
        <f>"301085"</f>
        <v>301085</v>
      </c>
      <c r="C4334" t="s">
        <v>9017</v>
      </c>
      <c r="D4334" t="s">
        <v>700</v>
      </c>
      <c r="E4334">
        <v>1029380899</v>
      </c>
      <c r="P4334">
        <v>16</v>
      </c>
      <c r="Q4334" t="s">
        <v>9018</v>
      </c>
    </row>
    <row r="4335" spans="1:17" x14ac:dyDescent="0.3">
      <c r="A4335" t="s">
        <v>47</v>
      </c>
      <c r="B4335" t="str">
        <f>"002771"</f>
        <v>002771</v>
      </c>
      <c r="C4335" t="s">
        <v>9019</v>
      </c>
      <c r="D4335" t="s">
        <v>700</v>
      </c>
      <c r="E4335">
        <v>1027878431</v>
      </c>
      <c r="F4335">
        <v>1097870394</v>
      </c>
      <c r="G4335">
        <v>1083244604</v>
      </c>
      <c r="H4335">
        <v>1035497298</v>
      </c>
      <c r="I4335">
        <v>987699853</v>
      </c>
      <c r="J4335">
        <v>889918056</v>
      </c>
      <c r="K4335">
        <v>955344122</v>
      </c>
      <c r="L4335">
        <v>678561100</v>
      </c>
      <c r="P4335">
        <v>95</v>
      </c>
      <c r="Q4335" t="s">
        <v>9020</v>
      </c>
    </row>
    <row r="4336" spans="1:17" x14ac:dyDescent="0.3">
      <c r="A4336" t="s">
        <v>47</v>
      </c>
      <c r="B4336" t="str">
        <f>"000695"</f>
        <v>000695</v>
      </c>
      <c r="C4336" t="s">
        <v>9021</v>
      </c>
      <c r="D4336" t="s">
        <v>6392</v>
      </c>
      <c r="E4336">
        <v>1027553125</v>
      </c>
      <c r="F4336">
        <v>1013706668</v>
      </c>
      <c r="G4336">
        <v>993840271</v>
      </c>
      <c r="H4336">
        <v>755662586</v>
      </c>
      <c r="I4336">
        <v>1738035205</v>
      </c>
      <c r="J4336">
        <v>1058261654</v>
      </c>
      <c r="K4336">
        <v>1138438245</v>
      </c>
      <c r="L4336">
        <v>1143535385</v>
      </c>
      <c r="M4336">
        <v>1187015502</v>
      </c>
      <c r="N4336">
        <v>1212152658</v>
      </c>
      <c r="O4336">
        <v>1344800183</v>
      </c>
      <c r="P4336">
        <v>82</v>
      </c>
      <c r="Q4336" t="s">
        <v>9022</v>
      </c>
    </row>
    <row r="4337" spans="1:17" x14ac:dyDescent="0.3">
      <c r="A4337" t="s">
        <v>47</v>
      </c>
      <c r="B4337" t="str">
        <f>"300996"</f>
        <v>300996</v>
      </c>
      <c r="C4337" t="s">
        <v>9023</v>
      </c>
      <c r="D4337" t="s">
        <v>1859</v>
      </c>
      <c r="E4337">
        <v>1025476256</v>
      </c>
      <c r="F4337">
        <v>484517823</v>
      </c>
      <c r="P4337">
        <v>42</v>
      </c>
      <c r="Q4337" t="s">
        <v>9024</v>
      </c>
    </row>
    <row r="4338" spans="1:17" x14ac:dyDescent="0.3">
      <c r="A4338" t="s">
        <v>17</v>
      </c>
      <c r="B4338" t="str">
        <f>"603709"</f>
        <v>603709</v>
      </c>
      <c r="C4338" t="s">
        <v>9025</v>
      </c>
      <c r="D4338" t="s">
        <v>2082</v>
      </c>
      <c r="E4338">
        <v>1022923230</v>
      </c>
      <c r="F4338">
        <v>1027965057</v>
      </c>
      <c r="G4338">
        <v>989765810</v>
      </c>
      <c r="H4338">
        <v>907652188</v>
      </c>
      <c r="I4338">
        <v>801244710</v>
      </c>
      <c r="P4338">
        <v>99</v>
      </c>
      <c r="Q4338" t="s">
        <v>9026</v>
      </c>
    </row>
    <row r="4339" spans="1:17" x14ac:dyDescent="0.3">
      <c r="A4339" t="s">
        <v>47</v>
      </c>
      <c r="B4339" t="str">
        <f>"301067"</f>
        <v>301067</v>
      </c>
      <c r="C4339" t="s">
        <v>9027</v>
      </c>
      <c r="D4339" t="s">
        <v>283</v>
      </c>
      <c r="E4339">
        <v>1021231355</v>
      </c>
      <c r="P4339">
        <v>18</v>
      </c>
      <c r="Q4339" t="s">
        <v>9028</v>
      </c>
    </row>
    <row r="4340" spans="1:17" x14ac:dyDescent="0.3">
      <c r="A4340" t="s">
        <v>47</v>
      </c>
      <c r="B4340" t="str">
        <f>"300247"</f>
        <v>300247</v>
      </c>
      <c r="C4340" t="s">
        <v>9029</v>
      </c>
      <c r="D4340" t="s">
        <v>2985</v>
      </c>
      <c r="E4340">
        <v>1020948319</v>
      </c>
      <c r="F4340">
        <v>956476864</v>
      </c>
      <c r="G4340">
        <v>1046982862</v>
      </c>
      <c r="H4340">
        <v>1872602433</v>
      </c>
      <c r="I4340">
        <v>3054414800</v>
      </c>
      <c r="J4340">
        <v>2879426788</v>
      </c>
      <c r="K4340">
        <v>1928522539</v>
      </c>
      <c r="L4340">
        <v>841799737</v>
      </c>
      <c r="M4340">
        <v>653950798</v>
      </c>
      <c r="N4340">
        <v>661980019</v>
      </c>
      <c r="O4340">
        <v>603191746</v>
      </c>
      <c r="P4340">
        <v>107</v>
      </c>
      <c r="Q4340" t="s">
        <v>9030</v>
      </c>
    </row>
    <row r="4341" spans="1:17" x14ac:dyDescent="0.3">
      <c r="A4341" t="s">
        <v>17</v>
      </c>
      <c r="B4341" t="str">
        <f>"688118"</f>
        <v>688118</v>
      </c>
      <c r="C4341" t="s">
        <v>9031</v>
      </c>
      <c r="D4341" t="s">
        <v>1859</v>
      </c>
      <c r="E4341">
        <v>1017377539</v>
      </c>
      <c r="F4341">
        <v>1050670417</v>
      </c>
      <c r="G4341">
        <v>1015769226</v>
      </c>
      <c r="H4341">
        <v>385205980</v>
      </c>
      <c r="P4341">
        <v>71</v>
      </c>
      <c r="Q4341" t="s">
        <v>9032</v>
      </c>
    </row>
    <row r="4342" spans="1:17" x14ac:dyDescent="0.3">
      <c r="A4342" t="s">
        <v>47</v>
      </c>
      <c r="B4342" t="str">
        <f>"301001"</f>
        <v>301001</v>
      </c>
      <c r="C4342" t="s">
        <v>9033</v>
      </c>
      <c r="D4342" t="s">
        <v>4098</v>
      </c>
      <c r="E4342">
        <v>1017190580</v>
      </c>
      <c r="F4342">
        <v>461449553</v>
      </c>
      <c r="G4342">
        <v>420302704</v>
      </c>
      <c r="P4342">
        <v>23</v>
      </c>
      <c r="Q4342" t="s">
        <v>9034</v>
      </c>
    </row>
    <row r="4343" spans="1:17" x14ac:dyDescent="0.3">
      <c r="A4343" t="s">
        <v>17</v>
      </c>
      <c r="B4343" t="str">
        <f>"605580"</f>
        <v>605580</v>
      </c>
      <c r="C4343" t="s">
        <v>9035</v>
      </c>
      <c r="D4343" t="s">
        <v>1293</v>
      </c>
      <c r="E4343">
        <v>1016971028</v>
      </c>
      <c r="F4343">
        <v>723065682</v>
      </c>
      <c r="P4343">
        <v>30</v>
      </c>
      <c r="Q4343" t="s">
        <v>9036</v>
      </c>
    </row>
    <row r="4344" spans="1:17" x14ac:dyDescent="0.3">
      <c r="A4344" t="s">
        <v>17</v>
      </c>
      <c r="B4344" t="str">
        <f>"688060"</f>
        <v>688060</v>
      </c>
      <c r="C4344" t="s">
        <v>9037</v>
      </c>
      <c r="D4344" t="s">
        <v>765</v>
      </c>
      <c r="E4344">
        <v>1014806613</v>
      </c>
      <c r="F4344">
        <v>969266233</v>
      </c>
      <c r="G4344">
        <v>293676062</v>
      </c>
      <c r="P4344">
        <v>75</v>
      </c>
      <c r="Q4344" t="s">
        <v>9038</v>
      </c>
    </row>
    <row r="4345" spans="1:17" x14ac:dyDescent="0.3">
      <c r="A4345" t="s">
        <v>47</v>
      </c>
      <c r="B4345" t="str">
        <f>"300536"</f>
        <v>300536</v>
      </c>
      <c r="C4345" t="s">
        <v>9039</v>
      </c>
      <c r="D4345" t="s">
        <v>952</v>
      </c>
      <c r="E4345">
        <v>1014287814</v>
      </c>
      <c r="F4345">
        <v>1095499747</v>
      </c>
      <c r="G4345">
        <v>1288066032</v>
      </c>
      <c r="H4345">
        <v>1071626505</v>
      </c>
      <c r="I4345">
        <v>996537695</v>
      </c>
      <c r="J4345">
        <v>798289711</v>
      </c>
      <c r="P4345">
        <v>63</v>
      </c>
      <c r="Q4345" t="s">
        <v>9040</v>
      </c>
    </row>
    <row r="4346" spans="1:17" x14ac:dyDescent="0.3">
      <c r="A4346" t="s">
        <v>47</v>
      </c>
      <c r="B4346" t="str">
        <f>"301133"</f>
        <v>301133</v>
      </c>
      <c r="C4346" t="s">
        <v>9041</v>
      </c>
      <c r="D4346" t="s">
        <v>416</v>
      </c>
      <c r="E4346">
        <v>1014145342</v>
      </c>
      <c r="P4346">
        <v>15</v>
      </c>
      <c r="Q4346" t="s">
        <v>9042</v>
      </c>
    </row>
    <row r="4347" spans="1:17" x14ac:dyDescent="0.3">
      <c r="A4347" t="s">
        <v>17</v>
      </c>
      <c r="B4347" t="str">
        <f>"600281"</f>
        <v>600281</v>
      </c>
      <c r="C4347" t="s">
        <v>9043</v>
      </c>
      <c r="D4347" t="s">
        <v>1002</v>
      </c>
      <c r="E4347">
        <v>1013560374</v>
      </c>
      <c r="F4347">
        <v>735143526</v>
      </c>
      <c r="G4347">
        <v>944381276</v>
      </c>
      <c r="H4347">
        <v>1118441798</v>
      </c>
      <c r="I4347">
        <v>1661916539</v>
      </c>
      <c r="J4347">
        <v>1847918923</v>
      </c>
      <c r="K4347">
        <v>2180547569</v>
      </c>
      <c r="L4347">
        <v>2475490235</v>
      </c>
      <c r="M4347">
        <v>2523105951</v>
      </c>
      <c r="N4347">
        <v>3497651824</v>
      </c>
      <c r="O4347">
        <v>4236345893</v>
      </c>
      <c r="P4347">
        <v>68</v>
      </c>
      <c r="Q4347" t="s">
        <v>9044</v>
      </c>
    </row>
    <row r="4348" spans="1:17" x14ac:dyDescent="0.3">
      <c r="A4348" t="s">
        <v>47</v>
      </c>
      <c r="B4348" t="str">
        <f>"300984"</f>
        <v>300984</v>
      </c>
      <c r="C4348" t="s">
        <v>9045</v>
      </c>
      <c r="D4348" t="s">
        <v>1433</v>
      </c>
      <c r="E4348">
        <v>1011372641</v>
      </c>
      <c r="F4348">
        <v>617086542</v>
      </c>
      <c r="P4348">
        <v>18</v>
      </c>
      <c r="Q4348" t="s">
        <v>9046</v>
      </c>
    </row>
    <row r="4349" spans="1:17" x14ac:dyDescent="0.3">
      <c r="A4349" t="s">
        <v>47</v>
      </c>
      <c r="B4349" t="str">
        <f>"301198"</f>
        <v>301198</v>
      </c>
      <c r="C4349" t="s">
        <v>9047</v>
      </c>
      <c r="D4349" t="s">
        <v>2442</v>
      </c>
      <c r="E4349">
        <v>1010828752</v>
      </c>
      <c r="P4349">
        <v>16</v>
      </c>
      <c r="Q4349" t="s">
        <v>9048</v>
      </c>
    </row>
    <row r="4350" spans="1:17" x14ac:dyDescent="0.3">
      <c r="A4350" t="s">
        <v>17</v>
      </c>
      <c r="B4350" t="str">
        <f>"688683"</f>
        <v>688683</v>
      </c>
      <c r="C4350" t="s">
        <v>9049</v>
      </c>
      <c r="D4350" t="s">
        <v>283</v>
      </c>
      <c r="E4350">
        <v>1008944426</v>
      </c>
      <c r="F4350">
        <v>606868648</v>
      </c>
      <c r="P4350">
        <v>18</v>
      </c>
      <c r="Q4350" t="s">
        <v>9050</v>
      </c>
    </row>
    <row r="4351" spans="1:17" x14ac:dyDescent="0.3">
      <c r="A4351" t="s">
        <v>47</v>
      </c>
      <c r="B4351" t="str">
        <f>"301279"</f>
        <v>301279</v>
      </c>
      <c r="C4351" t="s">
        <v>9051</v>
      </c>
      <c r="E4351">
        <v>1008906661</v>
      </c>
      <c r="P4351">
        <v>5</v>
      </c>
      <c r="Q4351" t="s">
        <v>9052</v>
      </c>
    </row>
    <row r="4352" spans="1:17" x14ac:dyDescent="0.3">
      <c r="A4352" t="s">
        <v>47</v>
      </c>
      <c r="B4352" t="str">
        <f>"301229"</f>
        <v>301229</v>
      </c>
      <c r="C4352" t="s">
        <v>9053</v>
      </c>
      <c r="E4352">
        <v>1007694502</v>
      </c>
      <c r="P4352">
        <v>6</v>
      </c>
      <c r="Q4352" t="s">
        <v>9054</v>
      </c>
    </row>
    <row r="4353" spans="1:17" x14ac:dyDescent="0.3">
      <c r="A4353" t="s">
        <v>47</v>
      </c>
      <c r="B4353" t="str">
        <f>"000679"</f>
        <v>000679</v>
      </c>
      <c r="C4353" t="s">
        <v>9055</v>
      </c>
      <c r="D4353" t="s">
        <v>780</v>
      </c>
      <c r="E4353">
        <v>1006209887</v>
      </c>
      <c r="F4353">
        <v>1327221847</v>
      </c>
      <c r="G4353">
        <v>4501073923</v>
      </c>
      <c r="H4353">
        <v>5463237728</v>
      </c>
      <c r="I4353">
        <v>5933844480</v>
      </c>
      <c r="J4353">
        <v>6190369154</v>
      </c>
      <c r="K4353">
        <v>8419278581</v>
      </c>
      <c r="L4353">
        <v>8651939317</v>
      </c>
      <c r="M4353">
        <v>10322565928</v>
      </c>
      <c r="N4353">
        <v>9418520831</v>
      </c>
      <c r="O4353">
        <v>9521301523</v>
      </c>
      <c r="P4353">
        <v>83</v>
      </c>
      <c r="Q4353" t="s">
        <v>9056</v>
      </c>
    </row>
    <row r="4354" spans="1:17" x14ac:dyDescent="0.3">
      <c r="A4354" t="s">
        <v>47</v>
      </c>
      <c r="B4354" t="str">
        <f>"300452"</f>
        <v>300452</v>
      </c>
      <c r="C4354" t="s">
        <v>9057</v>
      </c>
      <c r="D4354" t="s">
        <v>1112</v>
      </c>
      <c r="E4354">
        <v>1004309114</v>
      </c>
      <c r="F4354">
        <v>945213084</v>
      </c>
      <c r="G4354">
        <v>835272175</v>
      </c>
      <c r="H4354">
        <v>716399688</v>
      </c>
      <c r="I4354">
        <v>685877416</v>
      </c>
      <c r="J4354">
        <v>523914474</v>
      </c>
      <c r="K4354">
        <v>476028885</v>
      </c>
      <c r="L4354">
        <v>279380400</v>
      </c>
      <c r="M4354">
        <v>266394400</v>
      </c>
      <c r="P4354">
        <v>300</v>
      </c>
      <c r="Q4354" t="s">
        <v>9058</v>
      </c>
    </row>
    <row r="4355" spans="1:17" x14ac:dyDescent="0.3">
      <c r="A4355" t="s">
        <v>47</v>
      </c>
      <c r="B4355" t="str">
        <f>"300622"</f>
        <v>300622</v>
      </c>
      <c r="C4355" t="s">
        <v>9059</v>
      </c>
      <c r="D4355" t="s">
        <v>1904</v>
      </c>
      <c r="E4355">
        <v>1002794200</v>
      </c>
      <c r="F4355">
        <v>938124188</v>
      </c>
      <c r="G4355">
        <v>718881533</v>
      </c>
      <c r="H4355">
        <v>615329970</v>
      </c>
      <c r="I4355">
        <v>561271565</v>
      </c>
      <c r="J4355">
        <v>499794091</v>
      </c>
      <c r="P4355">
        <v>123</v>
      </c>
      <c r="Q4355" t="s">
        <v>9060</v>
      </c>
    </row>
    <row r="4356" spans="1:17" x14ac:dyDescent="0.3">
      <c r="A4356" t="s">
        <v>47</v>
      </c>
      <c r="B4356" t="str">
        <f>"300605"</f>
        <v>300605</v>
      </c>
      <c r="C4356" t="s">
        <v>9061</v>
      </c>
      <c r="D4356" t="s">
        <v>1859</v>
      </c>
      <c r="E4356">
        <v>1002776210</v>
      </c>
      <c r="F4356">
        <v>960448770</v>
      </c>
      <c r="G4356">
        <v>847747585</v>
      </c>
      <c r="H4356">
        <v>750080017</v>
      </c>
      <c r="I4356">
        <v>621590204</v>
      </c>
      <c r="J4356">
        <v>514880296</v>
      </c>
      <c r="P4356">
        <v>93</v>
      </c>
      <c r="Q4356" t="s">
        <v>9062</v>
      </c>
    </row>
    <row r="4357" spans="1:17" x14ac:dyDescent="0.3">
      <c r="A4357" t="s">
        <v>47</v>
      </c>
      <c r="B4357" t="str">
        <f>"301159"</f>
        <v>301159</v>
      </c>
      <c r="C4357" t="s">
        <v>9063</v>
      </c>
      <c r="D4357" t="s">
        <v>1859</v>
      </c>
      <c r="E4357">
        <v>1002509050</v>
      </c>
      <c r="G4357">
        <v>349352131</v>
      </c>
      <c r="P4357">
        <v>10</v>
      </c>
      <c r="Q4357" t="s">
        <v>9064</v>
      </c>
    </row>
    <row r="4358" spans="1:17" x14ac:dyDescent="0.3">
      <c r="A4358" t="s">
        <v>47</v>
      </c>
      <c r="B4358" t="str">
        <f>"301130"</f>
        <v>301130</v>
      </c>
      <c r="C4358" t="s">
        <v>9065</v>
      </c>
      <c r="E4358">
        <v>1002392131</v>
      </c>
      <c r="P4358">
        <v>7</v>
      </c>
      <c r="Q4358" t="s">
        <v>9066</v>
      </c>
    </row>
    <row r="4359" spans="1:17" x14ac:dyDescent="0.3">
      <c r="A4359" t="s">
        <v>17</v>
      </c>
      <c r="B4359" t="str">
        <f>"688528"</f>
        <v>688528</v>
      </c>
      <c r="C4359" t="s">
        <v>9067</v>
      </c>
      <c r="D4359" t="s">
        <v>3722</v>
      </c>
      <c r="E4359">
        <v>1001927777</v>
      </c>
      <c r="F4359">
        <v>955400130</v>
      </c>
      <c r="G4359">
        <v>468585872</v>
      </c>
      <c r="P4359">
        <v>42</v>
      </c>
      <c r="Q4359" t="s">
        <v>9068</v>
      </c>
    </row>
    <row r="4360" spans="1:17" x14ac:dyDescent="0.3">
      <c r="A4360" t="s">
        <v>17</v>
      </c>
      <c r="B4360" t="str">
        <f>"688260"</f>
        <v>688260</v>
      </c>
      <c r="C4360" t="s">
        <v>9069</v>
      </c>
      <c r="D4360" t="s">
        <v>283</v>
      </c>
      <c r="E4360">
        <v>1000384739</v>
      </c>
      <c r="F4360">
        <v>932163437</v>
      </c>
      <c r="P4360">
        <v>24</v>
      </c>
      <c r="Q4360" t="s">
        <v>9070</v>
      </c>
    </row>
    <row r="4361" spans="1:17" x14ac:dyDescent="0.3">
      <c r="A4361" t="s">
        <v>47</v>
      </c>
      <c r="B4361" t="str">
        <f>"002903"</f>
        <v>002903</v>
      </c>
      <c r="C4361" t="s">
        <v>9071</v>
      </c>
      <c r="D4361" t="s">
        <v>3186</v>
      </c>
      <c r="E4361">
        <v>998178694</v>
      </c>
      <c r="F4361">
        <v>944707654</v>
      </c>
      <c r="G4361">
        <v>672829477</v>
      </c>
      <c r="H4361">
        <v>686496081</v>
      </c>
      <c r="I4361">
        <v>786678664</v>
      </c>
      <c r="P4361">
        <v>143</v>
      </c>
      <c r="Q4361" t="s">
        <v>9072</v>
      </c>
    </row>
    <row r="4362" spans="1:17" x14ac:dyDescent="0.3">
      <c r="A4362" t="s">
        <v>47</v>
      </c>
      <c r="B4362" t="str">
        <f>"002767"</f>
        <v>002767</v>
      </c>
      <c r="C4362" t="s">
        <v>9073</v>
      </c>
      <c r="D4362" t="s">
        <v>3722</v>
      </c>
      <c r="E4362">
        <v>997191051</v>
      </c>
      <c r="F4362">
        <v>942966472</v>
      </c>
      <c r="G4362">
        <v>851831478</v>
      </c>
      <c r="H4362">
        <v>823300939</v>
      </c>
      <c r="I4362">
        <v>804044867</v>
      </c>
      <c r="J4362">
        <v>766163243</v>
      </c>
      <c r="K4362">
        <v>708060401</v>
      </c>
      <c r="L4362">
        <v>382203700</v>
      </c>
      <c r="P4362">
        <v>73</v>
      </c>
      <c r="Q4362" t="s">
        <v>9074</v>
      </c>
    </row>
    <row r="4363" spans="1:17" x14ac:dyDescent="0.3">
      <c r="A4363" t="s">
        <v>17</v>
      </c>
      <c r="B4363" t="str">
        <f>"603701"</f>
        <v>603701</v>
      </c>
      <c r="C4363" t="s">
        <v>9075</v>
      </c>
      <c r="D4363" t="s">
        <v>274</v>
      </c>
      <c r="E4363">
        <v>995248170</v>
      </c>
      <c r="F4363">
        <v>987716606</v>
      </c>
      <c r="G4363">
        <v>974614733</v>
      </c>
      <c r="H4363">
        <v>944019355</v>
      </c>
      <c r="I4363">
        <v>840615091</v>
      </c>
      <c r="J4363">
        <v>771364757</v>
      </c>
      <c r="K4363">
        <v>480346213</v>
      </c>
      <c r="P4363">
        <v>93</v>
      </c>
      <c r="Q4363" t="s">
        <v>9076</v>
      </c>
    </row>
    <row r="4364" spans="1:17" x14ac:dyDescent="0.3">
      <c r="A4364" t="s">
        <v>17</v>
      </c>
      <c r="B4364" t="str">
        <f>"605255"</f>
        <v>605255</v>
      </c>
      <c r="C4364" t="s">
        <v>9077</v>
      </c>
      <c r="D4364" t="s">
        <v>274</v>
      </c>
      <c r="E4364">
        <v>995186096</v>
      </c>
      <c r="F4364">
        <v>1035800884</v>
      </c>
      <c r="P4364">
        <v>51</v>
      </c>
      <c r="Q4364" t="s">
        <v>9078</v>
      </c>
    </row>
    <row r="4365" spans="1:17" x14ac:dyDescent="0.3">
      <c r="A4365" t="s">
        <v>17</v>
      </c>
      <c r="B4365" t="str">
        <f>"688195"</f>
        <v>688195</v>
      </c>
      <c r="C4365" t="s">
        <v>9079</v>
      </c>
      <c r="D4365" t="s">
        <v>1487</v>
      </c>
      <c r="E4365">
        <v>994801121</v>
      </c>
      <c r="F4365">
        <v>1043530495</v>
      </c>
      <c r="P4365">
        <v>41</v>
      </c>
      <c r="Q4365" t="s">
        <v>9080</v>
      </c>
    </row>
    <row r="4366" spans="1:17" x14ac:dyDescent="0.3">
      <c r="A4366" t="s">
        <v>47</v>
      </c>
      <c r="B4366" t="str">
        <f>"002356"</f>
        <v>002356</v>
      </c>
      <c r="C4366" t="s">
        <v>9081</v>
      </c>
      <c r="D4366" t="s">
        <v>780</v>
      </c>
      <c r="E4366">
        <v>994351386</v>
      </c>
      <c r="F4366">
        <v>1007101627</v>
      </c>
      <c r="G4366">
        <v>2249805233</v>
      </c>
      <c r="H4366">
        <v>4083087722</v>
      </c>
      <c r="I4366">
        <v>6656742816</v>
      </c>
      <c r="J4366">
        <v>5537713200</v>
      </c>
      <c r="K4366">
        <v>3387834338</v>
      </c>
      <c r="L4366">
        <v>2359693006</v>
      </c>
      <c r="M4366">
        <v>1399329383</v>
      </c>
      <c r="N4366">
        <v>1282370140</v>
      </c>
      <c r="O4366">
        <v>1218815414</v>
      </c>
      <c r="P4366">
        <v>75</v>
      </c>
      <c r="Q4366" t="s">
        <v>9082</v>
      </c>
    </row>
    <row r="4367" spans="1:17" x14ac:dyDescent="0.3">
      <c r="A4367" t="s">
        <v>47</v>
      </c>
      <c r="B4367" t="str">
        <f>"000798"</f>
        <v>000798</v>
      </c>
      <c r="C4367" t="s">
        <v>9083</v>
      </c>
      <c r="D4367" t="s">
        <v>5893</v>
      </c>
      <c r="E4367">
        <v>993828658</v>
      </c>
      <c r="F4367">
        <v>1119511462</v>
      </c>
      <c r="G4367">
        <v>1146424403</v>
      </c>
      <c r="H4367">
        <v>979135911</v>
      </c>
      <c r="I4367">
        <v>1018013798</v>
      </c>
      <c r="J4367">
        <v>890962388</v>
      </c>
      <c r="K4367">
        <v>830238850</v>
      </c>
      <c r="L4367">
        <v>1170226790</v>
      </c>
      <c r="M4367">
        <v>913980624</v>
      </c>
      <c r="N4367">
        <v>853825236</v>
      </c>
      <c r="O4367">
        <v>880502731</v>
      </c>
      <c r="P4367">
        <v>83</v>
      </c>
      <c r="Q4367" t="s">
        <v>9084</v>
      </c>
    </row>
    <row r="4368" spans="1:17" x14ac:dyDescent="0.3">
      <c r="A4368" t="s">
        <v>17</v>
      </c>
      <c r="B4368" t="str">
        <f>"688117"</f>
        <v>688117</v>
      </c>
      <c r="C4368" t="s">
        <v>9085</v>
      </c>
      <c r="D4368" t="s">
        <v>550</v>
      </c>
      <c r="E4368">
        <v>992618993</v>
      </c>
      <c r="F4368">
        <v>608014173</v>
      </c>
      <c r="P4368">
        <v>29</v>
      </c>
      <c r="Q4368" t="s">
        <v>9086</v>
      </c>
    </row>
    <row r="4369" spans="1:17" x14ac:dyDescent="0.3">
      <c r="A4369" t="s">
        <v>47</v>
      </c>
      <c r="B4369" t="str">
        <f>"300479"</f>
        <v>300479</v>
      </c>
      <c r="C4369" t="s">
        <v>9087</v>
      </c>
      <c r="D4369" t="s">
        <v>765</v>
      </c>
      <c r="E4369">
        <v>992341746</v>
      </c>
      <c r="F4369">
        <v>922924248</v>
      </c>
      <c r="G4369">
        <v>891556831</v>
      </c>
      <c r="H4369">
        <v>884538238</v>
      </c>
      <c r="I4369">
        <v>616120256</v>
      </c>
      <c r="J4369">
        <v>515403819</v>
      </c>
      <c r="K4369">
        <v>490923106</v>
      </c>
      <c r="L4369">
        <v>254603440</v>
      </c>
      <c r="P4369">
        <v>167</v>
      </c>
      <c r="Q4369" t="s">
        <v>9088</v>
      </c>
    </row>
    <row r="4370" spans="1:17" x14ac:dyDescent="0.3">
      <c r="A4370" t="s">
        <v>17</v>
      </c>
      <c r="B4370" t="str">
        <f>"688058"</f>
        <v>688058</v>
      </c>
      <c r="C4370" t="s">
        <v>9089</v>
      </c>
      <c r="D4370" t="s">
        <v>1010</v>
      </c>
      <c r="E4370">
        <v>991741524</v>
      </c>
      <c r="F4370">
        <v>1002468782</v>
      </c>
      <c r="G4370">
        <v>947136742</v>
      </c>
      <c r="P4370">
        <v>96</v>
      </c>
      <c r="Q4370" t="s">
        <v>9090</v>
      </c>
    </row>
    <row r="4371" spans="1:17" x14ac:dyDescent="0.3">
      <c r="A4371" t="s">
        <v>17</v>
      </c>
      <c r="B4371" t="str">
        <f>"600234"</f>
        <v>600234</v>
      </c>
      <c r="C4371" t="s">
        <v>9091</v>
      </c>
      <c r="D4371" t="s">
        <v>810</v>
      </c>
      <c r="E4371">
        <v>991618841</v>
      </c>
      <c r="F4371">
        <v>980457807</v>
      </c>
      <c r="G4371">
        <v>599845073</v>
      </c>
      <c r="H4371">
        <v>522830597</v>
      </c>
      <c r="I4371">
        <v>528000490</v>
      </c>
      <c r="J4371">
        <v>485787981</v>
      </c>
      <c r="K4371">
        <v>481962267</v>
      </c>
      <c r="L4371">
        <v>460471207</v>
      </c>
      <c r="M4371">
        <v>438586933</v>
      </c>
      <c r="N4371">
        <v>392272075</v>
      </c>
      <c r="O4371">
        <v>405334010</v>
      </c>
      <c r="P4371">
        <v>59</v>
      </c>
      <c r="Q4371" t="s">
        <v>9092</v>
      </c>
    </row>
    <row r="4372" spans="1:17" x14ac:dyDescent="0.3">
      <c r="A4372" t="s">
        <v>17</v>
      </c>
      <c r="B4372" t="str">
        <f>"603037"</f>
        <v>603037</v>
      </c>
      <c r="C4372" t="s">
        <v>9093</v>
      </c>
      <c r="D4372" t="s">
        <v>274</v>
      </c>
      <c r="E4372">
        <v>991559536</v>
      </c>
      <c r="F4372">
        <v>978615162</v>
      </c>
      <c r="G4372">
        <v>932953164</v>
      </c>
      <c r="H4372">
        <v>1006951849</v>
      </c>
      <c r="I4372">
        <v>914364391</v>
      </c>
      <c r="J4372">
        <v>794561227</v>
      </c>
      <c r="P4372">
        <v>230</v>
      </c>
      <c r="Q4372" t="s">
        <v>9094</v>
      </c>
    </row>
    <row r="4373" spans="1:17" x14ac:dyDescent="0.3">
      <c r="A4373" t="s">
        <v>47</v>
      </c>
      <c r="B4373" t="str">
        <f>"300653"</f>
        <v>300653</v>
      </c>
      <c r="C4373" t="s">
        <v>9095</v>
      </c>
      <c r="D4373" t="s">
        <v>1650</v>
      </c>
      <c r="E4373">
        <v>991557795</v>
      </c>
      <c r="F4373">
        <v>836830717</v>
      </c>
      <c r="G4373">
        <v>748016016</v>
      </c>
      <c r="H4373">
        <v>614852431</v>
      </c>
      <c r="I4373">
        <v>552440299</v>
      </c>
      <c r="J4373">
        <v>266862025</v>
      </c>
      <c r="P4373">
        <v>898</v>
      </c>
      <c r="Q4373" t="s">
        <v>9096</v>
      </c>
    </row>
    <row r="4374" spans="1:17" x14ac:dyDescent="0.3">
      <c r="A4374" t="s">
        <v>47</v>
      </c>
      <c r="B4374" t="str">
        <f>"300713"</f>
        <v>300713</v>
      </c>
      <c r="C4374" t="s">
        <v>9097</v>
      </c>
      <c r="D4374" t="s">
        <v>2256</v>
      </c>
      <c r="E4374">
        <v>989863274</v>
      </c>
      <c r="F4374">
        <v>936529052</v>
      </c>
      <c r="G4374">
        <v>969679389</v>
      </c>
      <c r="H4374">
        <v>977906832</v>
      </c>
      <c r="I4374">
        <v>935387753</v>
      </c>
      <c r="P4374">
        <v>81</v>
      </c>
      <c r="Q4374" t="s">
        <v>9098</v>
      </c>
    </row>
    <row r="4375" spans="1:17" x14ac:dyDescent="0.3">
      <c r="A4375" t="s">
        <v>47</v>
      </c>
      <c r="B4375" t="str">
        <f>"300469"</f>
        <v>300469</v>
      </c>
      <c r="C4375" t="s">
        <v>9099</v>
      </c>
      <c r="D4375" t="s">
        <v>1859</v>
      </c>
      <c r="E4375">
        <v>989812593</v>
      </c>
      <c r="F4375">
        <v>1118445955</v>
      </c>
      <c r="G4375">
        <v>1253781406</v>
      </c>
      <c r="H4375">
        <v>1405440708</v>
      </c>
      <c r="I4375">
        <v>1207291772</v>
      </c>
      <c r="J4375">
        <v>894704836</v>
      </c>
      <c r="K4375">
        <v>693640067</v>
      </c>
      <c r="L4375">
        <v>433244898</v>
      </c>
      <c r="P4375">
        <v>96</v>
      </c>
      <c r="Q4375" t="s">
        <v>9100</v>
      </c>
    </row>
    <row r="4376" spans="1:17" x14ac:dyDescent="0.3">
      <c r="A4376" t="s">
        <v>17</v>
      </c>
      <c r="B4376" t="str">
        <f>"600599"</f>
        <v>600599</v>
      </c>
      <c r="C4376" t="s">
        <v>9101</v>
      </c>
      <c r="D4376" t="s">
        <v>109</v>
      </c>
      <c r="E4376">
        <v>988317276</v>
      </c>
      <c r="F4376">
        <v>846374019</v>
      </c>
      <c r="G4376">
        <v>758546695</v>
      </c>
      <c r="H4376">
        <v>908498939</v>
      </c>
      <c r="I4376">
        <v>1241378061</v>
      </c>
      <c r="J4376">
        <v>1228668099</v>
      </c>
      <c r="K4376">
        <v>909638352</v>
      </c>
      <c r="L4376">
        <v>940888387</v>
      </c>
      <c r="M4376">
        <v>935366995</v>
      </c>
      <c r="N4376">
        <v>550048225</v>
      </c>
      <c r="O4376">
        <v>515146888</v>
      </c>
      <c r="P4376">
        <v>54</v>
      </c>
      <c r="Q4376" t="s">
        <v>9102</v>
      </c>
    </row>
    <row r="4377" spans="1:17" x14ac:dyDescent="0.3">
      <c r="A4377" t="s">
        <v>47</v>
      </c>
      <c r="B4377" t="str">
        <f>"300876"</f>
        <v>300876</v>
      </c>
      <c r="C4377" t="s">
        <v>9103</v>
      </c>
      <c r="D4377" t="s">
        <v>2454</v>
      </c>
      <c r="E4377">
        <v>988044488</v>
      </c>
      <c r="F4377">
        <v>857462126</v>
      </c>
      <c r="P4377">
        <v>67</v>
      </c>
      <c r="Q4377" t="s">
        <v>9104</v>
      </c>
    </row>
    <row r="4378" spans="1:17" x14ac:dyDescent="0.3">
      <c r="A4378" t="s">
        <v>47</v>
      </c>
      <c r="B4378" t="str">
        <f>"002259"</f>
        <v>002259</v>
      </c>
      <c r="C4378" t="s">
        <v>9105</v>
      </c>
      <c r="D4378" t="s">
        <v>476</v>
      </c>
      <c r="E4378">
        <v>987390159</v>
      </c>
      <c r="F4378">
        <v>1033463764</v>
      </c>
      <c r="G4378">
        <v>1535379901</v>
      </c>
      <c r="H4378">
        <v>2765817404</v>
      </c>
      <c r="I4378">
        <v>3007798524</v>
      </c>
      <c r="J4378">
        <v>3280068567</v>
      </c>
      <c r="K4378">
        <v>2892557657</v>
      </c>
      <c r="L4378">
        <v>1927931886</v>
      </c>
      <c r="M4378">
        <v>2753205898</v>
      </c>
      <c r="N4378">
        <v>2493841594</v>
      </c>
      <c r="O4378">
        <v>2573968562</v>
      </c>
      <c r="P4378">
        <v>59</v>
      </c>
      <c r="Q4378" t="s">
        <v>9106</v>
      </c>
    </row>
    <row r="4379" spans="1:17" x14ac:dyDescent="0.3">
      <c r="A4379" t="s">
        <v>47</v>
      </c>
      <c r="B4379" t="str">
        <f>"300781"</f>
        <v>300781</v>
      </c>
      <c r="C4379" t="s">
        <v>9107</v>
      </c>
      <c r="D4379" t="s">
        <v>1824</v>
      </c>
      <c r="E4379">
        <v>985979145</v>
      </c>
      <c r="F4379">
        <v>877445452</v>
      </c>
      <c r="G4379">
        <v>704661180</v>
      </c>
      <c r="H4379">
        <v>382588329</v>
      </c>
      <c r="P4379">
        <v>100</v>
      </c>
      <c r="Q4379" t="s">
        <v>9108</v>
      </c>
    </row>
    <row r="4380" spans="1:17" x14ac:dyDescent="0.3">
      <c r="A4380" t="s">
        <v>47</v>
      </c>
      <c r="B4380" t="str">
        <f>"001234"</f>
        <v>001234</v>
      </c>
      <c r="C4380" t="s">
        <v>9109</v>
      </c>
      <c r="D4380" t="s">
        <v>3463</v>
      </c>
      <c r="E4380">
        <v>985565549</v>
      </c>
      <c r="P4380">
        <v>16</v>
      </c>
      <c r="Q4380" t="s">
        <v>9110</v>
      </c>
    </row>
    <row r="4381" spans="1:17" x14ac:dyDescent="0.3">
      <c r="A4381" t="s">
        <v>47</v>
      </c>
      <c r="B4381" t="str">
        <f>"301055"</f>
        <v>301055</v>
      </c>
      <c r="C4381" t="s">
        <v>9111</v>
      </c>
      <c r="D4381" t="s">
        <v>2016</v>
      </c>
      <c r="E4381">
        <v>984154023</v>
      </c>
      <c r="P4381">
        <v>28</v>
      </c>
      <c r="Q4381" t="s">
        <v>9112</v>
      </c>
    </row>
    <row r="4382" spans="1:17" x14ac:dyDescent="0.3">
      <c r="A4382" t="s">
        <v>17</v>
      </c>
      <c r="B4382" t="str">
        <f>"688129"</f>
        <v>688129</v>
      </c>
      <c r="C4382" t="s">
        <v>9113</v>
      </c>
      <c r="D4382" t="s">
        <v>5419</v>
      </c>
      <c r="E4382">
        <v>983700619</v>
      </c>
      <c r="F4382">
        <v>894615144</v>
      </c>
      <c r="P4382">
        <v>38</v>
      </c>
      <c r="Q4382" t="s">
        <v>9114</v>
      </c>
    </row>
    <row r="4383" spans="1:17" x14ac:dyDescent="0.3">
      <c r="A4383" t="s">
        <v>47</v>
      </c>
      <c r="B4383" t="str">
        <f>"300141"</f>
        <v>300141</v>
      </c>
      <c r="C4383" t="s">
        <v>9115</v>
      </c>
      <c r="D4383" t="s">
        <v>562</v>
      </c>
      <c r="E4383">
        <v>982585153</v>
      </c>
      <c r="F4383">
        <v>969866085</v>
      </c>
      <c r="G4383">
        <v>1266843087</v>
      </c>
      <c r="H4383">
        <v>1497354875</v>
      </c>
      <c r="I4383">
        <v>1217065931</v>
      </c>
      <c r="J4383">
        <v>926512889</v>
      </c>
      <c r="K4383">
        <v>832095292</v>
      </c>
      <c r="L4383">
        <v>823923591</v>
      </c>
      <c r="M4383">
        <v>771799258</v>
      </c>
      <c r="N4383">
        <v>742316281</v>
      </c>
      <c r="O4383">
        <v>703046895</v>
      </c>
      <c r="P4383">
        <v>91</v>
      </c>
      <c r="Q4383" t="s">
        <v>9116</v>
      </c>
    </row>
    <row r="4384" spans="1:17" x14ac:dyDescent="0.3">
      <c r="A4384" t="s">
        <v>47</v>
      </c>
      <c r="B4384" t="str">
        <f>"300731"</f>
        <v>300731</v>
      </c>
      <c r="C4384" t="s">
        <v>9117</v>
      </c>
      <c r="D4384" t="s">
        <v>3921</v>
      </c>
      <c r="E4384">
        <v>982028524</v>
      </c>
      <c r="F4384">
        <v>982192471</v>
      </c>
      <c r="G4384">
        <v>740742907</v>
      </c>
      <c r="H4384">
        <v>653548256</v>
      </c>
      <c r="I4384">
        <v>556285037</v>
      </c>
      <c r="P4384">
        <v>186</v>
      </c>
      <c r="Q4384" t="s">
        <v>9118</v>
      </c>
    </row>
    <row r="4385" spans="1:17" x14ac:dyDescent="0.3">
      <c r="A4385" t="s">
        <v>17</v>
      </c>
      <c r="B4385" t="str">
        <f>"603286"</f>
        <v>603286</v>
      </c>
      <c r="C4385" t="s">
        <v>9119</v>
      </c>
      <c r="D4385" t="s">
        <v>274</v>
      </c>
      <c r="E4385">
        <v>981854518</v>
      </c>
      <c r="F4385">
        <v>809432298</v>
      </c>
      <c r="G4385">
        <v>850559351</v>
      </c>
      <c r="H4385">
        <v>668877393</v>
      </c>
      <c r="I4385">
        <v>554213687</v>
      </c>
      <c r="J4385">
        <v>390766688</v>
      </c>
      <c r="P4385">
        <v>66</v>
      </c>
      <c r="Q4385" t="s">
        <v>9120</v>
      </c>
    </row>
    <row r="4386" spans="1:17" x14ac:dyDescent="0.3">
      <c r="A4386" t="s">
        <v>47</v>
      </c>
      <c r="B4386" t="str">
        <f>"300071"</f>
        <v>300071</v>
      </c>
      <c r="C4386" t="s">
        <v>9121</v>
      </c>
      <c r="D4386" t="s">
        <v>1824</v>
      </c>
      <c r="E4386">
        <v>981188596</v>
      </c>
      <c r="F4386">
        <v>1186054253</v>
      </c>
      <c r="G4386">
        <v>1739542953</v>
      </c>
      <c r="H4386">
        <v>2398923147</v>
      </c>
      <c r="I4386">
        <v>3460137567</v>
      </c>
      <c r="J4386">
        <v>3329532896</v>
      </c>
      <c r="K4386">
        <v>2582918965</v>
      </c>
      <c r="L4386">
        <v>1712419172</v>
      </c>
      <c r="M4386">
        <v>898415998</v>
      </c>
      <c r="N4386">
        <v>791088730</v>
      </c>
      <c r="O4386">
        <v>594171741</v>
      </c>
      <c r="P4386">
        <v>84</v>
      </c>
      <c r="Q4386" t="s">
        <v>9122</v>
      </c>
    </row>
    <row r="4387" spans="1:17" x14ac:dyDescent="0.3">
      <c r="A4387" t="s">
        <v>47</v>
      </c>
      <c r="B4387" t="str">
        <f>"301212"</f>
        <v>301212</v>
      </c>
      <c r="C4387" t="s">
        <v>9123</v>
      </c>
      <c r="E4387">
        <v>981058011</v>
      </c>
      <c r="P4387">
        <v>3</v>
      </c>
      <c r="Q4387" t="s">
        <v>9124</v>
      </c>
    </row>
    <row r="4388" spans="1:17" x14ac:dyDescent="0.3">
      <c r="A4388" t="s">
        <v>47</v>
      </c>
      <c r="B4388" t="str">
        <f>"300969"</f>
        <v>300969</v>
      </c>
      <c r="C4388" t="s">
        <v>9125</v>
      </c>
      <c r="D4388" t="s">
        <v>416</v>
      </c>
      <c r="E4388">
        <v>980943324</v>
      </c>
      <c r="F4388">
        <v>470063151</v>
      </c>
      <c r="P4388">
        <v>42</v>
      </c>
      <c r="Q4388" t="s">
        <v>9126</v>
      </c>
    </row>
    <row r="4389" spans="1:17" x14ac:dyDescent="0.3">
      <c r="A4389" t="s">
        <v>17</v>
      </c>
      <c r="B4389" t="str">
        <f>"600721"</f>
        <v>600721</v>
      </c>
      <c r="C4389" t="s">
        <v>9127</v>
      </c>
      <c r="D4389" t="s">
        <v>777</v>
      </c>
      <c r="E4389">
        <v>980924866</v>
      </c>
      <c r="F4389">
        <v>960827825</v>
      </c>
      <c r="G4389">
        <v>1282128516</v>
      </c>
      <c r="H4389">
        <v>1235967628</v>
      </c>
      <c r="I4389">
        <v>2050408257</v>
      </c>
      <c r="J4389">
        <v>2789604357</v>
      </c>
      <c r="K4389">
        <v>3826012093</v>
      </c>
      <c r="L4389">
        <v>4087007537</v>
      </c>
      <c r="M4389">
        <v>4392105963</v>
      </c>
      <c r="N4389">
        <v>4449534883</v>
      </c>
      <c r="O4389">
        <v>4349942352</v>
      </c>
      <c r="P4389">
        <v>78</v>
      </c>
      <c r="Q4389" t="s">
        <v>9128</v>
      </c>
    </row>
    <row r="4390" spans="1:17" x14ac:dyDescent="0.3">
      <c r="A4390" t="s">
        <v>47</v>
      </c>
      <c r="B4390" t="str">
        <f>"300519"</f>
        <v>300519</v>
      </c>
      <c r="C4390" t="s">
        <v>9129</v>
      </c>
      <c r="D4390" t="s">
        <v>695</v>
      </c>
      <c r="E4390">
        <v>979092999</v>
      </c>
      <c r="F4390">
        <v>928879475</v>
      </c>
      <c r="G4390">
        <v>884581882</v>
      </c>
      <c r="H4390">
        <v>849239171</v>
      </c>
      <c r="I4390">
        <v>797817518</v>
      </c>
      <c r="J4390">
        <v>722001159</v>
      </c>
      <c r="K4390">
        <v>399607517</v>
      </c>
      <c r="P4390">
        <v>251</v>
      </c>
      <c r="Q4390" t="s">
        <v>9130</v>
      </c>
    </row>
    <row r="4391" spans="1:17" x14ac:dyDescent="0.3">
      <c r="A4391" t="s">
        <v>47</v>
      </c>
      <c r="B4391" t="str">
        <f>"300819"</f>
        <v>300819</v>
      </c>
      <c r="C4391" t="s">
        <v>9131</v>
      </c>
      <c r="D4391" t="s">
        <v>3463</v>
      </c>
      <c r="E4391">
        <v>979001267</v>
      </c>
      <c r="F4391">
        <v>968944223</v>
      </c>
      <c r="G4391">
        <v>937244805</v>
      </c>
      <c r="P4391">
        <v>50</v>
      </c>
      <c r="Q4391" t="s">
        <v>9132</v>
      </c>
    </row>
    <row r="4392" spans="1:17" x14ac:dyDescent="0.3">
      <c r="A4392" t="s">
        <v>17</v>
      </c>
      <c r="B4392" t="str">
        <f>"688156"</f>
        <v>688156</v>
      </c>
      <c r="C4392" t="s">
        <v>9133</v>
      </c>
      <c r="D4392" t="s">
        <v>1310</v>
      </c>
      <c r="E4392">
        <v>978143257</v>
      </c>
      <c r="F4392">
        <v>890318013</v>
      </c>
      <c r="G4392">
        <v>473707243</v>
      </c>
      <c r="P4392">
        <v>41</v>
      </c>
      <c r="Q4392" t="s">
        <v>9134</v>
      </c>
    </row>
    <row r="4393" spans="1:17" x14ac:dyDescent="0.3">
      <c r="A4393" t="s">
        <v>17</v>
      </c>
      <c r="B4393" t="str">
        <f>"603016"</f>
        <v>603016</v>
      </c>
      <c r="C4393" t="s">
        <v>9135</v>
      </c>
      <c r="D4393" t="s">
        <v>562</v>
      </c>
      <c r="E4393">
        <v>978097799</v>
      </c>
      <c r="F4393">
        <v>954684673</v>
      </c>
      <c r="G4393">
        <v>946825923</v>
      </c>
      <c r="H4393">
        <v>951816768</v>
      </c>
      <c r="I4393">
        <v>929937302</v>
      </c>
      <c r="J4393">
        <v>921516215</v>
      </c>
      <c r="K4393">
        <v>575082465</v>
      </c>
      <c r="P4393">
        <v>93</v>
      </c>
      <c r="Q4393" t="s">
        <v>9136</v>
      </c>
    </row>
    <row r="4394" spans="1:17" x14ac:dyDescent="0.3">
      <c r="A4394" t="s">
        <v>47</v>
      </c>
      <c r="B4394" t="str">
        <f>"300299"</f>
        <v>300299</v>
      </c>
      <c r="C4394" t="s">
        <v>9137</v>
      </c>
      <c r="D4394" t="s">
        <v>1032</v>
      </c>
      <c r="E4394">
        <v>975260941</v>
      </c>
      <c r="F4394">
        <v>1191709526</v>
      </c>
      <c r="G4394">
        <v>1508084387</v>
      </c>
      <c r="H4394">
        <v>2222270752</v>
      </c>
      <c r="I4394">
        <v>2260985230</v>
      </c>
      <c r="J4394">
        <v>2703477027</v>
      </c>
      <c r="K4394">
        <v>1614415182</v>
      </c>
      <c r="L4394">
        <v>562807566</v>
      </c>
      <c r="M4394">
        <v>498669115</v>
      </c>
      <c r="N4394">
        <v>458969440</v>
      </c>
      <c r="O4394">
        <v>415247389</v>
      </c>
      <c r="P4394">
        <v>187</v>
      </c>
      <c r="Q4394" t="s">
        <v>9138</v>
      </c>
    </row>
    <row r="4395" spans="1:17" x14ac:dyDescent="0.3">
      <c r="A4395" t="s">
        <v>17</v>
      </c>
      <c r="B4395" t="str">
        <f>"600818"</f>
        <v>600818</v>
      </c>
      <c r="C4395" t="s">
        <v>9139</v>
      </c>
      <c r="D4395" t="s">
        <v>1847</v>
      </c>
      <c r="E4395">
        <v>975173097</v>
      </c>
      <c r="F4395">
        <v>926171021</v>
      </c>
      <c r="G4395">
        <v>934574019</v>
      </c>
      <c r="H4395">
        <v>1012023211</v>
      </c>
      <c r="I4395">
        <v>982820785</v>
      </c>
      <c r="J4395">
        <v>1076892548</v>
      </c>
      <c r="K4395">
        <v>897992152</v>
      </c>
      <c r="L4395">
        <v>817957459</v>
      </c>
      <c r="M4395">
        <v>655302623</v>
      </c>
      <c r="N4395">
        <v>729579193</v>
      </c>
      <c r="O4395">
        <v>733222952</v>
      </c>
      <c r="P4395">
        <v>82</v>
      </c>
      <c r="Q4395" t="s">
        <v>9140</v>
      </c>
    </row>
    <row r="4396" spans="1:17" x14ac:dyDescent="0.3">
      <c r="A4396" t="s">
        <v>47</v>
      </c>
      <c r="B4396" t="str">
        <f>"300270"</f>
        <v>300270</v>
      </c>
      <c r="C4396" t="s">
        <v>9141</v>
      </c>
      <c r="D4396" t="s">
        <v>523</v>
      </c>
      <c r="E4396">
        <v>971994507</v>
      </c>
      <c r="F4396">
        <v>1011496850</v>
      </c>
      <c r="G4396">
        <v>1274932326</v>
      </c>
      <c r="H4396">
        <v>1468787430</v>
      </c>
      <c r="I4396">
        <v>1143491434</v>
      </c>
      <c r="J4396">
        <v>901776662</v>
      </c>
      <c r="K4396">
        <v>818906559</v>
      </c>
      <c r="L4396">
        <v>703556062</v>
      </c>
      <c r="M4396">
        <v>559042891</v>
      </c>
      <c r="N4396">
        <v>524762188</v>
      </c>
      <c r="O4396">
        <v>455557403</v>
      </c>
      <c r="P4396">
        <v>136</v>
      </c>
      <c r="Q4396" t="s">
        <v>9142</v>
      </c>
    </row>
    <row r="4397" spans="1:17" x14ac:dyDescent="0.3">
      <c r="A4397" t="s">
        <v>47</v>
      </c>
      <c r="B4397" t="str">
        <f>"301072"</f>
        <v>301072</v>
      </c>
      <c r="C4397" t="s">
        <v>9143</v>
      </c>
      <c r="D4397" t="s">
        <v>274</v>
      </c>
      <c r="E4397">
        <v>971965391</v>
      </c>
      <c r="P4397">
        <v>17</v>
      </c>
      <c r="Q4397" t="s">
        <v>9144</v>
      </c>
    </row>
    <row r="4398" spans="1:17" x14ac:dyDescent="0.3">
      <c r="A4398" t="s">
        <v>17</v>
      </c>
      <c r="B4398" t="str">
        <f>"688565"</f>
        <v>688565</v>
      </c>
      <c r="C4398" t="s">
        <v>9145</v>
      </c>
      <c r="D4398" t="s">
        <v>520</v>
      </c>
      <c r="E4398">
        <v>970899016</v>
      </c>
      <c r="F4398">
        <v>731071829</v>
      </c>
      <c r="P4398">
        <v>38</v>
      </c>
      <c r="Q4398" t="s">
        <v>9146</v>
      </c>
    </row>
    <row r="4399" spans="1:17" x14ac:dyDescent="0.3">
      <c r="A4399" t="s">
        <v>47</v>
      </c>
      <c r="B4399" t="str">
        <f>"301185"</f>
        <v>301185</v>
      </c>
      <c r="C4399" t="s">
        <v>9147</v>
      </c>
      <c r="D4399" t="s">
        <v>700</v>
      </c>
      <c r="E4399">
        <v>970758800</v>
      </c>
      <c r="P4399">
        <v>20</v>
      </c>
      <c r="Q4399" t="s">
        <v>9148</v>
      </c>
    </row>
    <row r="4400" spans="1:17" x14ac:dyDescent="0.3">
      <c r="A4400" t="s">
        <v>47</v>
      </c>
      <c r="B4400" t="str">
        <f>"300588"</f>
        <v>300588</v>
      </c>
      <c r="C4400" t="s">
        <v>9149</v>
      </c>
      <c r="D4400" t="s">
        <v>523</v>
      </c>
      <c r="E4400">
        <v>968870648</v>
      </c>
      <c r="F4400">
        <v>805611274</v>
      </c>
      <c r="G4400">
        <v>936252115</v>
      </c>
      <c r="H4400">
        <v>961882087</v>
      </c>
      <c r="I4400">
        <v>1014060819</v>
      </c>
      <c r="J4400">
        <v>642031369</v>
      </c>
      <c r="P4400">
        <v>144</v>
      </c>
      <c r="Q4400" t="s">
        <v>9150</v>
      </c>
    </row>
    <row r="4401" spans="1:17" x14ac:dyDescent="0.3">
      <c r="A4401" t="s">
        <v>47</v>
      </c>
      <c r="B4401" t="str">
        <f>"000590"</f>
        <v>000590</v>
      </c>
      <c r="C4401" t="s">
        <v>9151</v>
      </c>
      <c r="D4401" t="s">
        <v>695</v>
      </c>
      <c r="E4401">
        <v>962747888</v>
      </c>
      <c r="F4401">
        <v>920837439</v>
      </c>
      <c r="G4401">
        <v>841742306</v>
      </c>
      <c r="H4401">
        <v>811386713</v>
      </c>
      <c r="I4401">
        <v>845280334</v>
      </c>
      <c r="J4401">
        <v>554822665</v>
      </c>
      <c r="K4401">
        <v>599683262</v>
      </c>
      <c r="L4401">
        <v>536276929</v>
      </c>
      <c r="M4401">
        <v>519376874</v>
      </c>
      <c r="N4401">
        <v>696192560</v>
      </c>
      <c r="O4401">
        <v>634270817</v>
      </c>
      <c r="P4401">
        <v>148</v>
      </c>
      <c r="Q4401" t="s">
        <v>9152</v>
      </c>
    </row>
    <row r="4402" spans="1:17" x14ac:dyDescent="0.3">
      <c r="A4402" t="s">
        <v>17</v>
      </c>
      <c r="B4402" t="str">
        <f>"688109"</f>
        <v>688109</v>
      </c>
      <c r="C4402" t="s">
        <v>9153</v>
      </c>
      <c r="D4402" t="s">
        <v>1859</v>
      </c>
      <c r="E4402">
        <v>961094659</v>
      </c>
      <c r="F4402">
        <v>979377039</v>
      </c>
      <c r="P4402">
        <v>72</v>
      </c>
      <c r="Q4402" t="s">
        <v>9154</v>
      </c>
    </row>
    <row r="4403" spans="1:17" x14ac:dyDescent="0.3">
      <c r="A4403" t="s">
        <v>17</v>
      </c>
      <c r="B4403" t="str">
        <f>"603722"</f>
        <v>603722</v>
      </c>
      <c r="C4403" t="s">
        <v>9155</v>
      </c>
      <c r="D4403" t="s">
        <v>3077</v>
      </c>
      <c r="E4403">
        <v>958318516</v>
      </c>
      <c r="F4403">
        <v>817574898</v>
      </c>
      <c r="G4403">
        <v>687576917</v>
      </c>
      <c r="H4403">
        <v>679965606</v>
      </c>
      <c r="I4403">
        <v>671330351</v>
      </c>
      <c r="P4403">
        <v>83</v>
      </c>
      <c r="Q4403" t="s">
        <v>9156</v>
      </c>
    </row>
    <row r="4404" spans="1:17" x14ac:dyDescent="0.3">
      <c r="A4404" t="s">
        <v>47</v>
      </c>
      <c r="B4404" t="str">
        <f>"003007"</f>
        <v>003007</v>
      </c>
      <c r="C4404" t="s">
        <v>9157</v>
      </c>
      <c r="D4404" t="s">
        <v>1859</v>
      </c>
      <c r="E4404">
        <v>956397136</v>
      </c>
      <c r="F4404">
        <v>1019700396</v>
      </c>
      <c r="P4404">
        <v>38</v>
      </c>
      <c r="Q4404" t="s">
        <v>9158</v>
      </c>
    </row>
    <row r="4405" spans="1:17" x14ac:dyDescent="0.3">
      <c r="A4405" t="s">
        <v>47</v>
      </c>
      <c r="B4405" t="str">
        <f>"301128"</f>
        <v>301128</v>
      </c>
      <c r="C4405" t="s">
        <v>9159</v>
      </c>
      <c r="D4405" t="s">
        <v>1973</v>
      </c>
      <c r="E4405">
        <v>953831949</v>
      </c>
      <c r="P4405">
        <v>12</v>
      </c>
      <c r="Q4405" t="s">
        <v>9160</v>
      </c>
    </row>
    <row r="4406" spans="1:17" x14ac:dyDescent="0.3">
      <c r="A4406" t="s">
        <v>47</v>
      </c>
      <c r="B4406" t="str">
        <f>"301178"</f>
        <v>301178</v>
      </c>
      <c r="C4406" t="s">
        <v>9161</v>
      </c>
      <c r="D4406" t="s">
        <v>700</v>
      </c>
      <c r="E4406">
        <v>953830489</v>
      </c>
      <c r="P4406">
        <v>15</v>
      </c>
      <c r="Q4406" t="s">
        <v>9162</v>
      </c>
    </row>
    <row r="4407" spans="1:17" x14ac:dyDescent="0.3">
      <c r="A4407" t="s">
        <v>17</v>
      </c>
      <c r="B4407" t="str">
        <f>"688589"</f>
        <v>688589</v>
      </c>
      <c r="C4407" t="s">
        <v>9163</v>
      </c>
      <c r="D4407" t="s">
        <v>967</v>
      </c>
      <c r="E4407">
        <v>953076880</v>
      </c>
      <c r="F4407">
        <v>799961559</v>
      </c>
      <c r="G4407">
        <v>346803993</v>
      </c>
      <c r="P4407">
        <v>73</v>
      </c>
      <c r="Q4407" t="s">
        <v>9164</v>
      </c>
    </row>
    <row r="4408" spans="1:17" x14ac:dyDescent="0.3">
      <c r="A4408" t="s">
        <v>47</v>
      </c>
      <c r="B4408" t="str">
        <f>"300921"</f>
        <v>300921</v>
      </c>
      <c r="C4408" t="s">
        <v>9165</v>
      </c>
      <c r="D4408" t="s">
        <v>3761</v>
      </c>
      <c r="E4408">
        <v>949442734</v>
      </c>
      <c r="F4408">
        <v>919254815</v>
      </c>
      <c r="P4408">
        <v>39</v>
      </c>
      <c r="Q4408" t="s">
        <v>9166</v>
      </c>
    </row>
    <row r="4409" spans="1:17" x14ac:dyDescent="0.3">
      <c r="A4409" t="s">
        <v>47</v>
      </c>
      <c r="B4409" t="str">
        <f>"001219"</f>
        <v>001219</v>
      </c>
      <c r="C4409" t="s">
        <v>9167</v>
      </c>
      <c r="D4409" t="s">
        <v>3790</v>
      </c>
      <c r="E4409">
        <v>947422263</v>
      </c>
      <c r="P4409">
        <v>33</v>
      </c>
      <c r="Q4409" t="s">
        <v>9168</v>
      </c>
    </row>
    <row r="4410" spans="1:17" x14ac:dyDescent="0.3">
      <c r="A4410" t="s">
        <v>47</v>
      </c>
      <c r="B4410" t="str">
        <f>"002919"</f>
        <v>002919</v>
      </c>
      <c r="C4410" t="s">
        <v>9169</v>
      </c>
      <c r="D4410" t="s">
        <v>6339</v>
      </c>
      <c r="E4410">
        <v>947253566</v>
      </c>
      <c r="F4410">
        <v>917974156</v>
      </c>
      <c r="G4410">
        <v>674888760</v>
      </c>
      <c r="H4410">
        <v>657152029</v>
      </c>
      <c r="I4410">
        <v>670497118</v>
      </c>
      <c r="P4410">
        <v>146</v>
      </c>
      <c r="Q4410" t="s">
        <v>9170</v>
      </c>
    </row>
    <row r="4411" spans="1:17" x14ac:dyDescent="0.3">
      <c r="A4411" t="s">
        <v>47</v>
      </c>
      <c r="B4411" t="str">
        <f>"300522"</f>
        <v>300522</v>
      </c>
      <c r="C4411" t="s">
        <v>9171</v>
      </c>
      <c r="D4411" t="s">
        <v>5419</v>
      </c>
      <c r="E4411">
        <v>946573725</v>
      </c>
      <c r="F4411">
        <v>899626397</v>
      </c>
      <c r="G4411">
        <v>713403063</v>
      </c>
      <c r="H4411">
        <v>715840582</v>
      </c>
      <c r="I4411">
        <v>655340226</v>
      </c>
      <c r="J4411">
        <v>605540930</v>
      </c>
      <c r="K4411">
        <v>335178663</v>
      </c>
      <c r="P4411">
        <v>99</v>
      </c>
      <c r="Q4411" t="s">
        <v>9172</v>
      </c>
    </row>
    <row r="4412" spans="1:17" x14ac:dyDescent="0.3">
      <c r="A4412" t="s">
        <v>47</v>
      </c>
      <c r="B4412" t="str">
        <f>"300936"</f>
        <v>300936</v>
      </c>
      <c r="C4412" t="s">
        <v>9173</v>
      </c>
      <c r="D4412" t="s">
        <v>1115</v>
      </c>
      <c r="E4412">
        <v>946341516</v>
      </c>
      <c r="F4412">
        <v>947376021</v>
      </c>
      <c r="I4412">
        <v>253612857</v>
      </c>
      <c r="P4412">
        <v>54</v>
      </c>
      <c r="Q4412" t="s">
        <v>9174</v>
      </c>
    </row>
    <row r="4413" spans="1:17" x14ac:dyDescent="0.3">
      <c r="A4413" t="s">
        <v>47</v>
      </c>
      <c r="B4413" t="str">
        <f>"301053"</f>
        <v>301053</v>
      </c>
      <c r="C4413" t="s">
        <v>9175</v>
      </c>
      <c r="D4413" t="s">
        <v>2603</v>
      </c>
      <c r="E4413">
        <v>945298490</v>
      </c>
      <c r="P4413">
        <v>24</v>
      </c>
      <c r="Q4413" t="s">
        <v>9176</v>
      </c>
    </row>
    <row r="4414" spans="1:17" x14ac:dyDescent="0.3">
      <c r="A4414" t="s">
        <v>17</v>
      </c>
      <c r="B4414" t="str">
        <f>"688217"</f>
        <v>688217</v>
      </c>
      <c r="C4414" t="s">
        <v>9177</v>
      </c>
      <c r="D4414" t="s">
        <v>2322</v>
      </c>
      <c r="E4414">
        <v>945003397</v>
      </c>
      <c r="F4414">
        <v>727594306</v>
      </c>
      <c r="P4414">
        <v>31</v>
      </c>
      <c r="Q4414" t="s">
        <v>9178</v>
      </c>
    </row>
    <row r="4415" spans="1:17" x14ac:dyDescent="0.3">
      <c r="A4415" t="s">
        <v>47</v>
      </c>
      <c r="B4415" t="str">
        <f>"300484"</f>
        <v>300484</v>
      </c>
      <c r="C4415" t="s">
        <v>9179</v>
      </c>
      <c r="D4415" t="s">
        <v>1360</v>
      </c>
      <c r="E4415">
        <v>943245025</v>
      </c>
      <c r="F4415">
        <v>1191723811</v>
      </c>
      <c r="G4415">
        <v>852414119</v>
      </c>
      <c r="H4415">
        <v>1000773301</v>
      </c>
      <c r="I4415">
        <v>1106483186</v>
      </c>
      <c r="J4415">
        <v>984283710</v>
      </c>
      <c r="K4415">
        <v>611704254</v>
      </c>
      <c r="P4415">
        <v>219</v>
      </c>
      <c r="Q4415" t="s">
        <v>9180</v>
      </c>
    </row>
    <row r="4416" spans="1:17" x14ac:dyDescent="0.3">
      <c r="A4416" t="s">
        <v>47</v>
      </c>
      <c r="B4416" t="str">
        <f>"300669"</f>
        <v>300669</v>
      </c>
      <c r="C4416" t="s">
        <v>9181</v>
      </c>
      <c r="D4416" t="s">
        <v>1092</v>
      </c>
      <c r="E4416">
        <v>942521048</v>
      </c>
      <c r="F4416">
        <v>618733248</v>
      </c>
      <c r="G4416">
        <v>572418244</v>
      </c>
      <c r="H4416">
        <v>533471496</v>
      </c>
      <c r="I4416">
        <v>486245228</v>
      </c>
      <c r="J4416">
        <v>240636323</v>
      </c>
      <c r="P4416">
        <v>102</v>
      </c>
      <c r="Q4416" t="s">
        <v>9182</v>
      </c>
    </row>
    <row r="4417" spans="1:17" x14ac:dyDescent="0.3">
      <c r="A4417" t="s">
        <v>47</v>
      </c>
      <c r="B4417" t="str">
        <f>"300467"</f>
        <v>300467</v>
      </c>
      <c r="C4417" t="s">
        <v>9183</v>
      </c>
      <c r="D4417" t="s">
        <v>1032</v>
      </c>
      <c r="E4417">
        <v>942099591</v>
      </c>
      <c r="F4417">
        <v>1213875747</v>
      </c>
      <c r="G4417">
        <v>1492938693</v>
      </c>
      <c r="H4417">
        <v>2861880902</v>
      </c>
      <c r="I4417">
        <v>3609025038</v>
      </c>
      <c r="J4417">
        <v>794777038</v>
      </c>
      <c r="K4417">
        <v>704405976</v>
      </c>
      <c r="L4417">
        <v>166574538</v>
      </c>
      <c r="P4417">
        <v>187</v>
      </c>
      <c r="Q4417" t="s">
        <v>9184</v>
      </c>
    </row>
    <row r="4418" spans="1:17" x14ac:dyDescent="0.3">
      <c r="A4418" t="s">
        <v>17</v>
      </c>
      <c r="B4418" t="str">
        <f>"688337"</f>
        <v>688337</v>
      </c>
      <c r="C4418" t="s">
        <v>9185</v>
      </c>
      <c r="E4418">
        <v>941361401</v>
      </c>
      <c r="P4418">
        <v>3</v>
      </c>
      <c r="Q4418" t="s">
        <v>9186</v>
      </c>
    </row>
    <row r="4419" spans="1:17" x14ac:dyDescent="0.3">
      <c r="A4419" t="s">
        <v>47</v>
      </c>
      <c r="B4419" t="str">
        <f>"000416"</f>
        <v>000416</v>
      </c>
      <c r="C4419" t="s">
        <v>9187</v>
      </c>
      <c r="D4419" t="s">
        <v>109</v>
      </c>
      <c r="E4419">
        <v>940558699</v>
      </c>
      <c r="F4419">
        <v>959607041</v>
      </c>
      <c r="G4419">
        <v>940054811</v>
      </c>
      <c r="H4419">
        <v>926789786</v>
      </c>
      <c r="I4419">
        <v>940828000</v>
      </c>
      <c r="J4419">
        <v>933794118</v>
      </c>
      <c r="K4419">
        <v>1402150310</v>
      </c>
      <c r="L4419">
        <v>1148537787</v>
      </c>
      <c r="M4419">
        <v>887606722</v>
      </c>
      <c r="N4419">
        <v>969984508</v>
      </c>
      <c r="O4419">
        <v>867783616</v>
      </c>
      <c r="P4419">
        <v>119</v>
      </c>
      <c r="Q4419" t="s">
        <v>9188</v>
      </c>
    </row>
    <row r="4420" spans="1:17" x14ac:dyDescent="0.3">
      <c r="A4420" t="s">
        <v>17</v>
      </c>
      <c r="B4420" t="str">
        <f>"688511"</f>
        <v>688511</v>
      </c>
      <c r="C4420" t="s">
        <v>9189</v>
      </c>
      <c r="D4420" t="s">
        <v>1385</v>
      </c>
      <c r="E4420">
        <v>940106605</v>
      </c>
      <c r="F4420">
        <v>387877063</v>
      </c>
      <c r="P4420">
        <v>23</v>
      </c>
      <c r="Q4420" t="s">
        <v>9190</v>
      </c>
    </row>
    <row r="4421" spans="1:17" x14ac:dyDescent="0.3">
      <c r="A4421" t="s">
        <v>17</v>
      </c>
      <c r="B4421" t="str">
        <f>"688028"</f>
        <v>688028</v>
      </c>
      <c r="C4421" t="s">
        <v>9191</v>
      </c>
      <c r="D4421" t="s">
        <v>2646</v>
      </c>
      <c r="E4421">
        <v>937430450</v>
      </c>
      <c r="F4421">
        <v>918281495</v>
      </c>
      <c r="G4421">
        <v>917794896</v>
      </c>
      <c r="H4421">
        <v>394889739</v>
      </c>
      <c r="P4421">
        <v>76</v>
      </c>
      <c r="Q4421" t="s">
        <v>9192</v>
      </c>
    </row>
    <row r="4422" spans="1:17" x14ac:dyDescent="0.3">
      <c r="A4422" t="s">
        <v>17</v>
      </c>
      <c r="B4422" t="str">
        <f>"600857"</f>
        <v>600857</v>
      </c>
      <c r="C4422" t="s">
        <v>9193</v>
      </c>
      <c r="D4422" t="s">
        <v>1073</v>
      </c>
      <c r="E4422">
        <v>936559051</v>
      </c>
      <c r="F4422">
        <v>1021184863</v>
      </c>
      <c r="G4422">
        <v>1195031029</v>
      </c>
      <c r="H4422">
        <v>1406049511</v>
      </c>
      <c r="I4422">
        <v>811490633</v>
      </c>
      <c r="J4422">
        <v>797976954</v>
      </c>
      <c r="K4422">
        <v>782166283</v>
      </c>
      <c r="L4422">
        <v>757708533</v>
      </c>
      <c r="M4422">
        <v>730072138</v>
      </c>
      <c r="N4422">
        <v>702091108</v>
      </c>
      <c r="O4422">
        <v>660107052</v>
      </c>
      <c r="P4422">
        <v>74</v>
      </c>
      <c r="Q4422" t="s">
        <v>9194</v>
      </c>
    </row>
    <row r="4423" spans="1:17" x14ac:dyDescent="0.3">
      <c r="A4423" t="s">
        <v>47</v>
      </c>
      <c r="B4423" t="str">
        <f>"300902"</f>
        <v>300902</v>
      </c>
      <c r="C4423" t="s">
        <v>9195</v>
      </c>
      <c r="D4423" t="s">
        <v>1973</v>
      </c>
      <c r="E4423">
        <v>931142670</v>
      </c>
      <c r="F4423">
        <v>907265370</v>
      </c>
      <c r="P4423">
        <v>40</v>
      </c>
      <c r="Q4423" t="s">
        <v>9196</v>
      </c>
    </row>
    <row r="4424" spans="1:17" x14ac:dyDescent="0.3">
      <c r="A4424" t="s">
        <v>47</v>
      </c>
      <c r="B4424" t="str">
        <f>"300242"</f>
        <v>300242</v>
      </c>
      <c r="C4424" t="s">
        <v>9197</v>
      </c>
      <c r="D4424" t="s">
        <v>1824</v>
      </c>
      <c r="E4424">
        <v>931024974</v>
      </c>
      <c r="F4424">
        <v>2158668914</v>
      </c>
      <c r="G4424">
        <v>2635096418</v>
      </c>
      <c r="H4424">
        <v>2204562490</v>
      </c>
      <c r="I4424">
        <v>3338710968</v>
      </c>
      <c r="J4424">
        <v>2900431204</v>
      </c>
      <c r="K4424">
        <v>2626855963</v>
      </c>
      <c r="L4424">
        <v>799711277</v>
      </c>
      <c r="M4424">
        <v>324006440</v>
      </c>
      <c r="N4424">
        <v>335984143</v>
      </c>
      <c r="O4424">
        <v>321559756</v>
      </c>
      <c r="P4424">
        <v>95</v>
      </c>
      <c r="Q4424" t="s">
        <v>9198</v>
      </c>
    </row>
    <row r="4425" spans="1:17" x14ac:dyDescent="0.3">
      <c r="A4425" t="s">
        <v>47</v>
      </c>
      <c r="B4425" t="str">
        <f>"300581"</f>
        <v>300581</v>
      </c>
      <c r="C4425" t="s">
        <v>9199</v>
      </c>
      <c r="D4425" t="s">
        <v>570</v>
      </c>
      <c r="E4425">
        <v>930025782</v>
      </c>
      <c r="F4425">
        <v>850135756</v>
      </c>
      <c r="G4425">
        <v>785045764</v>
      </c>
      <c r="H4425">
        <v>748668941</v>
      </c>
      <c r="I4425">
        <v>695318777</v>
      </c>
      <c r="J4425">
        <v>653343320</v>
      </c>
      <c r="P4425">
        <v>151</v>
      </c>
      <c r="Q4425" t="s">
        <v>9200</v>
      </c>
    </row>
    <row r="4426" spans="1:17" x14ac:dyDescent="0.3">
      <c r="A4426" t="s">
        <v>47</v>
      </c>
      <c r="B4426" t="str">
        <f>"300922"</f>
        <v>300922</v>
      </c>
      <c r="C4426" t="s">
        <v>9201</v>
      </c>
      <c r="D4426" t="s">
        <v>1344</v>
      </c>
      <c r="E4426">
        <v>929622909</v>
      </c>
      <c r="F4426">
        <v>883396415</v>
      </c>
      <c r="G4426">
        <v>410193440</v>
      </c>
      <c r="H4426">
        <v>378533713</v>
      </c>
      <c r="I4426">
        <v>366749719</v>
      </c>
      <c r="P4426">
        <v>83</v>
      </c>
      <c r="Q4426" t="s">
        <v>9202</v>
      </c>
    </row>
    <row r="4427" spans="1:17" x14ac:dyDescent="0.3">
      <c r="A4427" t="s">
        <v>47</v>
      </c>
      <c r="B4427" t="str">
        <f>"002168"</f>
        <v>002168</v>
      </c>
      <c r="C4427" t="s">
        <v>9203</v>
      </c>
      <c r="D4427" t="s">
        <v>1032</v>
      </c>
      <c r="E4427">
        <v>926431999</v>
      </c>
      <c r="F4427">
        <v>1880175642</v>
      </c>
      <c r="G4427">
        <v>3484608992</v>
      </c>
      <c r="H4427">
        <v>3691326871</v>
      </c>
      <c r="I4427">
        <v>3454996885</v>
      </c>
      <c r="J4427">
        <v>2087477186</v>
      </c>
      <c r="K4427">
        <v>1377255807</v>
      </c>
      <c r="L4427">
        <v>1627208553</v>
      </c>
      <c r="M4427">
        <v>1440949590</v>
      </c>
      <c r="N4427">
        <v>1399760538</v>
      </c>
      <c r="O4427">
        <v>1348483623</v>
      </c>
      <c r="P4427">
        <v>158</v>
      </c>
      <c r="Q4427" t="s">
        <v>9204</v>
      </c>
    </row>
    <row r="4428" spans="1:17" x14ac:dyDescent="0.3">
      <c r="A4428" t="s">
        <v>17</v>
      </c>
      <c r="B4428" t="str">
        <f>"688662"</f>
        <v>688662</v>
      </c>
      <c r="C4428" t="s">
        <v>9205</v>
      </c>
      <c r="D4428" t="s">
        <v>1609</v>
      </c>
      <c r="E4428">
        <v>925364301</v>
      </c>
      <c r="F4428">
        <v>804233237</v>
      </c>
      <c r="P4428">
        <v>23</v>
      </c>
      <c r="Q4428" t="s">
        <v>9206</v>
      </c>
    </row>
    <row r="4429" spans="1:17" x14ac:dyDescent="0.3">
      <c r="A4429" t="s">
        <v>17</v>
      </c>
      <c r="B4429" t="str">
        <f>"688607"</f>
        <v>688607</v>
      </c>
      <c r="C4429" t="s">
        <v>9207</v>
      </c>
      <c r="D4429" t="s">
        <v>1083</v>
      </c>
      <c r="E4429">
        <v>924585652</v>
      </c>
      <c r="F4429">
        <v>907311029</v>
      </c>
      <c r="P4429">
        <v>55</v>
      </c>
      <c r="Q4429" t="s">
        <v>9208</v>
      </c>
    </row>
    <row r="4430" spans="1:17" x14ac:dyDescent="0.3">
      <c r="A4430" t="s">
        <v>47</v>
      </c>
      <c r="B4430" t="str">
        <f>"002871"</f>
        <v>002871</v>
      </c>
      <c r="C4430" t="s">
        <v>9209</v>
      </c>
      <c r="D4430" t="s">
        <v>401</v>
      </c>
      <c r="E4430">
        <v>922436486</v>
      </c>
      <c r="F4430">
        <v>854920995</v>
      </c>
      <c r="G4430">
        <v>798848095</v>
      </c>
      <c r="H4430">
        <v>773476625</v>
      </c>
      <c r="I4430">
        <v>672083215</v>
      </c>
      <c r="J4430">
        <v>369199025</v>
      </c>
      <c r="P4430">
        <v>66</v>
      </c>
      <c r="Q4430" t="s">
        <v>9210</v>
      </c>
    </row>
    <row r="4431" spans="1:17" x14ac:dyDescent="0.3">
      <c r="A4431" t="s">
        <v>47</v>
      </c>
      <c r="B4431" t="str">
        <f>"000752"</f>
        <v>000752</v>
      </c>
      <c r="C4431" t="s">
        <v>9211</v>
      </c>
      <c r="D4431" t="s">
        <v>908</v>
      </c>
      <c r="E4431">
        <v>919694030</v>
      </c>
      <c r="F4431">
        <v>954413197</v>
      </c>
      <c r="G4431">
        <v>901706438</v>
      </c>
      <c r="H4431">
        <v>1148312385</v>
      </c>
      <c r="I4431">
        <v>1271805742</v>
      </c>
      <c r="J4431">
        <v>1437366169</v>
      </c>
      <c r="K4431">
        <v>1447525183</v>
      </c>
      <c r="L4431">
        <v>1399530760</v>
      </c>
      <c r="M4431">
        <v>1345049563</v>
      </c>
      <c r="N4431">
        <v>1313104964</v>
      </c>
      <c r="O4431">
        <v>1126093285</v>
      </c>
      <c r="P4431">
        <v>103</v>
      </c>
      <c r="Q4431" t="s">
        <v>9212</v>
      </c>
    </row>
    <row r="4432" spans="1:17" x14ac:dyDescent="0.3">
      <c r="A4432" t="s">
        <v>17</v>
      </c>
      <c r="B4432" t="str">
        <f>"688302"</f>
        <v>688302</v>
      </c>
      <c r="C4432" t="s">
        <v>9213</v>
      </c>
      <c r="E4432">
        <v>918569800</v>
      </c>
      <c r="P4432">
        <v>2</v>
      </c>
      <c r="Q4432" t="s">
        <v>9214</v>
      </c>
    </row>
    <row r="4433" spans="1:17" x14ac:dyDescent="0.3">
      <c r="A4433" t="s">
        <v>17</v>
      </c>
      <c r="B4433" t="str">
        <f>"688170"</f>
        <v>688170</v>
      </c>
      <c r="C4433" t="s">
        <v>9215</v>
      </c>
      <c r="E4433">
        <v>914628321</v>
      </c>
      <c r="P4433">
        <v>2</v>
      </c>
      <c r="Q4433" t="s">
        <v>9216</v>
      </c>
    </row>
    <row r="4434" spans="1:17" x14ac:dyDescent="0.3">
      <c r="A4434" t="s">
        <v>47</v>
      </c>
      <c r="B4434" t="str">
        <f>"300824"</f>
        <v>300824</v>
      </c>
      <c r="C4434" t="s">
        <v>9217</v>
      </c>
      <c r="D4434" t="s">
        <v>2285</v>
      </c>
      <c r="E4434">
        <v>913495198</v>
      </c>
      <c r="F4434">
        <v>880879498</v>
      </c>
      <c r="G4434">
        <v>423982573</v>
      </c>
      <c r="P4434">
        <v>167</v>
      </c>
      <c r="Q4434" t="s">
        <v>9218</v>
      </c>
    </row>
    <row r="4435" spans="1:17" x14ac:dyDescent="0.3">
      <c r="A4435" t="s">
        <v>47</v>
      </c>
      <c r="B4435" t="str">
        <f>"300698"</f>
        <v>300698</v>
      </c>
      <c r="C4435" t="s">
        <v>9219</v>
      </c>
      <c r="D4435" t="s">
        <v>367</v>
      </c>
      <c r="E4435">
        <v>911358838</v>
      </c>
      <c r="F4435">
        <v>736318203</v>
      </c>
      <c r="G4435">
        <v>739174136</v>
      </c>
      <c r="H4435">
        <v>603867642</v>
      </c>
      <c r="I4435">
        <v>610470706</v>
      </c>
      <c r="P4435">
        <v>121</v>
      </c>
      <c r="Q4435" t="s">
        <v>9220</v>
      </c>
    </row>
    <row r="4436" spans="1:17" x14ac:dyDescent="0.3">
      <c r="A4436" t="s">
        <v>47</v>
      </c>
      <c r="B4436" t="str">
        <f>"301163"</f>
        <v>301163</v>
      </c>
      <c r="C4436" t="s">
        <v>9221</v>
      </c>
      <c r="E4436">
        <v>909954475</v>
      </c>
      <c r="P4436">
        <v>3</v>
      </c>
      <c r="Q4436" t="s">
        <v>9222</v>
      </c>
    </row>
    <row r="4437" spans="1:17" x14ac:dyDescent="0.3">
      <c r="A4437" t="s">
        <v>47</v>
      </c>
      <c r="B4437" t="str">
        <f>"301012"</f>
        <v>301012</v>
      </c>
      <c r="C4437" t="s">
        <v>9223</v>
      </c>
      <c r="D4437" t="s">
        <v>459</v>
      </c>
      <c r="E4437">
        <v>908871668</v>
      </c>
      <c r="F4437">
        <v>629658837</v>
      </c>
      <c r="P4437">
        <v>23</v>
      </c>
      <c r="Q4437" t="s">
        <v>9224</v>
      </c>
    </row>
    <row r="4438" spans="1:17" x14ac:dyDescent="0.3">
      <c r="A4438" t="s">
        <v>47</v>
      </c>
      <c r="B4438" t="str">
        <f>"300906"</f>
        <v>300906</v>
      </c>
      <c r="C4438" t="s">
        <v>9225</v>
      </c>
      <c r="D4438" t="s">
        <v>3722</v>
      </c>
      <c r="E4438">
        <v>908185975</v>
      </c>
      <c r="F4438">
        <v>901683467</v>
      </c>
      <c r="P4438">
        <v>60</v>
      </c>
      <c r="Q4438" t="s">
        <v>9226</v>
      </c>
    </row>
    <row r="4439" spans="1:17" x14ac:dyDescent="0.3">
      <c r="A4439" t="s">
        <v>47</v>
      </c>
      <c r="B4439" t="str">
        <f>"300380"</f>
        <v>300380</v>
      </c>
      <c r="C4439" t="s">
        <v>9227</v>
      </c>
      <c r="D4439" t="s">
        <v>1859</v>
      </c>
      <c r="E4439">
        <v>907345063</v>
      </c>
      <c r="F4439">
        <v>860891305</v>
      </c>
      <c r="G4439">
        <v>787533094</v>
      </c>
      <c r="H4439">
        <v>642465590</v>
      </c>
      <c r="I4439">
        <v>600659697</v>
      </c>
      <c r="J4439">
        <v>561007023</v>
      </c>
      <c r="K4439">
        <v>557233126</v>
      </c>
      <c r="L4439">
        <v>471535825</v>
      </c>
      <c r="M4439">
        <v>436842345</v>
      </c>
      <c r="P4439">
        <v>85</v>
      </c>
      <c r="Q4439" t="s">
        <v>9228</v>
      </c>
    </row>
    <row r="4440" spans="1:17" x14ac:dyDescent="0.3">
      <c r="A4440" t="s">
        <v>47</v>
      </c>
      <c r="B4440" t="str">
        <f>"300606"</f>
        <v>300606</v>
      </c>
      <c r="C4440" t="s">
        <v>9229</v>
      </c>
      <c r="D4440" t="s">
        <v>2646</v>
      </c>
      <c r="E4440">
        <v>905058698</v>
      </c>
      <c r="F4440">
        <v>749774611</v>
      </c>
      <c r="G4440">
        <v>710076628</v>
      </c>
      <c r="H4440">
        <v>719850198</v>
      </c>
      <c r="I4440">
        <v>606410278</v>
      </c>
      <c r="J4440">
        <v>471934608</v>
      </c>
      <c r="P4440">
        <v>92</v>
      </c>
      <c r="Q4440" t="s">
        <v>9230</v>
      </c>
    </row>
    <row r="4441" spans="1:17" x14ac:dyDescent="0.3">
      <c r="A4441" t="s">
        <v>17</v>
      </c>
      <c r="B4441" t="str">
        <f>"688793"</f>
        <v>688793</v>
      </c>
      <c r="C4441" t="s">
        <v>9231</v>
      </c>
      <c r="D4441" t="s">
        <v>4964</v>
      </c>
      <c r="E4441">
        <v>904417147</v>
      </c>
      <c r="F4441">
        <v>511193955</v>
      </c>
      <c r="P4441">
        <v>48</v>
      </c>
      <c r="Q4441" t="s">
        <v>9232</v>
      </c>
    </row>
    <row r="4442" spans="1:17" x14ac:dyDescent="0.3">
      <c r="A4442" t="s">
        <v>47</v>
      </c>
      <c r="B4442" t="str">
        <f>"301024"</f>
        <v>301024</v>
      </c>
      <c r="C4442" t="s">
        <v>9233</v>
      </c>
      <c r="D4442" t="s">
        <v>2178</v>
      </c>
      <c r="E4442">
        <v>903123396</v>
      </c>
      <c r="F4442">
        <v>398878518</v>
      </c>
      <c r="P4442">
        <v>22</v>
      </c>
      <c r="Q4442" t="s">
        <v>9234</v>
      </c>
    </row>
    <row r="4443" spans="1:17" x14ac:dyDescent="0.3">
      <c r="A4443" t="s">
        <v>47</v>
      </c>
      <c r="B4443" t="str">
        <f>"300992"</f>
        <v>300992</v>
      </c>
      <c r="C4443" t="s">
        <v>9235</v>
      </c>
      <c r="D4443" t="s">
        <v>1433</v>
      </c>
      <c r="E4443">
        <v>899843678</v>
      </c>
      <c r="F4443">
        <v>586619820</v>
      </c>
      <c r="G4443">
        <v>468190367</v>
      </c>
      <c r="P4443">
        <v>26</v>
      </c>
      <c r="Q4443" t="s">
        <v>9236</v>
      </c>
    </row>
    <row r="4444" spans="1:17" x14ac:dyDescent="0.3">
      <c r="A4444" t="s">
        <v>47</v>
      </c>
      <c r="B4444" t="str">
        <f>"300585"</f>
        <v>300585</v>
      </c>
      <c r="C4444" t="s">
        <v>9237</v>
      </c>
      <c r="D4444" t="s">
        <v>274</v>
      </c>
      <c r="E4444">
        <v>899372852</v>
      </c>
      <c r="F4444">
        <v>880042823</v>
      </c>
      <c r="G4444">
        <v>781802249</v>
      </c>
      <c r="H4444">
        <v>862545063</v>
      </c>
      <c r="I4444">
        <v>658553991</v>
      </c>
      <c r="J4444">
        <v>575926401</v>
      </c>
      <c r="P4444">
        <v>92</v>
      </c>
      <c r="Q4444" t="s">
        <v>9238</v>
      </c>
    </row>
    <row r="4445" spans="1:17" x14ac:dyDescent="0.3">
      <c r="A4445" t="s">
        <v>47</v>
      </c>
      <c r="B4445" t="str">
        <f>"301023"</f>
        <v>301023</v>
      </c>
      <c r="C4445" t="s">
        <v>9239</v>
      </c>
      <c r="D4445" t="s">
        <v>1594</v>
      </c>
      <c r="E4445">
        <v>899320092</v>
      </c>
      <c r="F4445">
        <v>336083975</v>
      </c>
      <c r="P4445">
        <v>22</v>
      </c>
      <c r="Q4445" t="s">
        <v>9240</v>
      </c>
    </row>
    <row r="4446" spans="1:17" x14ac:dyDescent="0.3">
      <c r="A4446" t="s">
        <v>47</v>
      </c>
      <c r="B4446" t="str">
        <f>"301070"</f>
        <v>301070</v>
      </c>
      <c r="C4446" t="s">
        <v>9241</v>
      </c>
      <c r="D4446" t="s">
        <v>1433</v>
      </c>
      <c r="E4446">
        <v>898927966</v>
      </c>
      <c r="P4446">
        <v>19</v>
      </c>
      <c r="Q4446" t="s">
        <v>9242</v>
      </c>
    </row>
    <row r="4447" spans="1:17" x14ac:dyDescent="0.3">
      <c r="A4447" t="s">
        <v>47</v>
      </c>
      <c r="B4447" t="str">
        <f>"300987"</f>
        <v>300987</v>
      </c>
      <c r="C4447" t="s">
        <v>9243</v>
      </c>
      <c r="D4447" t="s">
        <v>4377</v>
      </c>
      <c r="E4447">
        <v>896792666</v>
      </c>
      <c r="F4447">
        <v>661202895</v>
      </c>
      <c r="P4447">
        <v>24</v>
      </c>
      <c r="Q4447" t="s">
        <v>9244</v>
      </c>
    </row>
    <row r="4448" spans="1:17" x14ac:dyDescent="0.3">
      <c r="A4448" t="s">
        <v>17</v>
      </c>
      <c r="B4448" t="str">
        <f>"688283"</f>
        <v>688283</v>
      </c>
      <c r="C4448" t="s">
        <v>9245</v>
      </c>
      <c r="E4448">
        <v>896415067</v>
      </c>
      <c r="P4448">
        <v>17</v>
      </c>
      <c r="Q4448" t="s">
        <v>9246</v>
      </c>
    </row>
    <row r="4449" spans="1:17" x14ac:dyDescent="0.3">
      <c r="A4449" t="s">
        <v>47</v>
      </c>
      <c r="B4449" t="str">
        <f>"301043"</f>
        <v>301043</v>
      </c>
      <c r="C4449" t="s">
        <v>9247</v>
      </c>
      <c r="D4449" t="s">
        <v>1433</v>
      </c>
      <c r="E4449">
        <v>895571251</v>
      </c>
      <c r="F4449">
        <v>446263987</v>
      </c>
      <c r="P4449">
        <v>18</v>
      </c>
      <c r="Q4449" t="s">
        <v>9248</v>
      </c>
    </row>
    <row r="4450" spans="1:17" x14ac:dyDescent="0.3">
      <c r="A4450" t="s">
        <v>17</v>
      </c>
      <c r="B4450" t="str">
        <f>"688611"</f>
        <v>688611</v>
      </c>
      <c r="C4450" t="s">
        <v>9249</v>
      </c>
      <c r="D4450" t="s">
        <v>679</v>
      </c>
      <c r="E4450">
        <v>894862841</v>
      </c>
      <c r="F4450">
        <v>400131899</v>
      </c>
      <c r="P4450">
        <v>38</v>
      </c>
      <c r="Q4450" t="s">
        <v>9250</v>
      </c>
    </row>
    <row r="4451" spans="1:17" x14ac:dyDescent="0.3">
      <c r="A4451" t="s">
        <v>17</v>
      </c>
      <c r="B4451" t="str">
        <f>"688296"</f>
        <v>688296</v>
      </c>
      <c r="C4451" t="s">
        <v>9251</v>
      </c>
      <c r="D4451" t="s">
        <v>1859</v>
      </c>
      <c r="E4451">
        <v>893807953</v>
      </c>
      <c r="F4451">
        <v>520215160</v>
      </c>
      <c r="P4451">
        <v>24</v>
      </c>
      <c r="Q4451" t="s">
        <v>9252</v>
      </c>
    </row>
    <row r="4452" spans="1:17" x14ac:dyDescent="0.3">
      <c r="A4452" t="s">
        <v>47</v>
      </c>
      <c r="B4452" t="str">
        <f>"301005"</f>
        <v>301005</v>
      </c>
      <c r="C4452" t="s">
        <v>9253</v>
      </c>
      <c r="D4452" t="s">
        <v>1815</v>
      </c>
      <c r="E4452">
        <v>893685173</v>
      </c>
      <c r="F4452">
        <v>410277909</v>
      </c>
      <c r="P4452">
        <v>23</v>
      </c>
      <c r="Q4452" t="s">
        <v>9254</v>
      </c>
    </row>
    <row r="4453" spans="1:17" x14ac:dyDescent="0.3">
      <c r="A4453" t="s">
        <v>47</v>
      </c>
      <c r="B4453" t="str">
        <f>"300515"</f>
        <v>300515</v>
      </c>
      <c r="C4453" t="s">
        <v>9255</v>
      </c>
      <c r="D4453" t="s">
        <v>3722</v>
      </c>
      <c r="E4453">
        <v>892742723</v>
      </c>
      <c r="F4453">
        <v>769678691</v>
      </c>
      <c r="G4453">
        <v>641061973</v>
      </c>
      <c r="H4453">
        <v>605898223</v>
      </c>
      <c r="I4453">
        <v>543888709</v>
      </c>
      <c r="J4453">
        <v>516449933</v>
      </c>
      <c r="K4453">
        <v>345065991</v>
      </c>
      <c r="P4453">
        <v>80</v>
      </c>
      <c r="Q4453" t="s">
        <v>9256</v>
      </c>
    </row>
    <row r="4454" spans="1:17" x14ac:dyDescent="0.3">
      <c r="A4454" t="s">
        <v>47</v>
      </c>
      <c r="B4454" t="str">
        <f>"300960"</f>
        <v>300960</v>
      </c>
      <c r="C4454" t="s">
        <v>9257</v>
      </c>
      <c r="D4454" t="s">
        <v>193</v>
      </c>
      <c r="E4454">
        <v>890579765</v>
      </c>
      <c r="F4454">
        <v>919805948</v>
      </c>
      <c r="P4454">
        <v>26</v>
      </c>
      <c r="Q4454" t="s">
        <v>9258</v>
      </c>
    </row>
    <row r="4455" spans="1:17" x14ac:dyDescent="0.3">
      <c r="A4455" t="s">
        <v>47</v>
      </c>
      <c r="B4455" t="str">
        <f>"300250"</f>
        <v>300250</v>
      </c>
      <c r="C4455" t="s">
        <v>9259</v>
      </c>
      <c r="D4455" t="s">
        <v>700</v>
      </c>
      <c r="E4455">
        <v>889680374</v>
      </c>
      <c r="F4455">
        <v>916246839</v>
      </c>
      <c r="G4455">
        <v>1181670998</v>
      </c>
      <c r="H4455">
        <v>1501541259</v>
      </c>
      <c r="I4455">
        <v>1848206706</v>
      </c>
      <c r="J4455">
        <v>1789023415</v>
      </c>
      <c r="K4455">
        <v>1897076826</v>
      </c>
      <c r="L4455">
        <v>886462645</v>
      </c>
      <c r="M4455">
        <v>445413484</v>
      </c>
      <c r="N4455">
        <v>459101903</v>
      </c>
      <c r="O4455">
        <v>424470963</v>
      </c>
      <c r="P4455">
        <v>159</v>
      </c>
      <c r="Q4455" t="s">
        <v>9260</v>
      </c>
    </row>
    <row r="4456" spans="1:17" x14ac:dyDescent="0.3">
      <c r="A4456" t="s">
        <v>47</v>
      </c>
      <c r="B4456" t="str">
        <f>"301119"</f>
        <v>301119</v>
      </c>
      <c r="C4456" t="s">
        <v>9261</v>
      </c>
      <c r="D4456" t="s">
        <v>274</v>
      </c>
      <c r="E4456">
        <v>888108199</v>
      </c>
      <c r="P4456">
        <v>12</v>
      </c>
      <c r="Q4456" t="s">
        <v>9262</v>
      </c>
    </row>
    <row r="4457" spans="1:17" x14ac:dyDescent="0.3">
      <c r="A4457" t="s">
        <v>17</v>
      </c>
      <c r="B4457" t="str">
        <f>"688056"</f>
        <v>688056</v>
      </c>
      <c r="C4457" t="s">
        <v>9263</v>
      </c>
      <c r="D4457" t="s">
        <v>3722</v>
      </c>
      <c r="E4457">
        <v>886806004</v>
      </c>
      <c r="F4457">
        <v>856543845</v>
      </c>
      <c r="P4457">
        <v>50</v>
      </c>
      <c r="Q4457" t="s">
        <v>9264</v>
      </c>
    </row>
    <row r="4458" spans="1:17" x14ac:dyDescent="0.3">
      <c r="A4458" t="s">
        <v>17</v>
      </c>
      <c r="B4458" t="str">
        <f>"603729"</f>
        <v>603729</v>
      </c>
      <c r="C4458" t="s">
        <v>9265</v>
      </c>
      <c r="D4458" t="s">
        <v>1824</v>
      </c>
      <c r="E4458">
        <v>885946213</v>
      </c>
      <c r="F4458">
        <v>1054063387</v>
      </c>
      <c r="G4458">
        <v>1167429125</v>
      </c>
      <c r="H4458">
        <v>1264728488</v>
      </c>
      <c r="I4458">
        <v>1597598281</v>
      </c>
      <c r="J4458">
        <v>862745499</v>
      </c>
      <c r="K4458">
        <v>1114538078</v>
      </c>
      <c r="L4458">
        <v>1262058373</v>
      </c>
      <c r="P4458">
        <v>51</v>
      </c>
      <c r="Q4458" t="s">
        <v>9266</v>
      </c>
    </row>
    <row r="4459" spans="1:17" x14ac:dyDescent="0.3">
      <c r="A4459" t="s">
        <v>47</v>
      </c>
      <c r="B4459" t="str">
        <f>"300831"</f>
        <v>300831</v>
      </c>
      <c r="C4459" t="s">
        <v>9267</v>
      </c>
      <c r="D4459" t="s">
        <v>2213</v>
      </c>
      <c r="E4459">
        <v>885442352</v>
      </c>
      <c r="F4459">
        <v>807879452</v>
      </c>
      <c r="G4459">
        <v>596359919</v>
      </c>
      <c r="P4459">
        <v>129</v>
      </c>
      <c r="Q4459" t="s">
        <v>9268</v>
      </c>
    </row>
    <row r="4460" spans="1:17" x14ac:dyDescent="0.3">
      <c r="A4460" t="s">
        <v>17</v>
      </c>
      <c r="B4460" t="str">
        <f>"688616"</f>
        <v>688616</v>
      </c>
      <c r="C4460" t="s">
        <v>9269</v>
      </c>
      <c r="D4460" t="s">
        <v>2197</v>
      </c>
      <c r="E4460">
        <v>884477907</v>
      </c>
      <c r="F4460">
        <v>883972674</v>
      </c>
      <c r="P4460">
        <v>23</v>
      </c>
      <c r="Q4460" t="s">
        <v>9270</v>
      </c>
    </row>
    <row r="4461" spans="1:17" x14ac:dyDescent="0.3">
      <c r="A4461" t="s">
        <v>47</v>
      </c>
      <c r="B4461" t="str">
        <f>"002693"</f>
        <v>002693</v>
      </c>
      <c r="C4461" t="s">
        <v>9271</v>
      </c>
      <c r="D4461" t="s">
        <v>1480</v>
      </c>
      <c r="E4461">
        <v>883386627</v>
      </c>
      <c r="F4461">
        <v>853014066</v>
      </c>
      <c r="G4461">
        <v>961699849</v>
      </c>
      <c r="H4461">
        <v>985258511</v>
      </c>
      <c r="I4461">
        <v>1302998743</v>
      </c>
      <c r="J4461">
        <v>1196736966</v>
      </c>
      <c r="K4461">
        <v>1441156315</v>
      </c>
      <c r="L4461">
        <v>1174573207</v>
      </c>
      <c r="M4461">
        <v>912741674</v>
      </c>
      <c r="N4461">
        <v>885269627</v>
      </c>
      <c r="P4461">
        <v>95</v>
      </c>
      <c r="Q4461" t="s">
        <v>9272</v>
      </c>
    </row>
    <row r="4462" spans="1:17" x14ac:dyDescent="0.3">
      <c r="A4462" t="s">
        <v>47</v>
      </c>
      <c r="B4462" t="str">
        <f>"300836"</f>
        <v>300836</v>
      </c>
      <c r="C4462" t="s">
        <v>9273</v>
      </c>
      <c r="D4462" t="s">
        <v>1973</v>
      </c>
      <c r="E4462">
        <v>883245505</v>
      </c>
      <c r="F4462">
        <v>807960517</v>
      </c>
      <c r="G4462">
        <v>429634657</v>
      </c>
      <c r="P4462">
        <v>61</v>
      </c>
      <c r="Q4462" t="s">
        <v>9274</v>
      </c>
    </row>
    <row r="4463" spans="1:17" x14ac:dyDescent="0.3">
      <c r="A4463" t="s">
        <v>47</v>
      </c>
      <c r="B4463" t="str">
        <f>"301213"</f>
        <v>301213</v>
      </c>
      <c r="C4463" t="s">
        <v>9275</v>
      </c>
      <c r="D4463" t="s">
        <v>1385</v>
      </c>
      <c r="E4463">
        <v>882124086</v>
      </c>
      <c r="G4463">
        <v>158660270</v>
      </c>
      <c r="P4463">
        <v>16</v>
      </c>
      <c r="Q4463" t="s">
        <v>9276</v>
      </c>
    </row>
    <row r="4464" spans="1:17" x14ac:dyDescent="0.3">
      <c r="A4464" t="s">
        <v>47</v>
      </c>
      <c r="B4464" t="str">
        <f>"300972"</f>
        <v>300972</v>
      </c>
      <c r="C4464" t="s">
        <v>9277</v>
      </c>
      <c r="D4464" t="s">
        <v>3621</v>
      </c>
      <c r="E4464">
        <v>881645766</v>
      </c>
      <c r="F4464">
        <v>634337264</v>
      </c>
      <c r="P4464">
        <v>22</v>
      </c>
      <c r="Q4464" t="s">
        <v>9278</v>
      </c>
    </row>
    <row r="4465" spans="1:17" x14ac:dyDescent="0.3">
      <c r="A4465" t="s">
        <v>17</v>
      </c>
      <c r="B4465" t="str">
        <f>"688656"</f>
        <v>688656</v>
      </c>
      <c r="C4465" t="s">
        <v>9279</v>
      </c>
      <c r="D4465" t="s">
        <v>2322</v>
      </c>
      <c r="E4465">
        <v>875013599</v>
      </c>
      <c r="F4465">
        <v>783139544</v>
      </c>
      <c r="P4465">
        <v>59</v>
      </c>
      <c r="Q4465" t="s">
        <v>9280</v>
      </c>
    </row>
    <row r="4466" spans="1:17" x14ac:dyDescent="0.3">
      <c r="A4466" t="s">
        <v>47</v>
      </c>
      <c r="B4466" t="str">
        <f>"300845"</f>
        <v>300845</v>
      </c>
      <c r="C4466" t="s">
        <v>9281</v>
      </c>
      <c r="D4466" t="s">
        <v>765</v>
      </c>
      <c r="E4466">
        <v>874866065</v>
      </c>
      <c r="F4466">
        <v>872494475</v>
      </c>
      <c r="G4466">
        <v>431539044</v>
      </c>
      <c r="P4466">
        <v>83</v>
      </c>
      <c r="Q4466" t="s">
        <v>9282</v>
      </c>
    </row>
    <row r="4467" spans="1:17" x14ac:dyDescent="0.3">
      <c r="A4467" t="s">
        <v>47</v>
      </c>
      <c r="B4467" t="str">
        <f>"002898"</f>
        <v>002898</v>
      </c>
      <c r="C4467" t="s">
        <v>9283</v>
      </c>
      <c r="D4467" t="s">
        <v>550</v>
      </c>
      <c r="E4467">
        <v>871767667</v>
      </c>
      <c r="F4467">
        <v>866568198</v>
      </c>
      <c r="G4467">
        <v>844115361</v>
      </c>
      <c r="H4467">
        <v>720411002</v>
      </c>
      <c r="I4467">
        <v>724322123</v>
      </c>
      <c r="P4467">
        <v>90</v>
      </c>
      <c r="Q4467" t="s">
        <v>9284</v>
      </c>
    </row>
    <row r="4468" spans="1:17" x14ac:dyDescent="0.3">
      <c r="A4468" t="s">
        <v>47</v>
      </c>
      <c r="B4468" t="str">
        <f>"002323"</f>
        <v>002323</v>
      </c>
      <c r="C4468" t="s">
        <v>9285</v>
      </c>
      <c r="D4468" t="s">
        <v>1418</v>
      </c>
      <c r="E4468">
        <v>871477951</v>
      </c>
      <c r="F4468">
        <v>1415609724</v>
      </c>
      <c r="G4468">
        <v>1532792571</v>
      </c>
      <c r="H4468">
        <v>1614017545</v>
      </c>
      <c r="I4468">
        <v>2534565947</v>
      </c>
      <c r="J4468">
        <v>2201650253</v>
      </c>
      <c r="K4468">
        <v>1075629895</v>
      </c>
      <c r="L4468">
        <v>964982742</v>
      </c>
      <c r="M4468">
        <v>999194722</v>
      </c>
      <c r="N4468">
        <v>1023257878</v>
      </c>
      <c r="O4468">
        <v>957153312</v>
      </c>
      <c r="P4468">
        <v>78</v>
      </c>
      <c r="Q4468" t="s">
        <v>9286</v>
      </c>
    </row>
    <row r="4469" spans="1:17" x14ac:dyDescent="0.3">
      <c r="A4469" t="s">
        <v>47</v>
      </c>
      <c r="B4469" t="str">
        <f>"300013"</f>
        <v>300013</v>
      </c>
      <c r="C4469" t="s">
        <v>9287</v>
      </c>
      <c r="D4469" t="s">
        <v>939</v>
      </c>
      <c r="E4469">
        <v>871183747</v>
      </c>
      <c r="F4469">
        <v>1173773002</v>
      </c>
      <c r="G4469">
        <v>1844424682</v>
      </c>
      <c r="H4469">
        <v>2592931979</v>
      </c>
      <c r="I4469">
        <v>2682607510</v>
      </c>
      <c r="J4469">
        <v>2024240308</v>
      </c>
      <c r="K4469">
        <v>1697133189</v>
      </c>
      <c r="L4469">
        <v>581565959</v>
      </c>
      <c r="M4469">
        <v>535066896</v>
      </c>
      <c r="N4469">
        <v>477370810</v>
      </c>
      <c r="O4469">
        <v>428299931</v>
      </c>
      <c r="P4469">
        <v>70</v>
      </c>
      <c r="Q4469" t="s">
        <v>9288</v>
      </c>
    </row>
    <row r="4470" spans="1:17" x14ac:dyDescent="0.3">
      <c r="A4470" t="s">
        <v>47</v>
      </c>
      <c r="B4470" t="str">
        <f>"300753"</f>
        <v>300753</v>
      </c>
      <c r="C4470" t="s">
        <v>9289</v>
      </c>
      <c r="D4470" t="s">
        <v>1083</v>
      </c>
      <c r="E4470">
        <v>870046130</v>
      </c>
      <c r="F4470">
        <v>815484781</v>
      </c>
      <c r="G4470">
        <v>735399938</v>
      </c>
      <c r="H4470">
        <v>679254196</v>
      </c>
      <c r="P4470">
        <v>243</v>
      </c>
      <c r="Q4470" t="s">
        <v>9290</v>
      </c>
    </row>
    <row r="4471" spans="1:17" x14ac:dyDescent="0.3">
      <c r="A4471" t="s">
        <v>17</v>
      </c>
      <c r="B4471" t="str">
        <f>"688125"</f>
        <v>688125</v>
      </c>
      <c r="C4471" t="s">
        <v>9291</v>
      </c>
      <c r="E4471">
        <v>868093804</v>
      </c>
      <c r="P4471">
        <v>2</v>
      </c>
      <c r="Q4471" t="s">
        <v>9292</v>
      </c>
    </row>
    <row r="4472" spans="1:17" x14ac:dyDescent="0.3">
      <c r="A4472" t="s">
        <v>47</v>
      </c>
      <c r="B4472" t="str">
        <f>"301083"</f>
        <v>301083</v>
      </c>
      <c r="C4472" t="s">
        <v>9293</v>
      </c>
      <c r="D4472" t="s">
        <v>1973</v>
      </c>
      <c r="E4472">
        <v>867615319</v>
      </c>
      <c r="P4472">
        <v>16</v>
      </c>
      <c r="Q4472" t="s">
        <v>9294</v>
      </c>
    </row>
    <row r="4473" spans="1:17" x14ac:dyDescent="0.3">
      <c r="A4473" t="s">
        <v>17</v>
      </c>
      <c r="B4473" t="str">
        <f>"688618"</f>
        <v>688618</v>
      </c>
      <c r="C4473" t="s">
        <v>9295</v>
      </c>
      <c r="D4473" t="s">
        <v>367</v>
      </c>
      <c r="E4473">
        <v>867319859</v>
      </c>
      <c r="F4473">
        <v>766042009</v>
      </c>
      <c r="G4473">
        <v>282780900</v>
      </c>
      <c r="P4473">
        <v>41</v>
      </c>
      <c r="Q4473" t="s">
        <v>9296</v>
      </c>
    </row>
    <row r="4474" spans="1:17" x14ac:dyDescent="0.3">
      <c r="A4474" t="s">
        <v>47</v>
      </c>
      <c r="B4474" t="str">
        <f>"300813"</f>
        <v>300813</v>
      </c>
      <c r="C4474" t="s">
        <v>9297</v>
      </c>
      <c r="D4474" t="s">
        <v>1973</v>
      </c>
      <c r="E4474">
        <v>866700209</v>
      </c>
      <c r="F4474">
        <v>546712592</v>
      </c>
      <c r="G4474">
        <v>481738876</v>
      </c>
      <c r="P4474">
        <v>106</v>
      </c>
      <c r="Q4474" t="s">
        <v>9298</v>
      </c>
    </row>
    <row r="4475" spans="1:17" x14ac:dyDescent="0.3">
      <c r="A4475" t="s">
        <v>47</v>
      </c>
      <c r="B4475" t="str">
        <f>"301120"</f>
        <v>301120</v>
      </c>
      <c r="C4475" t="s">
        <v>9299</v>
      </c>
      <c r="E4475">
        <v>865639997</v>
      </c>
      <c r="P4475">
        <v>7</v>
      </c>
      <c r="Q4475" t="s">
        <v>9300</v>
      </c>
    </row>
    <row r="4476" spans="1:17" x14ac:dyDescent="0.3">
      <c r="A4476" t="s">
        <v>17</v>
      </c>
      <c r="B4476" t="str">
        <f>"688386"</f>
        <v>688386</v>
      </c>
      <c r="C4476" t="s">
        <v>9301</v>
      </c>
      <c r="D4476" t="s">
        <v>2485</v>
      </c>
      <c r="E4476">
        <v>865086910</v>
      </c>
      <c r="F4476">
        <v>672373089</v>
      </c>
      <c r="G4476">
        <v>403093349</v>
      </c>
      <c r="P4476">
        <v>43</v>
      </c>
      <c r="Q4476" t="s">
        <v>9302</v>
      </c>
    </row>
    <row r="4477" spans="1:17" x14ac:dyDescent="0.3">
      <c r="A4477" t="s">
        <v>17</v>
      </c>
      <c r="B4477" t="str">
        <f>"688310"</f>
        <v>688310</v>
      </c>
      <c r="C4477" t="s">
        <v>9303</v>
      </c>
      <c r="D4477" t="s">
        <v>4037</v>
      </c>
      <c r="E4477">
        <v>864866773</v>
      </c>
      <c r="F4477">
        <v>848667502</v>
      </c>
      <c r="G4477">
        <v>788759081</v>
      </c>
      <c r="P4477">
        <v>92</v>
      </c>
      <c r="Q4477" t="s">
        <v>9304</v>
      </c>
    </row>
    <row r="4478" spans="1:17" x14ac:dyDescent="0.3">
      <c r="A4478" t="s">
        <v>17</v>
      </c>
      <c r="B4478" t="str">
        <f>"600520"</f>
        <v>600520</v>
      </c>
      <c r="C4478" t="s">
        <v>9305</v>
      </c>
      <c r="D4478" t="s">
        <v>1973</v>
      </c>
      <c r="E4478">
        <v>860974482</v>
      </c>
      <c r="F4478">
        <v>870914799</v>
      </c>
      <c r="G4478">
        <v>914078238</v>
      </c>
      <c r="H4478">
        <v>982887844</v>
      </c>
      <c r="I4478">
        <v>926936108</v>
      </c>
      <c r="J4478">
        <v>803428931</v>
      </c>
      <c r="K4478">
        <v>750778740</v>
      </c>
      <c r="L4478">
        <v>778842211</v>
      </c>
      <c r="M4478">
        <v>694487474</v>
      </c>
      <c r="N4478">
        <v>632124246</v>
      </c>
      <c r="O4478">
        <v>511418443</v>
      </c>
      <c r="P4478">
        <v>73</v>
      </c>
      <c r="Q4478" t="s">
        <v>9306</v>
      </c>
    </row>
    <row r="4479" spans="1:17" x14ac:dyDescent="0.3">
      <c r="A4479" t="s">
        <v>47</v>
      </c>
      <c r="B4479" t="str">
        <f>"002779"</f>
        <v>002779</v>
      </c>
      <c r="C4479" t="s">
        <v>9307</v>
      </c>
      <c r="D4479" t="s">
        <v>1973</v>
      </c>
      <c r="E4479">
        <v>858652766</v>
      </c>
      <c r="F4479">
        <v>883312026</v>
      </c>
      <c r="G4479">
        <v>823282784</v>
      </c>
      <c r="H4479">
        <v>813158374</v>
      </c>
      <c r="I4479">
        <v>811840459</v>
      </c>
      <c r="J4479">
        <v>753684712</v>
      </c>
      <c r="K4479">
        <v>769693381</v>
      </c>
      <c r="L4479">
        <v>516650018</v>
      </c>
      <c r="P4479">
        <v>54</v>
      </c>
      <c r="Q4479" t="s">
        <v>9308</v>
      </c>
    </row>
    <row r="4480" spans="1:17" x14ac:dyDescent="0.3">
      <c r="A4480" t="s">
        <v>47</v>
      </c>
      <c r="B4480" t="str">
        <f>"301007"</f>
        <v>301007</v>
      </c>
      <c r="C4480" t="s">
        <v>9309</v>
      </c>
      <c r="D4480" t="s">
        <v>274</v>
      </c>
      <c r="E4480">
        <v>855246046</v>
      </c>
      <c r="F4480">
        <v>738956176</v>
      </c>
      <c r="P4480">
        <v>44</v>
      </c>
      <c r="Q4480" t="s">
        <v>9310</v>
      </c>
    </row>
    <row r="4481" spans="1:17" x14ac:dyDescent="0.3">
      <c r="A4481" t="s">
        <v>17</v>
      </c>
      <c r="B4481" t="str">
        <f>"688209"</f>
        <v>688209</v>
      </c>
      <c r="C4481" t="s">
        <v>9311</v>
      </c>
      <c r="E4481">
        <v>855202303</v>
      </c>
      <c r="P4481">
        <v>5</v>
      </c>
      <c r="Q4481" t="s">
        <v>9312</v>
      </c>
    </row>
    <row r="4482" spans="1:17" x14ac:dyDescent="0.3">
      <c r="A4482" t="s">
        <v>47</v>
      </c>
      <c r="B4482" t="str">
        <f>"002348"</f>
        <v>002348</v>
      </c>
      <c r="C4482" t="s">
        <v>9313</v>
      </c>
      <c r="D4482" t="s">
        <v>4263</v>
      </c>
      <c r="E4482">
        <v>854698595</v>
      </c>
      <c r="F4482">
        <v>1115368563</v>
      </c>
      <c r="G4482">
        <v>1414814644</v>
      </c>
      <c r="H4482">
        <v>1803143342</v>
      </c>
      <c r="I4482">
        <v>1763516300</v>
      </c>
      <c r="J4482">
        <v>1319536994</v>
      </c>
      <c r="K4482">
        <v>1253552532</v>
      </c>
      <c r="L4482">
        <v>1208140342</v>
      </c>
      <c r="M4482">
        <v>1188842413</v>
      </c>
      <c r="N4482">
        <v>1217841372</v>
      </c>
      <c r="O4482">
        <v>1221084792</v>
      </c>
      <c r="P4482">
        <v>112</v>
      </c>
      <c r="Q4482" t="s">
        <v>9314</v>
      </c>
    </row>
    <row r="4483" spans="1:17" x14ac:dyDescent="0.3">
      <c r="A4483" t="s">
        <v>47</v>
      </c>
      <c r="B4483" t="str">
        <f>"300152"</f>
        <v>300152</v>
      </c>
      <c r="C4483" t="s">
        <v>9315</v>
      </c>
      <c r="D4483" t="s">
        <v>1269</v>
      </c>
      <c r="E4483">
        <v>852193452</v>
      </c>
      <c r="F4483">
        <v>1172501025</v>
      </c>
      <c r="G4483">
        <v>1728032993</v>
      </c>
      <c r="H4483">
        <v>1955679993</v>
      </c>
      <c r="I4483">
        <v>3071025948</v>
      </c>
      <c r="J4483">
        <v>3011509401</v>
      </c>
      <c r="K4483">
        <v>3243731928</v>
      </c>
      <c r="L4483">
        <v>2815452365</v>
      </c>
      <c r="M4483">
        <v>2023876763</v>
      </c>
      <c r="N4483">
        <v>1717299872</v>
      </c>
      <c r="O4483">
        <v>1563379540</v>
      </c>
      <c r="P4483">
        <v>92</v>
      </c>
      <c r="Q4483" t="s">
        <v>9316</v>
      </c>
    </row>
    <row r="4484" spans="1:17" x14ac:dyDescent="0.3">
      <c r="A4484" t="s">
        <v>17</v>
      </c>
      <c r="B4484" t="str">
        <f>"688685"</f>
        <v>688685</v>
      </c>
      <c r="C4484" t="s">
        <v>9317</v>
      </c>
      <c r="D4484" t="s">
        <v>570</v>
      </c>
      <c r="E4484">
        <v>851448206</v>
      </c>
      <c r="F4484">
        <v>644698238</v>
      </c>
      <c r="P4484">
        <v>21</v>
      </c>
      <c r="Q4484" t="s">
        <v>9318</v>
      </c>
    </row>
    <row r="4485" spans="1:17" x14ac:dyDescent="0.3">
      <c r="A4485" t="s">
        <v>17</v>
      </c>
      <c r="B4485" t="str">
        <f>"688171"</f>
        <v>688171</v>
      </c>
      <c r="C4485" t="s">
        <v>9319</v>
      </c>
      <c r="E4485">
        <v>851126355</v>
      </c>
      <c r="G4485">
        <v>204318463</v>
      </c>
      <c r="P4485">
        <v>12</v>
      </c>
      <c r="Q4485" t="s">
        <v>9320</v>
      </c>
    </row>
    <row r="4486" spans="1:17" x14ac:dyDescent="0.3">
      <c r="A4486" t="s">
        <v>47</v>
      </c>
      <c r="B4486" t="str">
        <f>"002700"</f>
        <v>002700</v>
      </c>
      <c r="C4486" t="s">
        <v>9321</v>
      </c>
      <c r="D4486" t="s">
        <v>476</v>
      </c>
      <c r="E4486">
        <v>850861050</v>
      </c>
      <c r="F4486">
        <v>1058306510</v>
      </c>
      <c r="G4486">
        <v>1313339576</v>
      </c>
      <c r="H4486">
        <v>1245241514</v>
      </c>
      <c r="I4486">
        <v>1133806141</v>
      </c>
      <c r="J4486">
        <v>1083375362</v>
      </c>
      <c r="K4486">
        <v>1029307738</v>
      </c>
      <c r="L4486">
        <v>963733722</v>
      </c>
      <c r="M4486">
        <v>803540965</v>
      </c>
      <c r="N4486">
        <v>704628158</v>
      </c>
      <c r="P4486">
        <v>53</v>
      </c>
      <c r="Q4486" t="s">
        <v>9322</v>
      </c>
    </row>
    <row r="4487" spans="1:17" x14ac:dyDescent="0.3">
      <c r="A4487" t="s">
        <v>47</v>
      </c>
      <c r="B4487" t="str">
        <f>"300945"</f>
        <v>300945</v>
      </c>
      <c r="C4487" t="s">
        <v>9323</v>
      </c>
      <c r="D4487" t="s">
        <v>1508</v>
      </c>
      <c r="E4487">
        <v>848470871</v>
      </c>
      <c r="F4487">
        <v>815772500</v>
      </c>
      <c r="P4487">
        <v>36</v>
      </c>
      <c r="Q4487" t="s">
        <v>9324</v>
      </c>
    </row>
    <row r="4488" spans="1:17" x14ac:dyDescent="0.3">
      <c r="A4488" t="s">
        <v>47</v>
      </c>
      <c r="B4488" t="str">
        <f>"300743"</f>
        <v>300743</v>
      </c>
      <c r="C4488" t="s">
        <v>9325</v>
      </c>
      <c r="D4488" t="s">
        <v>765</v>
      </c>
      <c r="E4488">
        <v>848096633</v>
      </c>
      <c r="F4488">
        <v>581410131</v>
      </c>
      <c r="G4488">
        <v>540105425</v>
      </c>
      <c r="H4488">
        <v>483368718</v>
      </c>
      <c r="I4488">
        <v>336427894</v>
      </c>
      <c r="P4488">
        <v>54</v>
      </c>
      <c r="Q4488" t="s">
        <v>9326</v>
      </c>
    </row>
    <row r="4489" spans="1:17" x14ac:dyDescent="0.3">
      <c r="A4489" t="s">
        <v>47</v>
      </c>
      <c r="B4489" t="str">
        <f>"300640"</f>
        <v>300640</v>
      </c>
      <c r="C4489" t="s">
        <v>9327</v>
      </c>
      <c r="D4489" t="s">
        <v>2016</v>
      </c>
      <c r="E4489">
        <v>845392416</v>
      </c>
      <c r="F4489">
        <v>894254024</v>
      </c>
      <c r="G4489">
        <v>418725140</v>
      </c>
      <c r="H4489">
        <v>413254433</v>
      </c>
      <c r="I4489">
        <v>361496649</v>
      </c>
      <c r="J4489">
        <v>179699422</v>
      </c>
      <c r="P4489">
        <v>79</v>
      </c>
      <c r="Q4489" t="s">
        <v>9328</v>
      </c>
    </row>
    <row r="4490" spans="1:17" x14ac:dyDescent="0.3">
      <c r="A4490" t="s">
        <v>17</v>
      </c>
      <c r="B4490" t="str">
        <f>"688622"</f>
        <v>688622</v>
      </c>
      <c r="C4490" t="s">
        <v>9329</v>
      </c>
      <c r="D4490" t="s">
        <v>3722</v>
      </c>
      <c r="E4490">
        <v>845143202</v>
      </c>
      <c r="P4490">
        <v>29</v>
      </c>
      <c r="Q4490" t="s">
        <v>9330</v>
      </c>
    </row>
    <row r="4491" spans="1:17" x14ac:dyDescent="0.3">
      <c r="A4491" t="s">
        <v>47</v>
      </c>
      <c r="B4491" t="str">
        <f>"300828"</f>
        <v>300828</v>
      </c>
      <c r="C4491" t="s">
        <v>9331</v>
      </c>
      <c r="D4491" t="s">
        <v>401</v>
      </c>
      <c r="E4491">
        <v>843757814</v>
      </c>
      <c r="F4491">
        <v>790571455</v>
      </c>
      <c r="G4491">
        <v>570750415</v>
      </c>
      <c r="P4491">
        <v>91</v>
      </c>
      <c r="Q4491" t="s">
        <v>9332</v>
      </c>
    </row>
    <row r="4492" spans="1:17" x14ac:dyDescent="0.3">
      <c r="A4492" t="s">
        <v>47</v>
      </c>
      <c r="B4492" t="str">
        <f>"300333"</f>
        <v>300333</v>
      </c>
      <c r="C4492" t="s">
        <v>9333</v>
      </c>
      <c r="D4492" t="s">
        <v>765</v>
      </c>
      <c r="E4492">
        <v>843003736</v>
      </c>
      <c r="F4492">
        <v>829798864</v>
      </c>
      <c r="G4492">
        <v>868358537</v>
      </c>
      <c r="H4492">
        <v>864289960</v>
      </c>
      <c r="I4492">
        <v>885354257</v>
      </c>
      <c r="J4492">
        <v>881855895</v>
      </c>
      <c r="K4492">
        <v>874634140</v>
      </c>
      <c r="L4492">
        <v>845305049</v>
      </c>
      <c r="M4492">
        <v>832179853</v>
      </c>
      <c r="N4492">
        <v>836759181</v>
      </c>
      <c r="O4492">
        <v>273031978</v>
      </c>
      <c r="P4492">
        <v>94</v>
      </c>
      <c r="Q4492" t="s">
        <v>9334</v>
      </c>
    </row>
    <row r="4493" spans="1:17" x14ac:dyDescent="0.3">
      <c r="A4493" t="s">
        <v>47</v>
      </c>
      <c r="B4493" t="str">
        <f>"301075"</f>
        <v>301075</v>
      </c>
      <c r="C4493" t="s">
        <v>9335</v>
      </c>
      <c r="D4493" t="s">
        <v>550</v>
      </c>
      <c r="E4493">
        <v>842026923</v>
      </c>
      <c r="G4493">
        <v>344425133</v>
      </c>
      <c r="P4493">
        <v>22</v>
      </c>
      <c r="Q4493" t="s">
        <v>9336</v>
      </c>
    </row>
    <row r="4494" spans="1:17" x14ac:dyDescent="0.3">
      <c r="A4494" t="s">
        <v>47</v>
      </c>
      <c r="B4494" t="str">
        <f>"301041"</f>
        <v>301041</v>
      </c>
      <c r="C4494" t="s">
        <v>9337</v>
      </c>
      <c r="D4494" t="s">
        <v>1115</v>
      </c>
      <c r="E4494">
        <v>840972502</v>
      </c>
      <c r="F4494">
        <v>635662501</v>
      </c>
      <c r="P4494">
        <v>31</v>
      </c>
      <c r="Q4494" t="s">
        <v>9338</v>
      </c>
    </row>
    <row r="4495" spans="1:17" x14ac:dyDescent="0.3">
      <c r="A4495" t="s">
        <v>17</v>
      </c>
      <c r="B4495" t="str">
        <f>"688316"</f>
        <v>688316</v>
      </c>
      <c r="C4495" t="s">
        <v>9339</v>
      </c>
      <c r="D4495" t="s">
        <v>700</v>
      </c>
      <c r="E4495">
        <v>839948073</v>
      </c>
      <c r="F4495">
        <v>1024112663</v>
      </c>
      <c r="P4495">
        <v>31</v>
      </c>
      <c r="Q4495" t="s">
        <v>9340</v>
      </c>
    </row>
    <row r="4496" spans="1:17" x14ac:dyDescent="0.3">
      <c r="A4496" t="s">
        <v>17</v>
      </c>
      <c r="B4496" t="str">
        <f>"688787"</f>
        <v>688787</v>
      </c>
      <c r="C4496" t="s">
        <v>9341</v>
      </c>
      <c r="D4496" t="s">
        <v>700</v>
      </c>
      <c r="E4496">
        <v>838933745</v>
      </c>
      <c r="F4496">
        <v>487731544</v>
      </c>
      <c r="G4496">
        <v>410785695</v>
      </c>
      <c r="P4496">
        <v>32</v>
      </c>
      <c r="Q4496" t="s">
        <v>9342</v>
      </c>
    </row>
    <row r="4497" spans="1:17" x14ac:dyDescent="0.3">
      <c r="A4497" t="s">
        <v>17</v>
      </c>
      <c r="B4497" t="str">
        <f>"688655"</f>
        <v>688655</v>
      </c>
      <c r="C4497" t="s">
        <v>9343</v>
      </c>
      <c r="D4497" t="s">
        <v>1115</v>
      </c>
      <c r="E4497">
        <v>837697564</v>
      </c>
      <c r="F4497">
        <v>598693579</v>
      </c>
      <c r="P4497">
        <v>21</v>
      </c>
      <c r="Q4497" t="s">
        <v>9344</v>
      </c>
    </row>
    <row r="4498" spans="1:17" x14ac:dyDescent="0.3">
      <c r="A4498" t="s">
        <v>47</v>
      </c>
      <c r="B4498" t="str">
        <f>"002575"</f>
        <v>002575</v>
      </c>
      <c r="C4498" t="s">
        <v>9345</v>
      </c>
      <c r="D4498" t="s">
        <v>4263</v>
      </c>
      <c r="E4498">
        <v>837600050</v>
      </c>
      <c r="F4498">
        <v>924934015</v>
      </c>
      <c r="G4498">
        <v>917937533</v>
      </c>
      <c r="H4498">
        <v>910081309</v>
      </c>
      <c r="I4498">
        <v>900075086</v>
      </c>
      <c r="J4498">
        <v>913809066</v>
      </c>
      <c r="K4498">
        <v>961115276</v>
      </c>
      <c r="L4498">
        <v>962931396</v>
      </c>
      <c r="M4498">
        <v>1008968712</v>
      </c>
      <c r="N4498">
        <v>1010727392</v>
      </c>
      <c r="O4498">
        <v>890333876</v>
      </c>
      <c r="P4498">
        <v>57</v>
      </c>
      <c r="Q4498" t="s">
        <v>9346</v>
      </c>
    </row>
    <row r="4499" spans="1:17" x14ac:dyDescent="0.3">
      <c r="A4499" t="s">
        <v>17</v>
      </c>
      <c r="B4499" t="str">
        <f>"688080"</f>
        <v>688080</v>
      </c>
      <c r="C4499" t="s">
        <v>9347</v>
      </c>
      <c r="D4499" t="s">
        <v>4914</v>
      </c>
      <c r="E4499">
        <v>837597899</v>
      </c>
      <c r="F4499">
        <v>764734002</v>
      </c>
      <c r="G4499">
        <v>676102761</v>
      </c>
      <c r="P4499">
        <v>87</v>
      </c>
      <c r="Q4499" t="s">
        <v>9348</v>
      </c>
    </row>
    <row r="4500" spans="1:17" x14ac:dyDescent="0.3">
      <c r="A4500" t="s">
        <v>47</v>
      </c>
      <c r="B4500" t="str">
        <f>"300313"</f>
        <v>300313</v>
      </c>
      <c r="C4500" t="s">
        <v>9349</v>
      </c>
      <c r="D4500" t="s">
        <v>1721</v>
      </c>
      <c r="E4500">
        <v>837479699</v>
      </c>
      <c r="F4500">
        <v>851951175</v>
      </c>
      <c r="G4500">
        <v>1104386682</v>
      </c>
      <c r="H4500">
        <v>1366063206</v>
      </c>
      <c r="I4500">
        <v>674081482</v>
      </c>
      <c r="J4500">
        <v>860760033</v>
      </c>
      <c r="K4500">
        <v>1058571699</v>
      </c>
      <c r="L4500">
        <v>660017545</v>
      </c>
      <c r="M4500">
        <v>470235794</v>
      </c>
      <c r="N4500">
        <v>431585805</v>
      </c>
      <c r="O4500">
        <v>171958914</v>
      </c>
      <c r="P4500">
        <v>85</v>
      </c>
      <c r="Q4500" t="s">
        <v>9350</v>
      </c>
    </row>
    <row r="4501" spans="1:17" x14ac:dyDescent="0.3">
      <c r="A4501" t="s">
        <v>17</v>
      </c>
      <c r="B4501" t="str">
        <f>"603389"</f>
        <v>603389</v>
      </c>
      <c r="C4501" t="s">
        <v>9351</v>
      </c>
      <c r="D4501" t="s">
        <v>2082</v>
      </c>
      <c r="E4501">
        <v>837170809</v>
      </c>
      <c r="F4501">
        <v>922664874</v>
      </c>
      <c r="G4501">
        <v>797056598</v>
      </c>
      <c r="H4501">
        <v>905857960</v>
      </c>
      <c r="I4501">
        <v>1019456309</v>
      </c>
      <c r="J4501">
        <v>1009706306</v>
      </c>
      <c r="P4501">
        <v>80</v>
      </c>
      <c r="Q4501" t="s">
        <v>9352</v>
      </c>
    </row>
    <row r="4502" spans="1:17" x14ac:dyDescent="0.3">
      <c r="A4502" t="s">
        <v>47</v>
      </c>
      <c r="B4502" t="str">
        <f>"002826"</f>
        <v>002826</v>
      </c>
      <c r="C4502" t="s">
        <v>9353</v>
      </c>
      <c r="D4502" t="s">
        <v>550</v>
      </c>
      <c r="E4502">
        <v>835486087</v>
      </c>
      <c r="F4502">
        <v>876006444</v>
      </c>
      <c r="G4502">
        <v>769755220</v>
      </c>
      <c r="H4502">
        <v>800042546</v>
      </c>
      <c r="I4502">
        <v>733493210</v>
      </c>
      <c r="J4502">
        <v>654319612</v>
      </c>
      <c r="P4502">
        <v>127</v>
      </c>
      <c r="Q4502" t="s">
        <v>9354</v>
      </c>
    </row>
    <row r="4503" spans="1:17" x14ac:dyDescent="0.3">
      <c r="A4503" t="s">
        <v>17</v>
      </c>
      <c r="B4503" t="str">
        <f>"603755"</f>
        <v>603755</v>
      </c>
      <c r="C4503" t="s">
        <v>9355</v>
      </c>
      <c r="D4503" t="s">
        <v>1241</v>
      </c>
      <c r="E4503">
        <v>833831372</v>
      </c>
      <c r="F4503">
        <v>711832586</v>
      </c>
      <c r="G4503">
        <v>644750188</v>
      </c>
      <c r="P4503">
        <v>370</v>
      </c>
      <c r="Q4503" t="s">
        <v>9356</v>
      </c>
    </row>
    <row r="4504" spans="1:17" x14ac:dyDescent="0.3">
      <c r="A4504" t="s">
        <v>47</v>
      </c>
      <c r="B4504" t="str">
        <f>"003004"</f>
        <v>003004</v>
      </c>
      <c r="C4504" t="s">
        <v>9357</v>
      </c>
      <c r="D4504" t="s">
        <v>523</v>
      </c>
      <c r="E4504">
        <v>833131723</v>
      </c>
      <c r="F4504">
        <v>833180418</v>
      </c>
      <c r="P4504">
        <v>37</v>
      </c>
      <c r="Q4504" t="s">
        <v>9358</v>
      </c>
    </row>
    <row r="4505" spans="1:17" x14ac:dyDescent="0.3">
      <c r="A4505" t="s">
        <v>47</v>
      </c>
      <c r="B4505" t="str">
        <f>"301259"</f>
        <v>301259</v>
      </c>
      <c r="C4505" t="s">
        <v>9359</v>
      </c>
      <c r="E4505">
        <v>832055874</v>
      </c>
      <c r="P4505">
        <v>0</v>
      </c>
      <c r="Q4505" t="s">
        <v>9360</v>
      </c>
    </row>
    <row r="4506" spans="1:17" x14ac:dyDescent="0.3">
      <c r="A4506" t="s">
        <v>47</v>
      </c>
      <c r="B4506" t="str">
        <f>"300701"</f>
        <v>300701</v>
      </c>
      <c r="C4506" t="s">
        <v>9361</v>
      </c>
      <c r="D4506" t="s">
        <v>1487</v>
      </c>
      <c r="E4506">
        <v>831780144</v>
      </c>
      <c r="F4506">
        <v>769298112</v>
      </c>
      <c r="G4506">
        <v>616677883</v>
      </c>
      <c r="H4506">
        <v>516780839</v>
      </c>
      <c r="I4506">
        <v>469889745</v>
      </c>
      <c r="P4506">
        <v>746</v>
      </c>
      <c r="Q4506" t="s">
        <v>9362</v>
      </c>
    </row>
    <row r="4507" spans="1:17" x14ac:dyDescent="0.3">
      <c r="A4507" t="s">
        <v>17</v>
      </c>
      <c r="B4507" t="str">
        <f>"688070"</f>
        <v>688070</v>
      </c>
      <c r="C4507" t="s">
        <v>9363</v>
      </c>
      <c r="D4507" t="s">
        <v>570</v>
      </c>
      <c r="E4507">
        <v>831351889</v>
      </c>
      <c r="F4507">
        <v>813777955</v>
      </c>
      <c r="G4507">
        <v>351138400</v>
      </c>
      <c r="P4507">
        <v>43</v>
      </c>
      <c r="Q4507" t="s">
        <v>9364</v>
      </c>
    </row>
    <row r="4508" spans="1:17" x14ac:dyDescent="0.3">
      <c r="A4508" t="s">
        <v>17</v>
      </c>
      <c r="B4508" t="str">
        <f>"688682"</f>
        <v>688682</v>
      </c>
      <c r="C4508" t="s">
        <v>9365</v>
      </c>
      <c r="D4508" t="s">
        <v>1385</v>
      </c>
      <c r="E4508">
        <v>831313522</v>
      </c>
      <c r="F4508">
        <v>298306835</v>
      </c>
      <c r="P4508">
        <v>33</v>
      </c>
      <c r="Q4508" t="s">
        <v>9366</v>
      </c>
    </row>
    <row r="4509" spans="1:17" x14ac:dyDescent="0.3">
      <c r="A4509" t="s">
        <v>47</v>
      </c>
      <c r="B4509" t="str">
        <f>"301111"</f>
        <v>301111</v>
      </c>
      <c r="C4509" t="s">
        <v>9367</v>
      </c>
      <c r="D4509" t="s">
        <v>550</v>
      </c>
      <c r="E4509">
        <v>830291182</v>
      </c>
      <c r="P4509">
        <v>28</v>
      </c>
      <c r="Q4509" t="s">
        <v>9368</v>
      </c>
    </row>
    <row r="4510" spans="1:17" x14ac:dyDescent="0.3">
      <c r="A4510" t="s">
        <v>47</v>
      </c>
      <c r="B4510" t="str">
        <f>"300446"</f>
        <v>300446</v>
      </c>
      <c r="C4510" t="s">
        <v>9369</v>
      </c>
      <c r="D4510" t="s">
        <v>3050</v>
      </c>
      <c r="E4510">
        <v>829332815</v>
      </c>
      <c r="F4510">
        <v>855142251</v>
      </c>
      <c r="G4510">
        <v>737663242</v>
      </c>
      <c r="H4510">
        <v>694387792</v>
      </c>
      <c r="I4510">
        <v>643860557</v>
      </c>
      <c r="J4510">
        <v>575132003</v>
      </c>
      <c r="K4510">
        <v>496406496</v>
      </c>
      <c r="L4510">
        <v>326405227</v>
      </c>
      <c r="P4510">
        <v>980</v>
      </c>
      <c r="Q4510" t="s">
        <v>9370</v>
      </c>
    </row>
    <row r="4511" spans="1:17" x14ac:dyDescent="0.3">
      <c r="A4511" t="s">
        <v>47</v>
      </c>
      <c r="B4511" t="str">
        <f>"000702"</f>
        <v>000702</v>
      </c>
      <c r="C4511" t="s">
        <v>9371</v>
      </c>
      <c r="D4511" t="s">
        <v>1390</v>
      </c>
      <c r="E4511">
        <v>828099990</v>
      </c>
      <c r="F4511">
        <v>1058940324</v>
      </c>
      <c r="G4511">
        <v>690903783</v>
      </c>
      <c r="H4511">
        <v>732899097</v>
      </c>
      <c r="I4511">
        <v>725387842</v>
      </c>
      <c r="J4511">
        <v>674807786</v>
      </c>
      <c r="K4511">
        <v>692905384</v>
      </c>
      <c r="L4511">
        <v>805421401</v>
      </c>
      <c r="M4511">
        <v>829583024</v>
      </c>
      <c r="N4511">
        <v>860118746</v>
      </c>
      <c r="O4511">
        <v>997721266</v>
      </c>
      <c r="P4511">
        <v>127</v>
      </c>
      <c r="Q4511" t="s">
        <v>9372</v>
      </c>
    </row>
    <row r="4512" spans="1:17" x14ac:dyDescent="0.3">
      <c r="A4512" t="s">
        <v>17</v>
      </c>
      <c r="B4512" t="str">
        <f>"600455"</f>
        <v>600455</v>
      </c>
      <c r="C4512" t="s">
        <v>9373</v>
      </c>
      <c r="D4512" t="s">
        <v>1859</v>
      </c>
      <c r="E4512">
        <v>820966949</v>
      </c>
      <c r="F4512">
        <v>755197291</v>
      </c>
      <c r="G4512">
        <v>730579792</v>
      </c>
      <c r="H4512">
        <v>675116345</v>
      </c>
      <c r="I4512">
        <v>643814522</v>
      </c>
      <c r="J4512">
        <v>593223804</v>
      </c>
      <c r="K4512">
        <v>654606332</v>
      </c>
      <c r="L4512">
        <v>672837204</v>
      </c>
      <c r="M4512">
        <v>700591778</v>
      </c>
      <c r="N4512">
        <v>739746961</v>
      </c>
      <c r="O4512">
        <v>722462332</v>
      </c>
      <c r="P4512">
        <v>103</v>
      </c>
      <c r="Q4512" t="s">
        <v>9374</v>
      </c>
    </row>
    <row r="4513" spans="1:17" x14ac:dyDescent="0.3">
      <c r="A4513" t="s">
        <v>47</v>
      </c>
      <c r="B4513" t="str">
        <f>"300799"</f>
        <v>300799</v>
      </c>
      <c r="C4513" t="s">
        <v>9375</v>
      </c>
      <c r="D4513" t="s">
        <v>1010</v>
      </c>
      <c r="E4513">
        <v>820709016</v>
      </c>
      <c r="F4513">
        <v>796532811</v>
      </c>
      <c r="G4513">
        <v>698065438</v>
      </c>
      <c r="P4513">
        <v>140</v>
      </c>
      <c r="Q4513" t="s">
        <v>9376</v>
      </c>
    </row>
    <row r="4514" spans="1:17" x14ac:dyDescent="0.3">
      <c r="A4514" t="s">
        <v>47</v>
      </c>
      <c r="B4514" t="str">
        <f>"002750"</f>
        <v>002750</v>
      </c>
      <c r="C4514" t="s">
        <v>9377</v>
      </c>
      <c r="D4514" t="s">
        <v>695</v>
      </c>
      <c r="E4514">
        <v>817236417</v>
      </c>
      <c r="F4514">
        <v>993722701</v>
      </c>
      <c r="G4514">
        <v>800503993</v>
      </c>
      <c r="H4514">
        <v>770549755</v>
      </c>
      <c r="I4514">
        <v>798419744</v>
      </c>
      <c r="J4514">
        <v>772280859</v>
      </c>
      <c r="K4514">
        <v>723313642</v>
      </c>
      <c r="L4514">
        <v>712738559</v>
      </c>
      <c r="P4514">
        <v>142</v>
      </c>
      <c r="Q4514" t="s">
        <v>9378</v>
      </c>
    </row>
    <row r="4515" spans="1:17" x14ac:dyDescent="0.3">
      <c r="A4515" t="s">
        <v>47</v>
      </c>
      <c r="B4515" t="str">
        <f>"300321"</f>
        <v>300321</v>
      </c>
      <c r="C4515" t="s">
        <v>9379</v>
      </c>
      <c r="D4515" t="s">
        <v>334</v>
      </c>
      <c r="E4515">
        <v>816807512</v>
      </c>
      <c r="F4515">
        <v>759730976</v>
      </c>
      <c r="G4515">
        <v>775023808</v>
      </c>
      <c r="H4515">
        <v>721584561</v>
      </c>
      <c r="I4515">
        <v>728853472</v>
      </c>
      <c r="J4515">
        <v>697271234</v>
      </c>
      <c r="K4515">
        <v>672326391</v>
      </c>
      <c r="L4515">
        <v>737082064</v>
      </c>
      <c r="M4515">
        <v>731636206</v>
      </c>
      <c r="N4515">
        <v>696609690</v>
      </c>
      <c r="O4515">
        <v>504683124</v>
      </c>
      <c r="P4515">
        <v>45</v>
      </c>
      <c r="Q4515" t="s">
        <v>9380</v>
      </c>
    </row>
    <row r="4516" spans="1:17" x14ac:dyDescent="0.3">
      <c r="A4516" t="s">
        <v>47</v>
      </c>
      <c r="B4516" t="str">
        <f>"300885"</f>
        <v>300885</v>
      </c>
      <c r="C4516" t="s">
        <v>9381</v>
      </c>
      <c r="D4516" t="s">
        <v>401</v>
      </c>
      <c r="E4516">
        <v>816324074</v>
      </c>
      <c r="F4516">
        <v>775293510</v>
      </c>
      <c r="P4516">
        <v>45</v>
      </c>
      <c r="Q4516" t="s">
        <v>9382</v>
      </c>
    </row>
    <row r="4517" spans="1:17" x14ac:dyDescent="0.3">
      <c r="A4517" t="s">
        <v>17</v>
      </c>
      <c r="B4517" t="str">
        <f>"600714"</f>
        <v>600714</v>
      </c>
      <c r="C4517" t="s">
        <v>9383</v>
      </c>
      <c r="D4517" t="s">
        <v>1930</v>
      </c>
      <c r="E4517">
        <v>815596306</v>
      </c>
      <c r="F4517">
        <v>686329494</v>
      </c>
      <c r="G4517">
        <v>672265391</v>
      </c>
      <c r="H4517">
        <v>693417180</v>
      </c>
      <c r="I4517">
        <v>655036547</v>
      </c>
      <c r="J4517">
        <v>725986289</v>
      </c>
      <c r="K4517">
        <v>1189215794</v>
      </c>
      <c r="L4517">
        <v>1257936560</v>
      </c>
      <c r="M4517">
        <v>1220077961</v>
      </c>
      <c r="N4517">
        <v>1283127208</v>
      </c>
      <c r="O4517">
        <v>1153678923</v>
      </c>
      <c r="P4517">
        <v>68</v>
      </c>
      <c r="Q4517" t="s">
        <v>9384</v>
      </c>
    </row>
    <row r="4518" spans="1:17" x14ac:dyDescent="0.3">
      <c r="A4518" t="s">
        <v>17</v>
      </c>
      <c r="B4518" t="str">
        <f>"603110"</f>
        <v>603110</v>
      </c>
      <c r="C4518" t="s">
        <v>9385</v>
      </c>
      <c r="D4518" t="s">
        <v>5419</v>
      </c>
      <c r="E4518">
        <v>814123770</v>
      </c>
      <c r="F4518">
        <v>802257072</v>
      </c>
      <c r="G4518">
        <v>739363968</v>
      </c>
      <c r="H4518">
        <v>750580652</v>
      </c>
      <c r="I4518">
        <v>726291805</v>
      </c>
      <c r="P4518">
        <v>71</v>
      </c>
      <c r="Q4518" t="s">
        <v>9386</v>
      </c>
    </row>
    <row r="4519" spans="1:17" x14ac:dyDescent="0.3">
      <c r="A4519" t="s">
        <v>17</v>
      </c>
      <c r="B4519" t="str">
        <f>"600695"</f>
        <v>600695</v>
      </c>
      <c r="C4519" t="s">
        <v>9387</v>
      </c>
      <c r="D4519" t="s">
        <v>3519</v>
      </c>
      <c r="E4519">
        <v>812911301</v>
      </c>
      <c r="F4519">
        <v>894594552</v>
      </c>
      <c r="G4519">
        <v>788817399</v>
      </c>
      <c r="H4519">
        <v>911410145</v>
      </c>
      <c r="I4519">
        <v>1016728356</v>
      </c>
      <c r="J4519">
        <v>1341428393</v>
      </c>
      <c r="K4519">
        <v>1175307289</v>
      </c>
      <c r="L4519">
        <v>1298456729</v>
      </c>
      <c r="M4519">
        <v>407724745</v>
      </c>
      <c r="N4519">
        <v>610084397</v>
      </c>
      <c r="O4519">
        <v>612328767</v>
      </c>
      <c r="P4519">
        <v>74</v>
      </c>
      <c r="Q4519" t="s">
        <v>9388</v>
      </c>
    </row>
    <row r="4520" spans="1:17" x14ac:dyDescent="0.3">
      <c r="A4520" t="s">
        <v>47</v>
      </c>
      <c r="B4520" t="str">
        <f>"300927"</f>
        <v>300927</v>
      </c>
      <c r="C4520" t="s">
        <v>9389</v>
      </c>
      <c r="D4520" t="s">
        <v>2874</v>
      </c>
      <c r="E4520">
        <v>810950800</v>
      </c>
      <c r="F4520">
        <v>744096908</v>
      </c>
      <c r="P4520">
        <v>44</v>
      </c>
      <c r="Q4520" t="s">
        <v>9390</v>
      </c>
    </row>
    <row r="4521" spans="1:17" x14ac:dyDescent="0.3">
      <c r="A4521" t="s">
        <v>17</v>
      </c>
      <c r="B4521" t="str">
        <f>"688701"</f>
        <v>688701</v>
      </c>
      <c r="C4521" t="s">
        <v>9391</v>
      </c>
      <c r="D4521" t="s">
        <v>1269</v>
      </c>
      <c r="E4521">
        <v>809464042</v>
      </c>
      <c r="G4521">
        <v>418142655</v>
      </c>
      <c r="P4521">
        <v>19</v>
      </c>
      <c r="Q4521" t="s">
        <v>9392</v>
      </c>
    </row>
    <row r="4522" spans="1:17" x14ac:dyDescent="0.3">
      <c r="A4522" t="s">
        <v>47</v>
      </c>
      <c r="B4522" t="str">
        <f>"301169"</f>
        <v>301169</v>
      </c>
      <c r="C4522" t="s">
        <v>9393</v>
      </c>
      <c r="D4522" t="s">
        <v>9009</v>
      </c>
      <c r="E4522">
        <v>809091650</v>
      </c>
      <c r="P4522">
        <v>15</v>
      </c>
      <c r="Q4522" t="s">
        <v>9394</v>
      </c>
    </row>
    <row r="4523" spans="1:17" x14ac:dyDescent="0.3">
      <c r="A4523" t="s">
        <v>47</v>
      </c>
      <c r="B4523" t="str">
        <f>"300534"</f>
        <v>300534</v>
      </c>
      <c r="C4523" t="s">
        <v>9395</v>
      </c>
      <c r="D4523" t="s">
        <v>695</v>
      </c>
      <c r="E4523">
        <v>807499598</v>
      </c>
      <c r="F4523">
        <v>820051392</v>
      </c>
      <c r="G4523">
        <v>866171681</v>
      </c>
      <c r="H4523">
        <v>794033061</v>
      </c>
      <c r="I4523">
        <v>787531642</v>
      </c>
      <c r="J4523">
        <v>773259673</v>
      </c>
      <c r="P4523">
        <v>109</v>
      </c>
      <c r="Q4523" t="s">
        <v>9396</v>
      </c>
    </row>
    <row r="4524" spans="1:17" x14ac:dyDescent="0.3">
      <c r="A4524" t="s">
        <v>47</v>
      </c>
      <c r="B4524" t="str">
        <f>"000520"</f>
        <v>000520</v>
      </c>
      <c r="C4524" t="s">
        <v>9397</v>
      </c>
      <c r="D4524" t="s">
        <v>176</v>
      </c>
      <c r="E4524">
        <v>806819234</v>
      </c>
      <c r="F4524">
        <v>647939747</v>
      </c>
      <c r="G4524">
        <v>647996331</v>
      </c>
      <c r="H4524">
        <v>577902479</v>
      </c>
      <c r="I4524">
        <v>539776500</v>
      </c>
      <c r="J4524">
        <v>511069964</v>
      </c>
      <c r="K4524">
        <v>522748311</v>
      </c>
      <c r="L4524">
        <v>500861795</v>
      </c>
      <c r="M4524">
        <v>584808174</v>
      </c>
      <c r="N4524">
        <v>5083865762</v>
      </c>
      <c r="O4524">
        <v>8793411712</v>
      </c>
      <c r="P4524">
        <v>110</v>
      </c>
      <c r="Q4524" t="s">
        <v>9398</v>
      </c>
    </row>
    <row r="4525" spans="1:17" x14ac:dyDescent="0.3">
      <c r="A4525" t="s">
        <v>47</v>
      </c>
      <c r="B4525" t="str">
        <f>"301066"</f>
        <v>301066</v>
      </c>
      <c r="C4525" t="s">
        <v>9399</v>
      </c>
      <c r="D4525" t="s">
        <v>4276</v>
      </c>
      <c r="E4525">
        <v>805711222</v>
      </c>
      <c r="P4525">
        <v>21</v>
      </c>
      <c r="Q4525" t="s">
        <v>9400</v>
      </c>
    </row>
    <row r="4526" spans="1:17" x14ac:dyDescent="0.3">
      <c r="A4526" t="s">
        <v>17</v>
      </c>
      <c r="B4526" t="str">
        <f>"600099"</f>
        <v>600099</v>
      </c>
      <c r="C4526" t="s">
        <v>9401</v>
      </c>
      <c r="D4526" t="s">
        <v>2210</v>
      </c>
      <c r="E4526">
        <v>804723156</v>
      </c>
      <c r="F4526">
        <v>678036551</v>
      </c>
      <c r="G4526">
        <v>640941435</v>
      </c>
      <c r="H4526">
        <v>624484630</v>
      </c>
      <c r="I4526">
        <v>600112804</v>
      </c>
      <c r="J4526">
        <v>609707171</v>
      </c>
      <c r="K4526">
        <v>602031718</v>
      </c>
      <c r="L4526">
        <v>577492735</v>
      </c>
      <c r="M4526">
        <v>564167154</v>
      </c>
      <c r="N4526">
        <v>531295484</v>
      </c>
      <c r="O4526">
        <v>535826043</v>
      </c>
      <c r="P4526">
        <v>74</v>
      </c>
      <c r="Q4526" t="s">
        <v>9402</v>
      </c>
    </row>
    <row r="4527" spans="1:17" x14ac:dyDescent="0.3">
      <c r="A4527" t="s">
        <v>47</v>
      </c>
      <c r="B4527" t="str">
        <f>"300668"</f>
        <v>300668</v>
      </c>
      <c r="C4527" t="s">
        <v>9403</v>
      </c>
      <c r="D4527" t="s">
        <v>2178</v>
      </c>
      <c r="E4527">
        <v>804420533</v>
      </c>
      <c r="F4527">
        <v>570860480</v>
      </c>
      <c r="G4527">
        <v>541031755</v>
      </c>
      <c r="H4527">
        <v>487771067</v>
      </c>
      <c r="I4527">
        <v>440650287</v>
      </c>
      <c r="J4527">
        <v>221315116</v>
      </c>
      <c r="P4527">
        <v>207</v>
      </c>
      <c r="Q4527" t="s">
        <v>9404</v>
      </c>
    </row>
    <row r="4528" spans="1:17" x14ac:dyDescent="0.3">
      <c r="A4528" t="s">
        <v>47</v>
      </c>
      <c r="B4528" t="str">
        <f>"300807"</f>
        <v>300807</v>
      </c>
      <c r="C4528" t="s">
        <v>9405</v>
      </c>
      <c r="D4528" t="s">
        <v>765</v>
      </c>
      <c r="E4528">
        <v>802474807</v>
      </c>
      <c r="F4528">
        <v>725480968</v>
      </c>
      <c r="G4528">
        <v>767105009</v>
      </c>
      <c r="H4528">
        <v>517505287</v>
      </c>
      <c r="I4528">
        <v>430702466</v>
      </c>
      <c r="P4528">
        <v>103</v>
      </c>
      <c r="Q4528" t="s">
        <v>9406</v>
      </c>
    </row>
    <row r="4529" spans="1:17" x14ac:dyDescent="0.3">
      <c r="A4529" t="s">
        <v>47</v>
      </c>
      <c r="B4529" t="str">
        <f>"301113"</f>
        <v>301113</v>
      </c>
      <c r="C4529" t="s">
        <v>9407</v>
      </c>
      <c r="D4529" t="s">
        <v>2016</v>
      </c>
      <c r="E4529">
        <v>802453814</v>
      </c>
      <c r="P4529">
        <v>27</v>
      </c>
      <c r="Q4529" t="s">
        <v>9408</v>
      </c>
    </row>
    <row r="4530" spans="1:17" x14ac:dyDescent="0.3">
      <c r="A4530" t="s">
        <v>17</v>
      </c>
      <c r="B4530" t="str">
        <f>"600371"</f>
        <v>600371</v>
      </c>
      <c r="C4530" t="s">
        <v>9409</v>
      </c>
      <c r="D4530" t="s">
        <v>2235</v>
      </c>
      <c r="E4530">
        <v>802046529</v>
      </c>
      <c r="F4530">
        <v>725817157</v>
      </c>
      <c r="G4530">
        <v>765981629</v>
      </c>
      <c r="H4530">
        <v>783671560</v>
      </c>
      <c r="I4530">
        <v>814844667</v>
      </c>
      <c r="J4530">
        <v>745773149</v>
      </c>
      <c r="K4530">
        <v>773516737</v>
      </c>
      <c r="L4530">
        <v>755887643</v>
      </c>
      <c r="M4530">
        <v>938647882</v>
      </c>
      <c r="N4530">
        <v>1061665873</v>
      </c>
      <c r="O4530">
        <v>1008688681</v>
      </c>
      <c r="P4530">
        <v>174</v>
      </c>
      <c r="Q4530" t="s">
        <v>9410</v>
      </c>
    </row>
    <row r="4531" spans="1:17" x14ac:dyDescent="0.3">
      <c r="A4531" t="s">
        <v>17</v>
      </c>
      <c r="B4531" t="str">
        <f>"600119"</f>
        <v>600119</v>
      </c>
      <c r="C4531" t="s">
        <v>9411</v>
      </c>
      <c r="D4531" t="s">
        <v>618</v>
      </c>
      <c r="E4531">
        <v>799819973</v>
      </c>
      <c r="F4531">
        <v>1145298403</v>
      </c>
      <c r="G4531">
        <v>1240410712</v>
      </c>
      <c r="H4531">
        <v>1603032400</v>
      </c>
      <c r="I4531">
        <v>1883380607</v>
      </c>
      <c r="J4531">
        <v>2902563903</v>
      </c>
      <c r="K4531">
        <v>2178897308</v>
      </c>
      <c r="L4531">
        <v>1943530519</v>
      </c>
      <c r="M4531">
        <v>1823882546</v>
      </c>
      <c r="N4531">
        <v>1749095077</v>
      </c>
      <c r="O4531">
        <v>1348519715</v>
      </c>
      <c r="P4531">
        <v>55</v>
      </c>
      <c r="Q4531" t="s">
        <v>9412</v>
      </c>
    </row>
    <row r="4532" spans="1:17" x14ac:dyDescent="0.3">
      <c r="A4532" t="s">
        <v>47</v>
      </c>
      <c r="B4532" t="str">
        <f>"300555"</f>
        <v>300555</v>
      </c>
      <c r="C4532" t="s">
        <v>9413</v>
      </c>
      <c r="D4532" t="s">
        <v>962</v>
      </c>
      <c r="E4532">
        <v>799416186</v>
      </c>
      <c r="F4532">
        <v>765927885</v>
      </c>
      <c r="G4532">
        <v>737492159</v>
      </c>
      <c r="H4532">
        <v>830596049</v>
      </c>
      <c r="I4532">
        <v>821404971</v>
      </c>
      <c r="J4532">
        <v>750917585</v>
      </c>
      <c r="P4532">
        <v>72</v>
      </c>
      <c r="Q4532" t="s">
        <v>9414</v>
      </c>
    </row>
    <row r="4533" spans="1:17" x14ac:dyDescent="0.3">
      <c r="A4533" t="s">
        <v>47</v>
      </c>
      <c r="B4533" t="str">
        <f>"300508"</f>
        <v>300508</v>
      </c>
      <c r="C4533" t="s">
        <v>9415</v>
      </c>
      <c r="D4533" t="s">
        <v>765</v>
      </c>
      <c r="E4533">
        <v>798410300</v>
      </c>
      <c r="F4533">
        <v>742328568</v>
      </c>
      <c r="G4533">
        <v>608243538</v>
      </c>
      <c r="H4533">
        <v>622675087</v>
      </c>
      <c r="I4533">
        <v>554019262</v>
      </c>
      <c r="J4533">
        <v>473729584</v>
      </c>
      <c r="K4533">
        <v>215622606</v>
      </c>
      <c r="P4533">
        <v>130</v>
      </c>
      <c r="Q4533" t="s">
        <v>9416</v>
      </c>
    </row>
    <row r="4534" spans="1:17" x14ac:dyDescent="0.3">
      <c r="A4534" t="s">
        <v>17</v>
      </c>
      <c r="B4534" t="str">
        <f>"688229"</f>
        <v>688229</v>
      </c>
      <c r="C4534" t="s">
        <v>9417</v>
      </c>
      <c r="D4534" t="s">
        <v>700</v>
      </c>
      <c r="E4534">
        <v>797846194</v>
      </c>
      <c r="F4534">
        <v>856693333</v>
      </c>
      <c r="G4534">
        <v>233523028</v>
      </c>
      <c r="P4534">
        <v>63</v>
      </c>
      <c r="Q4534" t="s">
        <v>9418</v>
      </c>
    </row>
    <row r="4535" spans="1:17" x14ac:dyDescent="0.3">
      <c r="A4535" t="s">
        <v>17</v>
      </c>
      <c r="B4535" t="str">
        <f>"688786"</f>
        <v>688786</v>
      </c>
      <c r="C4535" t="s">
        <v>9419</v>
      </c>
      <c r="D4535" t="s">
        <v>2432</v>
      </c>
      <c r="E4535">
        <v>796332742</v>
      </c>
      <c r="P4535">
        <v>31</v>
      </c>
      <c r="Q4535" t="s">
        <v>9420</v>
      </c>
    </row>
    <row r="4536" spans="1:17" x14ac:dyDescent="0.3">
      <c r="A4536" t="s">
        <v>17</v>
      </c>
      <c r="B4536" t="str">
        <f>"600311"</f>
        <v>600311</v>
      </c>
      <c r="C4536" t="s">
        <v>9421</v>
      </c>
      <c r="D4536" t="s">
        <v>600</v>
      </c>
      <c r="E4536">
        <v>795010260</v>
      </c>
      <c r="F4536">
        <v>770183100</v>
      </c>
      <c r="G4536">
        <v>957905104</v>
      </c>
      <c r="H4536">
        <v>839193027</v>
      </c>
      <c r="I4536">
        <v>971384676</v>
      </c>
      <c r="J4536">
        <v>936340309</v>
      </c>
      <c r="K4536">
        <v>957226426</v>
      </c>
      <c r="L4536">
        <v>974014601</v>
      </c>
      <c r="M4536">
        <v>982145626</v>
      </c>
      <c r="N4536">
        <v>994375835</v>
      </c>
      <c r="O4536">
        <v>1016245521</v>
      </c>
      <c r="P4536">
        <v>53</v>
      </c>
      <c r="Q4536" t="s">
        <v>9422</v>
      </c>
    </row>
    <row r="4537" spans="1:17" x14ac:dyDescent="0.3">
      <c r="A4537" t="s">
        <v>17</v>
      </c>
      <c r="B4537" t="str">
        <f>"600883"</f>
        <v>600883</v>
      </c>
      <c r="C4537" t="s">
        <v>9423</v>
      </c>
      <c r="D4537" t="s">
        <v>253</v>
      </c>
      <c r="E4537">
        <v>792679124</v>
      </c>
      <c r="F4537">
        <v>738148450</v>
      </c>
      <c r="G4537">
        <v>705850209</v>
      </c>
      <c r="H4537">
        <v>690325032</v>
      </c>
      <c r="I4537">
        <v>710903993</v>
      </c>
      <c r="J4537">
        <v>735821945</v>
      </c>
      <c r="K4537">
        <v>743475301</v>
      </c>
      <c r="L4537">
        <v>703173086</v>
      </c>
      <c r="M4537">
        <v>732604730</v>
      </c>
      <c r="N4537">
        <v>748594404</v>
      </c>
      <c r="O4537">
        <v>736198871</v>
      </c>
      <c r="P4537">
        <v>78</v>
      </c>
      <c r="Q4537" t="s">
        <v>9424</v>
      </c>
    </row>
    <row r="4538" spans="1:17" x14ac:dyDescent="0.3">
      <c r="A4538" t="s">
        <v>47</v>
      </c>
      <c r="B4538" t="str">
        <f>"300711"</f>
        <v>300711</v>
      </c>
      <c r="C4538" t="s">
        <v>9425</v>
      </c>
      <c r="D4538" t="s">
        <v>4914</v>
      </c>
      <c r="E4538">
        <v>791798193</v>
      </c>
      <c r="F4538">
        <v>770260036</v>
      </c>
      <c r="G4538">
        <v>715941234</v>
      </c>
      <c r="H4538">
        <v>630737547</v>
      </c>
      <c r="I4538">
        <v>622368966</v>
      </c>
      <c r="P4538">
        <v>130</v>
      </c>
      <c r="Q4538" t="s">
        <v>9426</v>
      </c>
    </row>
    <row r="4539" spans="1:17" x14ac:dyDescent="0.3">
      <c r="A4539" t="s">
        <v>47</v>
      </c>
      <c r="B4539" t="str">
        <f>"002134"</f>
        <v>002134</v>
      </c>
      <c r="C4539" t="s">
        <v>9427</v>
      </c>
      <c r="D4539" t="s">
        <v>1115</v>
      </c>
      <c r="E4539">
        <v>790175583</v>
      </c>
      <c r="F4539">
        <v>637639784</v>
      </c>
      <c r="G4539">
        <v>586201898</v>
      </c>
      <c r="H4539">
        <v>583031375</v>
      </c>
      <c r="I4539">
        <v>631607847</v>
      </c>
      <c r="J4539">
        <v>609066307</v>
      </c>
      <c r="K4539">
        <v>676672398</v>
      </c>
      <c r="L4539">
        <v>798413866</v>
      </c>
      <c r="M4539">
        <v>796385563</v>
      </c>
      <c r="N4539">
        <v>796905401</v>
      </c>
      <c r="O4539">
        <v>843059926</v>
      </c>
      <c r="P4539">
        <v>119</v>
      </c>
      <c r="Q4539" t="s">
        <v>9428</v>
      </c>
    </row>
    <row r="4540" spans="1:17" x14ac:dyDescent="0.3">
      <c r="A4540" t="s">
        <v>47</v>
      </c>
      <c r="B4540" t="str">
        <f>"002198"</f>
        <v>002198</v>
      </c>
      <c r="C4540" t="s">
        <v>9429</v>
      </c>
      <c r="D4540" t="s">
        <v>695</v>
      </c>
      <c r="E4540">
        <v>790018589</v>
      </c>
      <c r="F4540">
        <v>800963760</v>
      </c>
      <c r="G4540">
        <v>822180050</v>
      </c>
      <c r="H4540">
        <v>880252743</v>
      </c>
      <c r="I4540">
        <v>853534369</v>
      </c>
      <c r="J4540">
        <v>1086378951</v>
      </c>
      <c r="K4540">
        <v>1030254093</v>
      </c>
      <c r="L4540">
        <v>1014051716</v>
      </c>
      <c r="M4540">
        <v>948903169</v>
      </c>
      <c r="N4540">
        <v>309344047</v>
      </c>
      <c r="O4540">
        <v>309254244</v>
      </c>
      <c r="P4540">
        <v>120</v>
      </c>
      <c r="Q4540" t="s">
        <v>9430</v>
      </c>
    </row>
    <row r="4541" spans="1:17" x14ac:dyDescent="0.3">
      <c r="A4541" t="s">
        <v>17</v>
      </c>
      <c r="B4541" t="str">
        <f>"688004"</f>
        <v>688004</v>
      </c>
      <c r="C4541" t="s">
        <v>9431</v>
      </c>
      <c r="D4541" t="s">
        <v>700</v>
      </c>
      <c r="E4541">
        <v>789806758</v>
      </c>
      <c r="F4541">
        <v>755898560</v>
      </c>
      <c r="P4541">
        <v>37</v>
      </c>
      <c r="Q4541" t="s">
        <v>9432</v>
      </c>
    </row>
    <row r="4542" spans="1:17" x14ac:dyDescent="0.3">
      <c r="A4542" t="s">
        <v>47</v>
      </c>
      <c r="B4542" t="str">
        <f>"300688"</f>
        <v>300688</v>
      </c>
      <c r="C4542" t="s">
        <v>9433</v>
      </c>
      <c r="D4542" t="s">
        <v>2954</v>
      </c>
      <c r="E4542">
        <v>788411588</v>
      </c>
      <c r="F4542">
        <v>714828534</v>
      </c>
      <c r="G4542">
        <v>461127813</v>
      </c>
      <c r="H4542">
        <v>463842625</v>
      </c>
      <c r="I4542">
        <v>448220548</v>
      </c>
      <c r="J4542">
        <v>241163425</v>
      </c>
      <c r="P4542">
        <v>83</v>
      </c>
      <c r="Q4542" t="s">
        <v>9434</v>
      </c>
    </row>
    <row r="4543" spans="1:17" x14ac:dyDescent="0.3">
      <c r="A4543" t="s">
        <v>17</v>
      </c>
      <c r="B4543" t="str">
        <f>"688309"</f>
        <v>688309</v>
      </c>
      <c r="C4543" t="s">
        <v>9435</v>
      </c>
      <c r="D4543" t="s">
        <v>1347</v>
      </c>
      <c r="E4543">
        <v>786946977</v>
      </c>
      <c r="F4543">
        <v>772247279</v>
      </c>
      <c r="G4543">
        <v>315709389</v>
      </c>
      <c r="P4543">
        <v>30</v>
      </c>
      <c r="Q4543" t="s">
        <v>9436</v>
      </c>
    </row>
    <row r="4544" spans="1:17" x14ac:dyDescent="0.3">
      <c r="A4544" t="s">
        <v>17</v>
      </c>
      <c r="B4544" t="str">
        <f>"603023"</f>
        <v>603023</v>
      </c>
      <c r="C4544" t="s">
        <v>9437</v>
      </c>
      <c r="D4544" t="s">
        <v>836</v>
      </c>
      <c r="E4544">
        <v>786907852</v>
      </c>
      <c r="F4544">
        <v>776357053</v>
      </c>
      <c r="G4544">
        <v>827524380</v>
      </c>
      <c r="H4544">
        <v>839594866</v>
      </c>
      <c r="I4544">
        <v>617384050</v>
      </c>
      <c r="J4544">
        <v>576067732</v>
      </c>
      <c r="K4544">
        <v>523785759</v>
      </c>
      <c r="L4544">
        <v>212903200</v>
      </c>
      <c r="P4544">
        <v>150</v>
      </c>
      <c r="Q4544" t="s">
        <v>9438</v>
      </c>
    </row>
    <row r="4545" spans="1:17" x14ac:dyDescent="0.3">
      <c r="A4545" t="s">
        <v>47</v>
      </c>
      <c r="B4545" t="str">
        <f>"301025"</f>
        <v>301025</v>
      </c>
      <c r="C4545" t="s">
        <v>9439</v>
      </c>
      <c r="D4545" t="s">
        <v>1288</v>
      </c>
      <c r="E4545">
        <v>782067701</v>
      </c>
      <c r="F4545">
        <v>642531075</v>
      </c>
      <c r="P4545">
        <v>24</v>
      </c>
      <c r="Q4545" t="s">
        <v>9440</v>
      </c>
    </row>
    <row r="4546" spans="1:17" x14ac:dyDescent="0.3">
      <c r="A4546" t="s">
        <v>47</v>
      </c>
      <c r="B4546" t="str">
        <f>"300554"</f>
        <v>300554</v>
      </c>
      <c r="C4546" t="s">
        <v>9441</v>
      </c>
      <c r="D4546" t="s">
        <v>2646</v>
      </c>
      <c r="E4546">
        <v>781837389</v>
      </c>
      <c r="F4546">
        <v>931851000</v>
      </c>
      <c r="G4546">
        <v>842366220</v>
      </c>
      <c r="H4546">
        <v>729448160</v>
      </c>
      <c r="I4546">
        <v>621220857</v>
      </c>
      <c r="J4546">
        <v>295131848</v>
      </c>
      <c r="P4546">
        <v>123</v>
      </c>
      <c r="Q4546" t="s">
        <v>9442</v>
      </c>
    </row>
    <row r="4547" spans="1:17" x14ac:dyDescent="0.3">
      <c r="A4547" t="s">
        <v>47</v>
      </c>
      <c r="B4547" t="str">
        <f>"002552"</f>
        <v>002552</v>
      </c>
      <c r="C4547" t="s">
        <v>9443</v>
      </c>
      <c r="D4547" t="s">
        <v>401</v>
      </c>
      <c r="E4547">
        <v>781459640</v>
      </c>
      <c r="F4547">
        <v>758335805</v>
      </c>
      <c r="G4547">
        <v>727201084</v>
      </c>
      <c r="H4547">
        <v>744587999</v>
      </c>
      <c r="I4547">
        <v>883479801</v>
      </c>
      <c r="J4547">
        <v>1143764012</v>
      </c>
      <c r="K4547">
        <v>1195716213</v>
      </c>
      <c r="L4547">
        <v>938055183</v>
      </c>
      <c r="M4547">
        <v>883742413</v>
      </c>
      <c r="N4547">
        <v>880228510</v>
      </c>
      <c r="O4547">
        <v>896801934</v>
      </c>
      <c r="P4547">
        <v>83</v>
      </c>
      <c r="Q4547" t="s">
        <v>9444</v>
      </c>
    </row>
    <row r="4548" spans="1:17" x14ac:dyDescent="0.3">
      <c r="A4548" t="s">
        <v>47</v>
      </c>
      <c r="B4548" t="str">
        <f>"300849"</f>
        <v>300849</v>
      </c>
      <c r="C4548" t="s">
        <v>9445</v>
      </c>
      <c r="D4548" t="s">
        <v>2302</v>
      </c>
      <c r="E4548">
        <v>780468580</v>
      </c>
      <c r="F4548">
        <v>744998717</v>
      </c>
      <c r="G4548">
        <v>421607503</v>
      </c>
      <c r="P4548">
        <v>44</v>
      </c>
      <c r="Q4548" t="s">
        <v>9446</v>
      </c>
    </row>
    <row r="4549" spans="1:17" x14ac:dyDescent="0.3">
      <c r="A4549" t="s">
        <v>47</v>
      </c>
      <c r="B4549" t="str">
        <f>"300930"</f>
        <v>300930</v>
      </c>
      <c r="C4549" t="s">
        <v>9447</v>
      </c>
      <c r="D4549" t="s">
        <v>2432</v>
      </c>
      <c r="E4549">
        <v>780397342</v>
      </c>
      <c r="F4549">
        <v>689737836</v>
      </c>
      <c r="P4549">
        <v>75</v>
      </c>
      <c r="Q4549" t="s">
        <v>9448</v>
      </c>
    </row>
    <row r="4550" spans="1:17" x14ac:dyDescent="0.3">
      <c r="A4550" t="s">
        <v>47</v>
      </c>
      <c r="B4550" t="str">
        <f>"002260"</f>
        <v>002260</v>
      </c>
      <c r="C4550" t="s">
        <v>9449</v>
      </c>
      <c r="D4550" t="s">
        <v>2285</v>
      </c>
      <c r="E4550">
        <v>780220149</v>
      </c>
      <c r="F4550">
        <v>910027109</v>
      </c>
      <c r="G4550">
        <v>594951486</v>
      </c>
      <c r="H4550">
        <v>321280878</v>
      </c>
      <c r="I4550">
        <v>545303235</v>
      </c>
      <c r="J4550">
        <v>1095002596</v>
      </c>
      <c r="K4550">
        <v>819274087</v>
      </c>
      <c r="L4550">
        <v>684117951</v>
      </c>
      <c r="M4550">
        <v>506667718</v>
      </c>
      <c r="N4550">
        <v>449966159</v>
      </c>
      <c r="O4550">
        <v>505211978</v>
      </c>
      <c r="P4550">
        <v>57</v>
      </c>
      <c r="Q4550" t="s">
        <v>9450</v>
      </c>
    </row>
    <row r="4551" spans="1:17" x14ac:dyDescent="0.3">
      <c r="A4551" t="s">
        <v>17</v>
      </c>
      <c r="B4551" t="str">
        <f>"603860"</f>
        <v>603860</v>
      </c>
      <c r="C4551" t="s">
        <v>9451</v>
      </c>
      <c r="D4551" t="s">
        <v>2178</v>
      </c>
      <c r="E4551">
        <v>780029691</v>
      </c>
      <c r="F4551">
        <v>766299022</v>
      </c>
      <c r="G4551">
        <v>715848290</v>
      </c>
      <c r="H4551">
        <v>685297767</v>
      </c>
      <c r="I4551">
        <v>652714138</v>
      </c>
      <c r="J4551">
        <v>389633293</v>
      </c>
      <c r="P4551">
        <v>58</v>
      </c>
      <c r="Q4551" t="s">
        <v>9452</v>
      </c>
    </row>
    <row r="4552" spans="1:17" x14ac:dyDescent="0.3">
      <c r="A4552" t="s">
        <v>17</v>
      </c>
      <c r="B4552" t="str">
        <f>"688160"</f>
        <v>688160</v>
      </c>
      <c r="C4552" t="s">
        <v>9453</v>
      </c>
      <c r="D4552" t="s">
        <v>1360</v>
      </c>
      <c r="E4552">
        <v>776829743</v>
      </c>
      <c r="F4552">
        <v>755673084</v>
      </c>
      <c r="P4552">
        <v>44</v>
      </c>
      <c r="Q4552" t="s">
        <v>9454</v>
      </c>
    </row>
    <row r="4553" spans="1:17" x14ac:dyDescent="0.3">
      <c r="A4553" t="s">
        <v>47</v>
      </c>
      <c r="B4553" t="str">
        <f>"300025"</f>
        <v>300025</v>
      </c>
      <c r="C4553" t="s">
        <v>9455</v>
      </c>
      <c r="D4553" t="s">
        <v>2804</v>
      </c>
      <c r="E4553">
        <v>776188653</v>
      </c>
      <c r="F4553">
        <v>924942647</v>
      </c>
      <c r="G4553">
        <v>1547757913</v>
      </c>
      <c r="H4553">
        <v>1982445033</v>
      </c>
      <c r="I4553">
        <v>2908799530</v>
      </c>
      <c r="J4553">
        <v>3024754748</v>
      </c>
      <c r="K4553">
        <v>2064018909</v>
      </c>
      <c r="L4553">
        <v>1712348407</v>
      </c>
      <c r="M4553">
        <v>1259960665</v>
      </c>
      <c r="N4553">
        <v>882179647</v>
      </c>
      <c r="O4553">
        <v>789935211</v>
      </c>
      <c r="P4553">
        <v>223</v>
      </c>
      <c r="Q4553" t="s">
        <v>9456</v>
      </c>
    </row>
    <row r="4554" spans="1:17" x14ac:dyDescent="0.3">
      <c r="A4554" t="s">
        <v>47</v>
      </c>
      <c r="B4554" t="str">
        <f>"300730"</f>
        <v>300730</v>
      </c>
      <c r="C4554" t="s">
        <v>9457</v>
      </c>
      <c r="D4554" t="s">
        <v>1859</v>
      </c>
      <c r="E4554">
        <v>775057434</v>
      </c>
      <c r="F4554">
        <v>643228670</v>
      </c>
      <c r="G4554">
        <v>601450968</v>
      </c>
      <c r="H4554">
        <v>587609807</v>
      </c>
      <c r="I4554">
        <v>508201828</v>
      </c>
      <c r="P4554">
        <v>98</v>
      </c>
      <c r="Q4554" t="s">
        <v>9458</v>
      </c>
    </row>
    <row r="4555" spans="1:17" x14ac:dyDescent="0.3">
      <c r="A4555" t="s">
        <v>17</v>
      </c>
      <c r="B4555" t="str">
        <f>"600365"</f>
        <v>600365</v>
      </c>
      <c r="C4555" t="s">
        <v>9459</v>
      </c>
      <c r="D4555" t="s">
        <v>2319</v>
      </c>
      <c r="E4555">
        <v>774747459</v>
      </c>
      <c r="F4555">
        <v>958888963</v>
      </c>
      <c r="G4555">
        <v>1195096516</v>
      </c>
      <c r="H4555">
        <v>1098951820</v>
      </c>
      <c r="I4555">
        <v>955636856</v>
      </c>
      <c r="J4555">
        <v>959057458</v>
      </c>
      <c r="K4555">
        <v>982700460</v>
      </c>
      <c r="L4555">
        <v>937187972</v>
      </c>
      <c r="M4555">
        <v>766133800</v>
      </c>
      <c r="N4555">
        <v>348323996</v>
      </c>
      <c r="O4555">
        <v>265294328</v>
      </c>
      <c r="P4555">
        <v>90</v>
      </c>
      <c r="Q4555" t="s">
        <v>9460</v>
      </c>
    </row>
    <row r="4556" spans="1:17" x14ac:dyDescent="0.3">
      <c r="A4556" t="s">
        <v>17</v>
      </c>
      <c r="B4556" t="str">
        <f>"688272"</f>
        <v>688272</v>
      </c>
      <c r="C4556" t="s">
        <v>9461</v>
      </c>
      <c r="D4556" t="s">
        <v>1385</v>
      </c>
      <c r="E4556">
        <v>772836816</v>
      </c>
      <c r="P4556">
        <v>11</v>
      </c>
      <c r="Q4556" t="s">
        <v>9462</v>
      </c>
    </row>
    <row r="4557" spans="1:17" x14ac:dyDescent="0.3">
      <c r="A4557" t="s">
        <v>17</v>
      </c>
      <c r="B4557" t="str">
        <f>"603090"</f>
        <v>603090</v>
      </c>
      <c r="C4557" t="s">
        <v>9463</v>
      </c>
      <c r="D4557" t="s">
        <v>1433</v>
      </c>
      <c r="E4557">
        <v>772472868</v>
      </c>
      <c r="F4557">
        <v>739627788</v>
      </c>
      <c r="G4557">
        <v>743181406</v>
      </c>
      <c r="H4557">
        <v>683889749</v>
      </c>
      <c r="I4557">
        <v>573800966</v>
      </c>
      <c r="J4557">
        <v>572295318</v>
      </c>
      <c r="P4557">
        <v>51</v>
      </c>
      <c r="Q4557" t="s">
        <v>9464</v>
      </c>
    </row>
    <row r="4558" spans="1:17" x14ac:dyDescent="0.3">
      <c r="A4558" t="s">
        <v>47</v>
      </c>
      <c r="B4558" t="str">
        <f>"200020"</f>
        <v>200020</v>
      </c>
      <c r="C4558" t="s">
        <v>9465</v>
      </c>
      <c r="E4558">
        <v>768993053.48800004</v>
      </c>
      <c r="F4558">
        <v>755158629.74600005</v>
      </c>
      <c r="G4558">
        <v>677947533.46379995</v>
      </c>
      <c r="H4558">
        <v>677635362.37259996</v>
      </c>
      <c r="I4558">
        <v>750545701.99150002</v>
      </c>
      <c r="J4558">
        <v>729832887.99860001</v>
      </c>
      <c r="K4558">
        <v>727675423.55840003</v>
      </c>
      <c r="L4558">
        <v>1427714822.5</v>
      </c>
      <c r="M4558">
        <v>963206762.70319998</v>
      </c>
      <c r="N4558">
        <v>890750705.83019996</v>
      </c>
      <c r="O4558">
        <v>915671924.06400001</v>
      </c>
      <c r="P4558">
        <v>6</v>
      </c>
      <c r="Q4558" t="s">
        <v>9466</v>
      </c>
    </row>
    <row r="4559" spans="1:17" x14ac:dyDescent="0.3">
      <c r="A4559" t="s">
        <v>17</v>
      </c>
      <c r="B4559" t="str">
        <f>"603268"</f>
        <v>603268</v>
      </c>
      <c r="C4559" t="s">
        <v>9467</v>
      </c>
      <c r="D4559" t="s">
        <v>2016</v>
      </c>
      <c r="E4559">
        <v>768370358</v>
      </c>
      <c r="F4559">
        <v>1130993166</v>
      </c>
      <c r="G4559">
        <v>1172530162</v>
      </c>
      <c r="H4559">
        <v>1214022633</v>
      </c>
      <c r="I4559">
        <v>1255365353</v>
      </c>
      <c r="J4559">
        <v>986205826</v>
      </c>
      <c r="K4559">
        <v>667077542</v>
      </c>
      <c r="L4559">
        <v>613863836</v>
      </c>
      <c r="P4559">
        <v>70</v>
      </c>
      <c r="Q4559" t="s">
        <v>9468</v>
      </c>
    </row>
    <row r="4560" spans="1:17" x14ac:dyDescent="0.3">
      <c r="A4560" t="s">
        <v>47</v>
      </c>
      <c r="B4560" t="str">
        <f>"300950"</f>
        <v>300950</v>
      </c>
      <c r="C4560" t="s">
        <v>9469</v>
      </c>
      <c r="D4560" t="s">
        <v>607</v>
      </c>
      <c r="E4560">
        <v>766648170</v>
      </c>
      <c r="F4560">
        <v>710987979</v>
      </c>
      <c r="P4560">
        <v>58</v>
      </c>
      <c r="Q4560" t="s">
        <v>9470</v>
      </c>
    </row>
    <row r="4561" spans="1:17" x14ac:dyDescent="0.3">
      <c r="A4561" t="s">
        <v>17</v>
      </c>
      <c r="B4561" t="str">
        <f>"688395"</f>
        <v>688395</v>
      </c>
      <c r="C4561" t="s">
        <v>9471</v>
      </c>
      <c r="D4561" t="s">
        <v>1360</v>
      </c>
      <c r="E4561">
        <v>765733078</v>
      </c>
      <c r="F4561">
        <v>452512661</v>
      </c>
      <c r="P4561">
        <v>36</v>
      </c>
      <c r="Q4561" t="s">
        <v>9472</v>
      </c>
    </row>
    <row r="4562" spans="1:17" x14ac:dyDescent="0.3">
      <c r="A4562" t="s">
        <v>47</v>
      </c>
      <c r="B4562" t="str">
        <f>"300175"</f>
        <v>300175</v>
      </c>
      <c r="C4562" t="s">
        <v>9473</v>
      </c>
      <c r="D4562" t="s">
        <v>3368</v>
      </c>
      <c r="E4562">
        <v>761112545</v>
      </c>
      <c r="F4562">
        <v>984534443</v>
      </c>
      <c r="G4562">
        <v>1581235378</v>
      </c>
      <c r="H4562">
        <v>1412188768</v>
      </c>
      <c r="I4562">
        <v>853257918</v>
      </c>
      <c r="J4562">
        <v>872799364</v>
      </c>
      <c r="K4562">
        <v>1419645951</v>
      </c>
      <c r="L4562">
        <v>1740136220</v>
      </c>
      <c r="M4562">
        <v>1118439519</v>
      </c>
      <c r="N4562">
        <v>906610399</v>
      </c>
      <c r="O4562">
        <v>703601878</v>
      </c>
      <c r="P4562">
        <v>84</v>
      </c>
      <c r="Q4562" t="s">
        <v>9474</v>
      </c>
    </row>
    <row r="4563" spans="1:17" x14ac:dyDescent="0.3">
      <c r="A4563" t="s">
        <v>17</v>
      </c>
      <c r="B4563" t="str">
        <f>"688718"</f>
        <v>688718</v>
      </c>
      <c r="C4563" t="s">
        <v>9475</v>
      </c>
      <c r="D4563" t="s">
        <v>2485</v>
      </c>
      <c r="E4563">
        <v>759861901</v>
      </c>
      <c r="F4563">
        <v>606737712</v>
      </c>
      <c r="G4563">
        <v>507920726</v>
      </c>
      <c r="P4563">
        <v>20</v>
      </c>
      <c r="Q4563" t="s">
        <v>9476</v>
      </c>
    </row>
    <row r="4564" spans="1:17" x14ac:dyDescent="0.3">
      <c r="A4564" t="s">
        <v>47</v>
      </c>
      <c r="B4564" t="str">
        <f>"300344"</f>
        <v>300344</v>
      </c>
      <c r="C4564" t="s">
        <v>9477</v>
      </c>
      <c r="D4564" t="s">
        <v>1859</v>
      </c>
      <c r="E4564">
        <v>757905667</v>
      </c>
      <c r="F4564">
        <v>478095464</v>
      </c>
      <c r="G4564">
        <v>997539225</v>
      </c>
      <c r="H4564">
        <v>1064827569</v>
      </c>
      <c r="I4564">
        <v>1108948951</v>
      </c>
      <c r="J4564">
        <v>1435771566</v>
      </c>
      <c r="K4564">
        <v>869656387</v>
      </c>
      <c r="L4564">
        <v>901224272</v>
      </c>
      <c r="M4564">
        <v>977047627</v>
      </c>
      <c r="N4564">
        <v>817413017</v>
      </c>
      <c r="P4564">
        <v>64</v>
      </c>
      <c r="Q4564" t="s">
        <v>9478</v>
      </c>
    </row>
    <row r="4565" spans="1:17" x14ac:dyDescent="0.3">
      <c r="A4565" t="s">
        <v>47</v>
      </c>
      <c r="B4565" t="str">
        <f>"300167"</f>
        <v>300167</v>
      </c>
      <c r="C4565" t="s">
        <v>9479</v>
      </c>
      <c r="D4565" t="s">
        <v>700</v>
      </c>
      <c r="E4565">
        <v>756880089</v>
      </c>
      <c r="F4565">
        <v>763974042</v>
      </c>
      <c r="G4565">
        <v>988859014</v>
      </c>
      <c r="H4565">
        <v>1016893626</v>
      </c>
      <c r="I4565">
        <v>1233451891</v>
      </c>
      <c r="J4565">
        <v>1227913097</v>
      </c>
      <c r="K4565">
        <v>1148234491</v>
      </c>
      <c r="L4565">
        <v>1078089669</v>
      </c>
      <c r="M4565">
        <v>1073461692</v>
      </c>
      <c r="N4565">
        <v>778073287</v>
      </c>
      <c r="O4565">
        <v>808243034</v>
      </c>
      <c r="P4565">
        <v>131</v>
      </c>
      <c r="Q4565" t="s">
        <v>9480</v>
      </c>
    </row>
    <row r="4566" spans="1:17" x14ac:dyDescent="0.3">
      <c r="A4566" t="s">
        <v>17</v>
      </c>
      <c r="B4566" t="str">
        <f>"688768"</f>
        <v>688768</v>
      </c>
      <c r="C4566" t="s">
        <v>9481</v>
      </c>
      <c r="D4566" t="s">
        <v>3722</v>
      </c>
      <c r="E4566">
        <v>752702606</v>
      </c>
      <c r="F4566">
        <v>445777158</v>
      </c>
      <c r="P4566">
        <v>30</v>
      </c>
      <c r="Q4566" t="s">
        <v>9482</v>
      </c>
    </row>
    <row r="4567" spans="1:17" x14ac:dyDescent="0.3">
      <c r="A4567" t="s">
        <v>47</v>
      </c>
      <c r="B4567" t="str">
        <f>"301004"</f>
        <v>301004</v>
      </c>
      <c r="C4567" t="s">
        <v>9483</v>
      </c>
      <c r="D4567" t="s">
        <v>2016</v>
      </c>
      <c r="E4567">
        <v>752550392</v>
      </c>
      <c r="F4567">
        <v>493919591</v>
      </c>
      <c r="G4567">
        <v>406159072</v>
      </c>
      <c r="P4567">
        <v>25</v>
      </c>
      <c r="Q4567" t="s">
        <v>9484</v>
      </c>
    </row>
    <row r="4568" spans="1:17" x14ac:dyDescent="0.3">
      <c r="A4568" t="s">
        <v>47</v>
      </c>
      <c r="B4568" t="str">
        <f>"300689"</f>
        <v>300689</v>
      </c>
      <c r="C4568" t="s">
        <v>9485</v>
      </c>
      <c r="D4568" t="s">
        <v>962</v>
      </c>
      <c r="E4568">
        <v>752258189</v>
      </c>
      <c r="F4568">
        <v>710262619</v>
      </c>
      <c r="G4568">
        <v>679158686</v>
      </c>
      <c r="H4568">
        <v>658694830</v>
      </c>
      <c r="I4568">
        <v>614890102</v>
      </c>
      <c r="P4568">
        <v>76</v>
      </c>
      <c r="Q4568" t="s">
        <v>9486</v>
      </c>
    </row>
    <row r="4569" spans="1:17" x14ac:dyDescent="0.3">
      <c r="A4569" t="s">
        <v>47</v>
      </c>
      <c r="B4569" t="str">
        <f>"000518"</f>
        <v>000518</v>
      </c>
      <c r="C4569" t="s">
        <v>9487</v>
      </c>
      <c r="D4569" t="s">
        <v>1480</v>
      </c>
      <c r="E4569">
        <v>741995891</v>
      </c>
      <c r="F4569">
        <v>823330609</v>
      </c>
      <c r="G4569">
        <v>855605054</v>
      </c>
      <c r="H4569">
        <v>895384005</v>
      </c>
      <c r="I4569">
        <v>921776318</v>
      </c>
      <c r="J4569">
        <v>1214506707</v>
      </c>
      <c r="K4569">
        <v>1025800890</v>
      </c>
      <c r="L4569">
        <v>848931844</v>
      </c>
      <c r="M4569">
        <v>836874125</v>
      </c>
      <c r="N4569">
        <v>925710773</v>
      </c>
      <c r="O4569">
        <v>968408371</v>
      </c>
      <c r="P4569">
        <v>171</v>
      </c>
      <c r="Q4569" t="s">
        <v>9488</v>
      </c>
    </row>
    <row r="4570" spans="1:17" x14ac:dyDescent="0.3">
      <c r="A4570" t="s">
        <v>47</v>
      </c>
      <c r="B4570" t="str">
        <f>"002890"</f>
        <v>002890</v>
      </c>
      <c r="C4570" t="s">
        <v>9489</v>
      </c>
      <c r="D4570" t="s">
        <v>2194</v>
      </c>
      <c r="E4570">
        <v>741201008</v>
      </c>
      <c r="F4570">
        <v>688450907</v>
      </c>
      <c r="G4570">
        <v>653509829</v>
      </c>
      <c r="H4570">
        <v>647613690</v>
      </c>
      <c r="I4570">
        <v>634571506</v>
      </c>
      <c r="P4570">
        <v>70</v>
      </c>
      <c r="Q4570" t="s">
        <v>9490</v>
      </c>
    </row>
    <row r="4571" spans="1:17" x14ac:dyDescent="0.3">
      <c r="A4571" t="s">
        <v>47</v>
      </c>
      <c r="B4571" t="str">
        <f>"300549"</f>
        <v>300549</v>
      </c>
      <c r="C4571" t="s">
        <v>9491</v>
      </c>
      <c r="D4571" t="s">
        <v>1973</v>
      </c>
      <c r="E4571">
        <v>741178087</v>
      </c>
      <c r="F4571">
        <v>739988877</v>
      </c>
      <c r="G4571">
        <v>704917230</v>
      </c>
      <c r="H4571">
        <v>764470244</v>
      </c>
      <c r="I4571">
        <v>731065522</v>
      </c>
      <c r="J4571">
        <v>620077080</v>
      </c>
      <c r="P4571">
        <v>92</v>
      </c>
      <c r="Q4571" t="s">
        <v>9492</v>
      </c>
    </row>
    <row r="4572" spans="1:17" x14ac:dyDescent="0.3">
      <c r="A4572" t="s">
        <v>17</v>
      </c>
      <c r="B4572" t="str">
        <f>"600847"</f>
        <v>600847</v>
      </c>
      <c r="C4572" t="s">
        <v>9493</v>
      </c>
      <c r="D4572" t="s">
        <v>1357</v>
      </c>
      <c r="E4572">
        <v>740276527</v>
      </c>
      <c r="F4572">
        <v>760498944</v>
      </c>
      <c r="G4572">
        <v>737025105</v>
      </c>
      <c r="H4572">
        <v>726516383</v>
      </c>
      <c r="I4572">
        <v>857202493</v>
      </c>
      <c r="J4572">
        <v>741057146</v>
      </c>
      <c r="K4572">
        <v>759738676</v>
      </c>
      <c r="L4572">
        <v>892721742</v>
      </c>
      <c r="M4572">
        <v>838354919</v>
      </c>
      <c r="N4572">
        <v>307323827</v>
      </c>
      <c r="O4572">
        <v>283439413</v>
      </c>
      <c r="P4572">
        <v>54</v>
      </c>
      <c r="Q4572" t="s">
        <v>9494</v>
      </c>
    </row>
    <row r="4573" spans="1:17" x14ac:dyDescent="0.3">
      <c r="A4573" t="s">
        <v>17</v>
      </c>
      <c r="B4573" t="str">
        <f>"688681"</f>
        <v>688681</v>
      </c>
      <c r="C4573" t="s">
        <v>9495</v>
      </c>
      <c r="D4573" t="s">
        <v>679</v>
      </c>
      <c r="E4573">
        <v>739349135</v>
      </c>
      <c r="F4573">
        <v>511014195</v>
      </c>
      <c r="P4573">
        <v>31</v>
      </c>
      <c r="Q4573" t="s">
        <v>9496</v>
      </c>
    </row>
    <row r="4574" spans="1:17" x14ac:dyDescent="0.3">
      <c r="A4574" t="s">
        <v>17</v>
      </c>
      <c r="B4574" t="str">
        <f>"600193"</f>
        <v>600193</v>
      </c>
      <c r="C4574" t="s">
        <v>9497</v>
      </c>
      <c r="D4574" t="s">
        <v>1163</v>
      </c>
      <c r="E4574">
        <v>737386075</v>
      </c>
      <c r="F4574">
        <v>1293915660</v>
      </c>
      <c r="G4574">
        <v>970262637</v>
      </c>
      <c r="H4574">
        <v>349392177</v>
      </c>
      <c r="I4574">
        <v>270907645</v>
      </c>
      <c r="J4574">
        <v>304970107</v>
      </c>
      <c r="K4574">
        <v>394574925</v>
      </c>
      <c r="L4574">
        <v>657029272</v>
      </c>
      <c r="M4574">
        <v>1218539748</v>
      </c>
      <c r="N4574">
        <v>1158988764</v>
      </c>
      <c r="O4574">
        <v>832608387</v>
      </c>
      <c r="P4574">
        <v>57</v>
      </c>
      <c r="Q4574" t="s">
        <v>9498</v>
      </c>
    </row>
    <row r="4575" spans="1:17" x14ac:dyDescent="0.3">
      <c r="A4575" t="s">
        <v>47</v>
      </c>
      <c r="B4575" t="str">
        <f>"300612"</f>
        <v>300612</v>
      </c>
      <c r="C4575" t="s">
        <v>9499</v>
      </c>
      <c r="D4575" t="s">
        <v>1824</v>
      </c>
      <c r="E4575">
        <v>737083190</v>
      </c>
      <c r="F4575">
        <v>830720673</v>
      </c>
      <c r="G4575">
        <v>561707833</v>
      </c>
      <c r="H4575">
        <v>460589284</v>
      </c>
      <c r="I4575">
        <v>608834865</v>
      </c>
      <c r="J4575">
        <v>541971589</v>
      </c>
      <c r="P4575">
        <v>84</v>
      </c>
      <c r="Q4575" t="s">
        <v>9500</v>
      </c>
    </row>
    <row r="4576" spans="1:17" x14ac:dyDescent="0.3">
      <c r="A4576" t="s">
        <v>47</v>
      </c>
      <c r="B4576" t="str">
        <f>"300995"</f>
        <v>300995</v>
      </c>
      <c r="C4576" t="s">
        <v>9501</v>
      </c>
      <c r="D4576" t="s">
        <v>833</v>
      </c>
      <c r="E4576">
        <v>736944333</v>
      </c>
      <c r="F4576">
        <v>494383534</v>
      </c>
      <c r="G4576">
        <v>356466599</v>
      </c>
      <c r="P4576">
        <v>26</v>
      </c>
      <c r="Q4576" t="s">
        <v>9502</v>
      </c>
    </row>
    <row r="4577" spans="1:17" x14ac:dyDescent="0.3">
      <c r="A4577" t="s">
        <v>47</v>
      </c>
      <c r="B4577" t="str">
        <f>"002802"</f>
        <v>002802</v>
      </c>
      <c r="C4577" t="s">
        <v>9503</v>
      </c>
      <c r="D4577" t="s">
        <v>710</v>
      </c>
      <c r="E4577">
        <v>735744082</v>
      </c>
      <c r="F4577">
        <v>676471096</v>
      </c>
      <c r="G4577">
        <v>636448508</v>
      </c>
      <c r="H4577">
        <v>686392639</v>
      </c>
      <c r="I4577">
        <v>670525535</v>
      </c>
      <c r="J4577">
        <v>585617636</v>
      </c>
      <c r="K4577">
        <v>353619600</v>
      </c>
      <c r="P4577">
        <v>102</v>
      </c>
      <c r="Q4577" t="s">
        <v>9504</v>
      </c>
    </row>
    <row r="4578" spans="1:17" x14ac:dyDescent="0.3">
      <c r="A4578" t="s">
        <v>47</v>
      </c>
      <c r="B4578" t="str">
        <f>"000691"</f>
        <v>000691</v>
      </c>
      <c r="C4578" t="s">
        <v>9505</v>
      </c>
      <c r="D4578" t="s">
        <v>76</v>
      </c>
      <c r="E4578">
        <v>735222466</v>
      </c>
      <c r="F4578">
        <v>761669637</v>
      </c>
      <c r="G4578">
        <v>252524041</v>
      </c>
      <c r="H4578">
        <v>188476372</v>
      </c>
      <c r="I4578">
        <v>244448978</v>
      </c>
      <c r="J4578">
        <v>290842763</v>
      </c>
      <c r="K4578">
        <v>277800146</v>
      </c>
      <c r="L4578">
        <v>330066828</v>
      </c>
      <c r="M4578">
        <v>287593761</v>
      </c>
      <c r="N4578">
        <v>268049739</v>
      </c>
      <c r="O4578">
        <v>246264831</v>
      </c>
      <c r="P4578">
        <v>91</v>
      </c>
      <c r="Q4578" t="s">
        <v>9506</v>
      </c>
    </row>
    <row r="4579" spans="1:17" x14ac:dyDescent="0.3">
      <c r="A4579" t="s">
        <v>47</v>
      </c>
      <c r="B4579" t="str">
        <f>"000985"</f>
        <v>000985</v>
      </c>
      <c r="C4579" t="s">
        <v>9507</v>
      </c>
      <c r="D4579" t="s">
        <v>615</v>
      </c>
      <c r="E4579">
        <v>732788208</v>
      </c>
      <c r="F4579">
        <v>714641132</v>
      </c>
      <c r="G4579">
        <v>695154956</v>
      </c>
      <c r="H4579">
        <v>692728568</v>
      </c>
      <c r="I4579">
        <v>701410017</v>
      </c>
      <c r="J4579">
        <v>677963179</v>
      </c>
      <c r="K4579">
        <v>611814361</v>
      </c>
      <c r="L4579">
        <v>611874068</v>
      </c>
      <c r="M4579">
        <v>660380261</v>
      </c>
      <c r="N4579">
        <v>629210862</v>
      </c>
      <c r="O4579">
        <v>606985948</v>
      </c>
      <c r="P4579">
        <v>82</v>
      </c>
      <c r="Q4579" t="s">
        <v>9508</v>
      </c>
    </row>
    <row r="4580" spans="1:17" x14ac:dyDescent="0.3">
      <c r="A4580" t="s">
        <v>47</v>
      </c>
      <c r="B4580" t="str">
        <f>"300561"</f>
        <v>300561</v>
      </c>
      <c r="C4580" t="s">
        <v>9509</v>
      </c>
      <c r="D4580" t="s">
        <v>1859</v>
      </c>
      <c r="E4580">
        <v>730897932</v>
      </c>
      <c r="F4580">
        <v>744375845</v>
      </c>
      <c r="G4580">
        <v>742388587</v>
      </c>
      <c r="H4580">
        <v>754418756</v>
      </c>
      <c r="I4580">
        <v>757403916</v>
      </c>
      <c r="J4580">
        <v>657995499</v>
      </c>
      <c r="P4580">
        <v>114</v>
      </c>
      <c r="Q4580" t="s">
        <v>9510</v>
      </c>
    </row>
    <row r="4581" spans="1:17" x14ac:dyDescent="0.3">
      <c r="A4581" t="s">
        <v>17</v>
      </c>
      <c r="B4581" t="str">
        <f>"688081"</f>
        <v>688081</v>
      </c>
      <c r="C4581" t="s">
        <v>9511</v>
      </c>
      <c r="D4581" t="s">
        <v>1385</v>
      </c>
      <c r="E4581">
        <v>729831630</v>
      </c>
      <c r="F4581">
        <v>772154577</v>
      </c>
      <c r="G4581">
        <v>779663486</v>
      </c>
      <c r="P4581">
        <v>55</v>
      </c>
      <c r="Q4581" t="s">
        <v>9512</v>
      </c>
    </row>
    <row r="4582" spans="1:17" x14ac:dyDescent="0.3">
      <c r="A4582" t="s">
        <v>17</v>
      </c>
      <c r="B4582" t="str">
        <f>"603721"</f>
        <v>603721</v>
      </c>
      <c r="C4582" t="s">
        <v>9513</v>
      </c>
      <c r="D4582" t="s">
        <v>1673</v>
      </c>
      <c r="E4582">
        <v>729090233</v>
      </c>
      <c r="F4582">
        <v>599857032</v>
      </c>
      <c r="G4582">
        <v>638150451</v>
      </c>
      <c r="H4582">
        <v>600607784</v>
      </c>
      <c r="I4582">
        <v>621230193</v>
      </c>
      <c r="P4582">
        <v>89</v>
      </c>
      <c r="Q4582" t="s">
        <v>9514</v>
      </c>
    </row>
    <row r="4583" spans="1:17" x14ac:dyDescent="0.3">
      <c r="A4583" t="s">
        <v>47</v>
      </c>
      <c r="B4583" t="str">
        <f>"301033"</f>
        <v>301033</v>
      </c>
      <c r="C4583" t="s">
        <v>9515</v>
      </c>
      <c r="D4583" t="s">
        <v>1650</v>
      </c>
      <c r="E4583">
        <v>725056387</v>
      </c>
      <c r="F4583">
        <v>470326835</v>
      </c>
      <c r="G4583">
        <v>334395445</v>
      </c>
      <c r="P4583">
        <v>31</v>
      </c>
      <c r="Q4583" t="s">
        <v>9516</v>
      </c>
    </row>
    <row r="4584" spans="1:17" x14ac:dyDescent="0.3">
      <c r="A4584" t="s">
        <v>17</v>
      </c>
      <c r="B4584" t="str">
        <f>"900953"</f>
        <v>900953</v>
      </c>
      <c r="C4584" t="s">
        <v>9517</v>
      </c>
      <c r="E4584">
        <v>723723629.07840002</v>
      </c>
      <c r="F4584">
        <v>786769870.24679995</v>
      </c>
      <c r="G4584">
        <v>726929093.23629999</v>
      </c>
      <c r="H4584">
        <v>779512784.62300003</v>
      </c>
      <c r="I4584">
        <v>847419553.38100004</v>
      </c>
      <c r="J4584">
        <v>679117984.88160002</v>
      </c>
      <c r="K4584">
        <v>667760043.26559997</v>
      </c>
      <c r="L4584">
        <v>685760966.4152</v>
      </c>
      <c r="M4584">
        <v>681787501.45920002</v>
      </c>
      <c r="N4584">
        <v>700278510.36500001</v>
      </c>
      <c r="O4584">
        <v>679679821.40279996</v>
      </c>
      <c r="P4584">
        <v>6</v>
      </c>
      <c r="Q4584" t="s">
        <v>9518</v>
      </c>
    </row>
    <row r="4585" spans="1:17" x14ac:dyDescent="0.3">
      <c r="A4585" t="s">
        <v>17</v>
      </c>
      <c r="B4585" t="str">
        <f>"600689"</f>
        <v>600689</v>
      </c>
      <c r="C4585" t="s">
        <v>9519</v>
      </c>
      <c r="D4585" t="s">
        <v>3463</v>
      </c>
      <c r="E4585">
        <v>722535806</v>
      </c>
      <c r="F4585">
        <v>727868675</v>
      </c>
      <c r="G4585">
        <v>719082760</v>
      </c>
      <c r="H4585">
        <v>699266566</v>
      </c>
      <c r="I4585">
        <v>719037301</v>
      </c>
      <c r="J4585">
        <v>772535056</v>
      </c>
      <c r="K4585">
        <v>794152282</v>
      </c>
      <c r="L4585">
        <v>761349957</v>
      </c>
      <c r="M4585">
        <v>890235350</v>
      </c>
      <c r="N4585">
        <v>1173999123</v>
      </c>
      <c r="O4585">
        <v>1106509457</v>
      </c>
      <c r="P4585">
        <v>74</v>
      </c>
      <c r="Q4585" t="s">
        <v>9520</v>
      </c>
    </row>
    <row r="4586" spans="1:17" x14ac:dyDescent="0.3">
      <c r="A4586" t="s">
        <v>47</v>
      </c>
      <c r="B4586" t="str">
        <f>"300277"</f>
        <v>300277</v>
      </c>
      <c r="C4586" t="s">
        <v>9521</v>
      </c>
      <c r="D4586" t="s">
        <v>700</v>
      </c>
      <c r="E4586">
        <v>716798765</v>
      </c>
      <c r="F4586">
        <v>783767955</v>
      </c>
      <c r="G4586">
        <v>811866123</v>
      </c>
      <c r="H4586">
        <v>772360698</v>
      </c>
      <c r="I4586">
        <v>648920451</v>
      </c>
      <c r="J4586">
        <v>623491976</v>
      </c>
      <c r="K4586">
        <v>612667745</v>
      </c>
      <c r="L4586">
        <v>668242825</v>
      </c>
      <c r="M4586">
        <v>712861475</v>
      </c>
      <c r="N4586">
        <v>705766232</v>
      </c>
      <c r="O4586">
        <v>626241188</v>
      </c>
      <c r="P4586">
        <v>73</v>
      </c>
      <c r="Q4586" t="s">
        <v>9522</v>
      </c>
    </row>
    <row r="4587" spans="1:17" x14ac:dyDescent="0.3">
      <c r="A4587" t="s">
        <v>47</v>
      </c>
      <c r="B4587" t="str">
        <f>"300116"</f>
        <v>300116</v>
      </c>
      <c r="C4587" t="s">
        <v>9523</v>
      </c>
      <c r="D4587" t="s">
        <v>215</v>
      </c>
      <c r="E4587">
        <v>708936653</v>
      </c>
      <c r="F4587">
        <v>760462412</v>
      </c>
      <c r="G4587">
        <v>1339953387</v>
      </c>
      <c r="H4587">
        <v>15663515088</v>
      </c>
      <c r="I4587">
        <v>29383142624</v>
      </c>
      <c r="J4587">
        <v>23958400664</v>
      </c>
      <c r="K4587">
        <v>1403614743</v>
      </c>
      <c r="L4587">
        <v>1295591141</v>
      </c>
      <c r="M4587">
        <v>723614362</v>
      </c>
      <c r="N4587">
        <v>600787754</v>
      </c>
      <c r="O4587">
        <v>565020368</v>
      </c>
      <c r="P4587">
        <v>173</v>
      </c>
      <c r="Q4587" t="s">
        <v>9524</v>
      </c>
    </row>
    <row r="4588" spans="1:17" x14ac:dyDescent="0.3">
      <c r="A4588" t="s">
        <v>47</v>
      </c>
      <c r="B4588" t="str">
        <f>"300859"</f>
        <v>300859</v>
      </c>
      <c r="C4588" t="s">
        <v>9525</v>
      </c>
      <c r="D4588" t="s">
        <v>4410</v>
      </c>
      <c r="E4588">
        <v>708088218</v>
      </c>
      <c r="F4588">
        <v>712607535</v>
      </c>
      <c r="G4588">
        <v>489191364</v>
      </c>
      <c r="P4588">
        <v>69</v>
      </c>
      <c r="Q4588" t="s">
        <v>9526</v>
      </c>
    </row>
    <row r="4589" spans="1:17" x14ac:dyDescent="0.3">
      <c r="A4589" t="s">
        <v>47</v>
      </c>
      <c r="B4589" t="str">
        <f>"300336"</f>
        <v>300336</v>
      </c>
      <c r="C4589" t="s">
        <v>9527</v>
      </c>
      <c r="D4589" t="s">
        <v>1468</v>
      </c>
      <c r="E4589">
        <v>707891618</v>
      </c>
      <c r="F4589">
        <v>1492412229</v>
      </c>
      <c r="G4589">
        <v>3301863150</v>
      </c>
      <c r="H4589">
        <v>4900737326</v>
      </c>
      <c r="I4589">
        <v>5035250996</v>
      </c>
      <c r="J4589">
        <v>4991199513</v>
      </c>
      <c r="K4589">
        <v>3740204436</v>
      </c>
      <c r="L4589">
        <v>3724787246</v>
      </c>
      <c r="M4589">
        <v>1149312172</v>
      </c>
      <c r="N4589">
        <v>1088198469</v>
      </c>
      <c r="O4589">
        <v>510275199</v>
      </c>
      <c r="P4589">
        <v>98</v>
      </c>
      <c r="Q4589" t="s">
        <v>9528</v>
      </c>
    </row>
    <row r="4590" spans="1:17" x14ac:dyDescent="0.3">
      <c r="A4590" t="s">
        <v>47</v>
      </c>
      <c r="B4590" t="str">
        <f>"000996"</f>
        <v>000996</v>
      </c>
      <c r="C4590" t="s">
        <v>9529</v>
      </c>
      <c r="D4590" t="s">
        <v>462</v>
      </c>
      <c r="E4590">
        <v>706288799</v>
      </c>
      <c r="F4590">
        <v>697886297</v>
      </c>
      <c r="G4590">
        <v>674506701</v>
      </c>
      <c r="H4590">
        <v>625290515</v>
      </c>
      <c r="I4590">
        <v>603228284</v>
      </c>
      <c r="J4590">
        <v>697517646</v>
      </c>
      <c r="K4590">
        <v>678784231</v>
      </c>
      <c r="L4590">
        <v>645774577</v>
      </c>
      <c r="M4590">
        <v>917136868</v>
      </c>
      <c r="N4590">
        <v>636083713</v>
      </c>
      <c r="O4590">
        <v>529987161</v>
      </c>
      <c r="P4590">
        <v>70</v>
      </c>
      <c r="Q4590" t="s">
        <v>9530</v>
      </c>
    </row>
    <row r="4591" spans="1:17" x14ac:dyDescent="0.3">
      <c r="A4591" t="s">
        <v>17</v>
      </c>
      <c r="B4591" t="str">
        <f>"600615"</f>
        <v>600615</v>
      </c>
      <c r="C4591" t="s">
        <v>9531</v>
      </c>
      <c r="D4591" t="s">
        <v>1002</v>
      </c>
      <c r="E4591">
        <v>706039007</v>
      </c>
      <c r="F4591">
        <v>671988915</v>
      </c>
      <c r="G4591">
        <v>667281600</v>
      </c>
      <c r="H4591">
        <v>635668621</v>
      </c>
      <c r="I4591">
        <v>654605537</v>
      </c>
      <c r="J4591">
        <v>553317148</v>
      </c>
      <c r="K4591">
        <v>627515335</v>
      </c>
      <c r="L4591">
        <v>641039055</v>
      </c>
      <c r="M4591">
        <v>626098933</v>
      </c>
      <c r="N4591">
        <v>524681525</v>
      </c>
      <c r="O4591">
        <v>569953249</v>
      </c>
      <c r="P4591">
        <v>66</v>
      </c>
      <c r="Q4591" t="s">
        <v>9532</v>
      </c>
    </row>
    <row r="4592" spans="1:17" x14ac:dyDescent="0.3">
      <c r="A4592" t="s">
        <v>47</v>
      </c>
      <c r="B4592" t="str">
        <f>"000972"</f>
        <v>000972</v>
      </c>
      <c r="C4592" t="s">
        <v>9533</v>
      </c>
      <c r="D4592" t="s">
        <v>3368</v>
      </c>
      <c r="E4592">
        <v>705638598</v>
      </c>
      <c r="F4592">
        <v>562832229</v>
      </c>
      <c r="G4592">
        <v>674451770</v>
      </c>
      <c r="H4592">
        <v>1142589493</v>
      </c>
      <c r="I4592">
        <v>2337542096</v>
      </c>
      <c r="J4592">
        <v>2239574886</v>
      </c>
      <c r="K4592">
        <v>2391187504</v>
      </c>
      <c r="L4592">
        <v>2278631783</v>
      </c>
      <c r="M4592">
        <v>2114429568</v>
      </c>
      <c r="N4592">
        <v>3521120979</v>
      </c>
      <c r="O4592">
        <v>4369405826</v>
      </c>
      <c r="P4592">
        <v>78</v>
      </c>
      <c r="Q4592" t="s">
        <v>9534</v>
      </c>
    </row>
    <row r="4593" spans="1:17" x14ac:dyDescent="0.3">
      <c r="A4593" t="s">
        <v>47</v>
      </c>
      <c r="B4593" t="str">
        <f>"300235"</f>
        <v>300235</v>
      </c>
      <c r="C4593" t="s">
        <v>9535</v>
      </c>
      <c r="D4593" t="s">
        <v>1859</v>
      </c>
      <c r="E4593">
        <v>703396662</v>
      </c>
      <c r="F4593">
        <v>699894656</v>
      </c>
      <c r="G4593">
        <v>680682990</v>
      </c>
      <c r="H4593">
        <v>639408163</v>
      </c>
      <c r="I4593">
        <v>626582408</v>
      </c>
      <c r="J4593">
        <v>612726788</v>
      </c>
      <c r="K4593">
        <v>381814685</v>
      </c>
      <c r="L4593">
        <v>374954487</v>
      </c>
      <c r="M4593">
        <v>347689129</v>
      </c>
      <c r="N4593">
        <v>319028244</v>
      </c>
      <c r="O4593">
        <v>305845683</v>
      </c>
      <c r="P4593">
        <v>114</v>
      </c>
      <c r="Q4593" t="s">
        <v>9536</v>
      </c>
    </row>
    <row r="4594" spans="1:17" x14ac:dyDescent="0.3">
      <c r="A4594" t="s">
        <v>47</v>
      </c>
      <c r="B4594" t="str">
        <f>"002652"</f>
        <v>002652</v>
      </c>
      <c r="C4594" t="s">
        <v>9537</v>
      </c>
      <c r="D4594" t="s">
        <v>1418</v>
      </c>
      <c r="E4594">
        <v>700218151</v>
      </c>
      <c r="F4594">
        <v>1117086853</v>
      </c>
      <c r="G4594">
        <v>2830463129</v>
      </c>
      <c r="H4594">
        <v>3035259291</v>
      </c>
      <c r="I4594">
        <v>3063848065</v>
      </c>
      <c r="J4594">
        <v>2719253136</v>
      </c>
      <c r="K4594">
        <v>1857020799</v>
      </c>
      <c r="L4594">
        <v>1191142735</v>
      </c>
      <c r="M4594">
        <v>798508594</v>
      </c>
      <c r="N4594">
        <v>666980498</v>
      </c>
      <c r="O4594">
        <v>602486518</v>
      </c>
      <c r="P4594">
        <v>58</v>
      </c>
      <c r="Q4594" t="s">
        <v>9538</v>
      </c>
    </row>
    <row r="4595" spans="1:17" x14ac:dyDescent="0.3">
      <c r="A4595" t="s">
        <v>47</v>
      </c>
      <c r="B4595" t="str">
        <f>"300899"</f>
        <v>300899</v>
      </c>
      <c r="C4595" t="s">
        <v>9539</v>
      </c>
      <c r="D4595" t="s">
        <v>520</v>
      </c>
      <c r="E4595">
        <v>699446300</v>
      </c>
      <c r="F4595">
        <v>719019388</v>
      </c>
      <c r="P4595">
        <v>58</v>
      </c>
      <c r="Q4595" t="s">
        <v>9540</v>
      </c>
    </row>
    <row r="4596" spans="1:17" x14ac:dyDescent="0.3">
      <c r="A4596" t="s">
        <v>17</v>
      </c>
      <c r="B4596" t="str">
        <f>"688661"</f>
        <v>688661</v>
      </c>
      <c r="C4596" t="s">
        <v>9541</v>
      </c>
      <c r="D4596" t="s">
        <v>283</v>
      </c>
      <c r="E4596">
        <v>697083826</v>
      </c>
      <c r="F4596">
        <v>584520753</v>
      </c>
      <c r="P4596">
        <v>64</v>
      </c>
      <c r="Q4596" t="s">
        <v>9542</v>
      </c>
    </row>
    <row r="4597" spans="1:17" x14ac:dyDescent="0.3">
      <c r="A4597" t="s">
        <v>47</v>
      </c>
      <c r="B4597" t="str">
        <f>"300717"</f>
        <v>300717</v>
      </c>
      <c r="C4597" t="s">
        <v>9543</v>
      </c>
      <c r="D4597" t="s">
        <v>3077</v>
      </c>
      <c r="E4597">
        <v>696012992</v>
      </c>
      <c r="F4597">
        <v>665786790</v>
      </c>
      <c r="G4597">
        <v>656137866</v>
      </c>
      <c r="H4597">
        <v>609333096</v>
      </c>
      <c r="I4597">
        <v>568427571</v>
      </c>
      <c r="P4597">
        <v>71</v>
      </c>
      <c r="Q4597" t="s">
        <v>9544</v>
      </c>
    </row>
    <row r="4598" spans="1:17" x14ac:dyDescent="0.3">
      <c r="A4598" t="s">
        <v>47</v>
      </c>
      <c r="B4598" t="str">
        <f>"002862"</f>
        <v>002862</v>
      </c>
      <c r="C4598" t="s">
        <v>9545</v>
      </c>
      <c r="D4598" t="s">
        <v>4263</v>
      </c>
      <c r="E4598">
        <v>695203991</v>
      </c>
      <c r="F4598">
        <v>700721492</v>
      </c>
      <c r="G4598">
        <v>664803031</v>
      </c>
      <c r="H4598">
        <v>641321479</v>
      </c>
      <c r="I4598">
        <v>581309314</v>
      </c>
      <c r="J4598">
        <v>331101133</v>
      </c>
      <c r="P4598">
        <v>66</v>
      </c>
      <c r="Q4598" t="s">
        <v>9546</v>
      </c>
    </row>
    <row r="4599" spans="1:17" x14ac:dyDescent="0.3">
      <c r="A4599" t="s">
        <v>17</v>
      </c>
      <c r="B4599" t="str">
        <f>"688290"</f>
        <v>688290</v>
      </c>
      <c r="C4599" t="s">
        <v>9547</v>
      </c>
      <c r="E4599">
        <v>693678649</v>
      </c>
      <c r="P4599">
        <v>0</v>
      </c>
      <c r="Q4599" t="s">
        <v>9548</v>
      </c>
    </row>
    <row r="4600" spans="1:17" x14ac:dyDescent="0.3">
      <c r="A4600" t="s">
        <v>47</v>
      </c>
      <c r="B4600" t="str">
        <f>"301057"</f>
        <v>301057</v>
      </c>
      <c r="C4600" t="s">
        <v>9549</v>
      </c>
      <c r="D4600" t="s">
        <v>970</v>
      </c>
      <c r="E4600">
        <v>688934756</v>
      </c>
      <c r="P4600">
        <v>16</v>
      </c>
      <c r="Q4600" t="s">
        <v>9550</v>
      </c>
    </row>
    <row r="4601" spans="1:17" x14ac:dyDescent="0.3">
      <c r="A4601" t="s">
        <v>47</v>
      </c>
      <c r="B4601" t="str">
        <f>"002319"</f>
        <v>002319</v>
      </c>
      <c r="C4601" t="s">
        <v>9551</v>
      </c>
      <c r="D4601" t="s">
        <v>5419</v>
      </c>
      <c r="E4601">
        <v>687933772</v>
      </c>
      <c r="F4601">
        <v>584151349</v>
      </c>
      <c r="G4601">
        <v>612474486</v>
      </c>
      <c r="H4601">
        <v>921406504</v>
      </c>
      <c r="I4601">
        <v>1032308941</v>
      </c>
      <c r="J4601">
        <v>1088604410</v>
      </c>
      <c r="K4601">
        <v>1199786041</v>
      </c>
      <c r="L4601">
        <v>1000499007</v>
      </c>
      <c r="M4601">
        <v>947740318</v>
      </c>
      <c r="N4601">
        <v>807351480</v>
      </c>
      <c r="O4601">
        <v>788146731</v>
      </c>
      <c r="P4601">
        <v>55</v>
      </c>
      <c r="Q4601" t="s">
        <v>9552</v>
      </c>
    </row>
    <row r="4602" spans="1:17" x14ac:dyDescent="0.3">
      <c r="A4602" t="s">
        <v>47</v>
      </c>
      <c r="B4602" t="str">
        <f>"002499"</f>
        <v>002499</v>
      </c>
      <c r="C4602" t="s">
        <v>9553</v>
      </c>
      <c r="D4602" t="s">
        <v>976</v>
      </c>
      <c r="E4602">
        <v>683034324</v>
      </c>
      <c r="F4602">
        <v>739543643</v>
      </c>
      <c r="G4602">
        <v>882359475</v>
      </c>
      <c r="H4602">
        <v>1190450970</v>
      </c>
      <c r="I4602">
        <v>1691650305</v>
      </c>
      <c r="J4602">
        <v>1399423247</v>
      </c>
      <c r="K4602">
        <v>1042438754</v>
      </c>
      <c r="L4602">
        <v>971414524</v>
      </c>
      <c r="M4602">
        <v>1032366639</v>
      </c>
      <c r="N4602">
        <v>1055142626</v>
      </c>
      <c r="O4602">
        <v>848647859</v>
      </c>
      <c r="P4602">
        <v>51</v>
      </c>
      <c r="Q4602" t="s">
        <v>9554</v>
      </c>
    </row>
    <row r="4603" spans="1:17" x14ac:dyDescent="0.3">
      <c r="A4603" t="s">
        <v>17</v>
      </c>
      <c r="B4603" t="str">
        <f>"600539"</f>
        <v>600539</v>
      </c>
      <c r="C4603" t="s">
        <v>9555</v>
      </c>
      <c r="D4603" t="s">
        <v>810</v>
      </c>
      <c r="E4603">
        <v>682954265</v>
      </c>
      <c r="F4603">
        <v>615266810</v>
      </c>
      <c r="G4603">
        <v>448059560</v>
      </c>
      <c r="H4603">
        <v>496748216</v>
      </c>
      <c r="I4603">
        <v>478552533</v>
      </c>
      <c r="J4603">
        <v>524105651</v>
      </c>
      <c r="K4603">
        <v>972530427</v>
      </c>
      <c r="L4603">
        <v>924986531</v>
      </c>
      <c r="M4603">
        <v>992140153</v>
      </c>
      <c r="N4603">
        <v>980373578</v>
      </c>
      <c r="O4603">
        <v>875843867</v>
      </c>
      <c r="P4603">
        <v>51</v>
      </c>
      <c r="Q4603" t="s">
        <v>9556</v>
      </c>
    </row>
    <row r="4604" spans="1:17" x14ac:dyDescent="0.3">
      <c r="A4604" t="s">
        <v>47</v>
      </c>
      <c r="B4604" t="str">
        <f>"301052"</f>
        <v>301052</v>
      </c>
      <c r="C4604" t="s">
        <v>9557</v>
      </c>
      <c r="D4604" t="s">
        <v>1288</v>
      </c>
      <c r="E4604">
        <v>680403553</v>
      </c>
      <c r="P4604">
        <v>16</v>
      </c>
      <c r="Q4604" t="s">
        <v>9558</v>
      </c>
    </row>
    <row r="4605" spans="1:17" x14ac:dyDescent="0.3">
      <c r="A4605" t="s">
        <v>17</v>
      </c>
      <c r="B4605" t="str">
        <f>"688078"</f>
        <v>688078</v>
      </c>
      <c r="C4605" t="s">
        <v>9559</v>
      </c>
      <c r="D4605" t="s">
        <v>1010</v>
      </c>
      <c r="E4605">
        <v>679357224</v>
      </c>
      <c r="F4605">
        <v>572258162</v>
      </c>
      <c r="G4605">
        <v>539103440</v>
      </c>
      <c r="P4605">
        <v>83</v>
      </c>
      <c r="Q4605" t="s">
        <v>9560</v>
      </c>
    </row>
    <row r="4606" spans="1:17" x14ac:dyDescent="0.3">
      <c r="A4606" t="s">
        <v>47</v>
      </c>
      <c r="B4606" t="str">
        <f>"301059"</f>
        <v>301059</v>
      </c>
      <c r="C4606" t="s">
        <v>9561</v>
      </c>
      <c r="D4606" t="s">
        <v>710</v>
      </c>
      <c r="E4606">
        <v>677116485</v>
      </c>
      <c r="P4606">
        <v>21</v>
      </c>
      <c r="Q4606" t="s">
        <v>9562</v>
      </c>
    </row>
    <row r="4607" spans="1:17" x14ac:dyDescent="0.3">
      <c r="A4607" t="s">
        <v>17</v>
      </c>
      <c r="B4607" t="str">
        <f>"688359"</f>
        <v>688359</v>
      </c>
      <c r="C4607" t="s">
        <v>9563</v>
      </c>
      <c r="D4607" t="s">
        <v>3050</v>
      </c>
      <c r="E4607">
        <v>671041782</v>
      </c>
      <c r="F4607">
        <v>376599929</v>
      </c>
      <c r="P4607">
        <v>23</v>
      </c>
      <c r="Q4607" t="s">
        <v>9564</v>
      </c>
    </row>
    <row r="4608" spans="1:17" x14ac:dyDescent="0.3">
      <c r="A4608" t="s">
        <v>47</v>
      </c>
      <c r="B4608" t="str">
        <f>"301079"</f>
        <v>301079</v>
      </c>
      <c r="C4608" t="s">
        <v>9565</v>
      </c>
      <c r="D4608" t="s">
        <v>2395</v>
      </c>
      <c r="E4608">
        <v>670521472</v>
      </c>
      <c r="P4608">
        <v>22</v>
      </c>
      <c r="Q4608" t="s">
        <v>9566</v>
      </c>
    </row>
    <row r="4609" spans="1:17" x14ac:dyDescent="0.3">
      <c r="A4609" t="s">
        <v>47</v>
      </c>
      <c r="B4609" t="str">
        <f>"300163"</f>
        <v>300163</v>
      </c>
      <c r="C4609" t="s">
        <v>9567</v>
      </c>
      <c r="D4609" t="s">
        <v>710</v>
      </c>
      <c r="E4609">
        <v>669339236</v>
      </c>
      <c r="F4609">
        <v>713546659</v>
      </c>
      <c r="G4609">
        <v>794696479</v>
      </c>
      <c r="H4609">
        <v>891973314</v>
      </c>
      <c r="I4609">
        <v>1015063885</v>
      </c>
      <c r="J4609">
        <v>1210069156</v>
      </c>
      <c r="K4609">
        <v>1166028687</v>
      </c>
      <c r="L4609">
        <v>969990359</v>
      </c>
      <c r="M4609">
        <v>707466953</v>
      </c>
      <c r="N4609">
        <v>664358573</v>
      </c>
      <c r="O4609">
        <v>680711313</v>
      </c>
      <c r="P4609">
        <v>75</v>
      </c>
      <c r="Q4609" t="s">
        <v>9568</v>
      </c>
    </row>
    <row r="4610" spans="1:17" x14ac:dyDescent="0.3">
      <c r="A4610" t="s">
        <v>47</v>
      </c>
      <c r="B4610" t="str">
        <f>"002213"</f>
        <v>002213</v>
      </c>
      <c r="C4610" t="s">
        <v>9569</v>
      </c>
      <c r="D4610" t="s">
        <v>274</v>
      </c>
      <c r="E4610">
        <v>661830732</v>
      </c>
      <c r="F4610">
        <v>533726835</v>
      </c>
      <c r="G4610">
        <v>468753638</v>
      </c>
      <c r="H4610">
        <v>409580861</v>
      </c>
      <c r="I4610">
        <v>426413578</v>
      </c>
      <c r="J4610">
        <v>428572179</v>
      </c>
      <c r="K4610">
        <v>431685193</v>
      </c>
      <c r="L4610">
        <v>433858583</v>
      </c>
      <c r="M4610">
        <v>411059507</v>
      </c>
      <c r="N4610">
        <v>414198848</v>
      </c>
      <c r="O4610">
        <v>375186171</v>
      </c>
      <c r="P4610">
        <v>90</v>
      </c>
      <c r="Q4610" t="s">
        <v>9570</v>
      </c>
    </row>
    <row r="4611" spans="1:17" x14ac:dyDescent="0.3">
      <c r="A4611" t="s">
        <v>17</v>
      </c>
      <c r="B4611" t="str">
        <f>"603996"</f>
        <v>603996</v>
      </c>
      <c r="C4611" t="s">
        <v>9571</v>
      </c>
      <c r="D4611" t="s">
        <v>1238</v>
      </c>
      <c r="E4611">
        <v>661049268</v>
      </c>
      <c r="F4611">
        <v>864133060</v>
      </c>
      <c r="G4611">
        <v>2044329354</v>
      </c>
      <c r="H4611">
        <v>4054082647</v>
      </c>
      <c r="I4611">
        <v>5047219025</v>
      </c>
      <c r="J4611">
        <v>3040247371</v>
      </c>
      <c r="K4611">
        <v>2392579323</v>
      </c>
      <c r="L4611">
        <v>1596063400</v>
      </c>
      <c r="P4611">
        <v>71</v>
      </c>
      <c r="Q4611" t="s">
        <v>9572</v>
      </c>
    </row>
    <row r="4612" spans="1:17" x14ac:dyDescent="0.3">
      <c r="A4612" t="s">
        <v>47</v>
      </c>
      <c r="B4612" t="str">
        <f>"002633"</f>
        <v>002633</v>
      </c>
      <c r="C4612" t="s">
        <v>9573</v>
      </c>
      <c r="D4612" t="s">
        <v>401</v>
      </c>
      <c r="E4612">
        <v>652019901</v>
      </c>
      <c r="F4612">
        <v>622311724</v>
      </c>
      <c r="G4612">
        <v>634204684</v>
      </c>
      <c r="H4612">
        <v>613935282</v>
      </c>
      <c r="I4612">
        <v>605717121</v>
      </c>
      <c r="J4612">
        <v>606902167</v>
      </c>
      <c r="K4612">
        <v>803615002</v>
      </c>
      <c r="L4612">
        <v>935239120</v>
      </c>
      <c r="M4612">
        <v>891492753</v>
      </c>
      <c r="N4612">
        <v>915820718</v>
      </c>
      <c r="O4612">
        <v>902007766</v>
      </c>
      <c r="P4612">
        <v>44</v>
      </c>
      <c r="Q4612" t="s">
        <v>9574</v>
      </c>
    </row>
    <row r="4613" spans="1:17" x14ac:dyDescent="0.3">
      <c r="A4613" t="s">
        <v>47</v>
      </c>
      <c r="B4613" t="str">
        <f>"000504"</f>
        <v>000504</v>
      </c>
      <c r="C4613" t="s">
        <v>9575</v>
      </c>
      <c r="D4613" t="s">
        <v>6166</v>
      </c>
      <c r="E4613">
        <v>651601722</v>
      </c>
      <c r="F4613">
        <v>553921446</v>
      </c>
      <c r="G4613">
        <v>237530540</v>
      </c>
      <c r="H4613">
        <v>360972527</v>
      </c>
      <c r="I4613">
        <v>414385081</v>
      </c>
      <c r="J4613">
        <v>299955635</v>
      </c>
      <c r="K4613">
        <v>116392174</v>
      </c>
      <c r="L4613">
        <v>99462573</v>
      </c>
      <c r="M4613">
        <v>114354985</v>
      </c>
      <c r="N4613">
        <v>65050846</v>
      </c>
      <c r="O4613">
        <v>259574407</v>
      </c>
      <c r="P4613">
        <v>85</v>
      </c>
      <c r="Q4613" t="s">
        <v>9576</v>
      </c>
    </row>
    <row r="4614" spans="1:17" x14ac:dyDescent="0.3">
      <c r="A4614" t="s">
        <v>17</v>
      </c>
      <c r="B4614" t="str">
        <f>"688367"</f>
        <v>688367</v>
      </c>
      <c r="C4614" t="s">
        <v>9577</v>
      </c>
      <c r="D4614" t="s">
        <v>193</v>
      </c>
      <c r="E4614">
        <v>647928167</v>
      </c>
      <c r="F4614">
        <v>366941312</v>
      </c>
      <c r="P4614">
        <v>30</v>
      </c>
      <c r="Q4614" t="s">
        <v>9578</v>
      </c>
    </row>
    <row r="4615" spans="1:17" x14ac:dyDescent="0.3">
      <c r="A4615" t="s">
        <v>47</v>
      </c>
      <c r="B4615" t="str">
        <f>"002848"</f>
        <v>002848</v>
      </c>
      <c r="C4615" t="s">
        <v>9579</v>
      </c>
      <c r="D4615" t="s">
        <v>2588</v>
      </c>
      <c r="E4615">
        <v>644230087</v>
      </c>
      <c r="F4615">
        <v>769293721</v>
      </c>
      <c r="G4615">
        <v>1040817945</v>
      </c>
      <c r="H4615">
        <v>1108664382</v>
      </c>
      <c r="I4615">
        <v>1405876162</v>
      </c>
      <c r="J4615">
        <v>1327568523</v>
      </c>
      <c r="P4615">
        <v>189</v>
      </c>
      <c r="Q4615" t="s">
        <v>9580</v>
      </c>
    </row>
    <row r="4616" spans="1:17" x14ac:dyDescent="0.3">
      <c r="A4616" t="s">
        <v>47</v>
      </c>
      <c r="B4616" t="str">
        <f>"002199"</f>
        <v>002199</v>
      </c>
      <c r="C4616" t="s">
        <v>9581</v>
      </c>
      <c r="D4616" t="s">
        <v>1808</v>
      </c>
      <c r="E4616">
        <v>642045045</v>
      </c>
      <c r="F4616">
        <v>542625679</v>
      </c>
      <c r="G4616">
        <v>477115425</v>
      </c>
      <c r="H4616">
        <v>526612680</v>
      </c>
      <c r="I4616">
        <v>553110762</v>
      </c>
      <c r="J4616">
        <v>570964947</v>
      </c>
      <c r="K4616">
        <v>1439396248</v>
      </c>
      <c r="L4616">
        <v>1718172361</v>
      </c>
      <c r="M4616">
        <v>1442900266</v>
      </c>
      <c r="N4616">
        <v>1154231564</v>
      </c>
      <c r="O4616">
        <v>1018335541</v>
      </c>
      <c r="P4616">
        <v>111</v>
      </c>
      <c r="Q4616" t="s">
        <v>9582</v>
      </c>
    </row>
    <row r="4617" spans="1:17" x14ac:dyDescent="0.3">
      <c r="A4617" t="s">
        <v>17</v>
      </c>
      <c r="B4617" t="str">
        <f>"603133"</f>
        <v>603133</v>
      </c>
      <c r="C4617" t="s">
        <v>9583</v>
      </c>
      <c r="D4617" t="s">
        <v>283</v>
      </c>
      <c r="E4617">
        <v>641108426</v>
      </c>
      <c r="F4617">
        <v>1764875415</v>
      </c>
      <c r="G4617">
        <v>1706464981</v>
      </c>
      <c r="H4617">
        <v>1605996828</v>
      </c>
      <c r="I4617">
        <v>1042333872</v>
      </c>
      <c r="J4617">
        <v>1026535664</v>
      </c>
      <c r="P4617">
        <v>138</v>
      </c>
      <c r="Q4617" t="s">
        <v>9584</v>
      </c>
    </row>
    <row r="4618" spans="1:17" x14ac:dyDescent="0.3">
      <c r="A4618" t="s">
        <v>17</v>
      </c>
      <c r="B4618" t="str">
        <f>"600137"</f>
        <v>600137</v>
      </c>
      <c r="C4618" t="s">
        <v>9585</v>
      </c>
      <c r="D4618" t="s">
        <v>4276</v>
      </c>
      <c r="E4618">
        <v>639453627</v>
      </c>
      <c r="F4618">
        <v>664770817</v>
      </c>
      <c r="G4618">
        <v>660944796</v>
      </c>
      <c r="H4618">
        <v>691058874</v>
      </c>
      <c r="I4618">
        <v>631690210</v>
      </c>
      <c r="J4618">
        <v>570319414</v>
      </c>
      <c r="K4618">
        <v>531472658</v>
      </c>
      <c r="L4618">
        <v>573587824</v>
      </c>
      <c r="M4618">
        <v>568256794</v>
      </c>
      <c r="N4618">
        <v>605262224</v>
      </c>
      <c r="O4618">
        <v>575637277</v>
      </c>
      <c r="P4618">
        <v>75</v>
      </c>
      <c r="Q4618" t="s">
        <v>9586</v>
      </c>
    </row>
    <row r="4619" spans="1:17" x14ac:dyDescent="0.3">
      <c r="A4619" t="s">
        <v>47</v>
      </c>
      <c r="B4619" t="str">
        <f>"300720"</f>
        <v>300720</v>
      </c>
      <c r="C4619" t="s">
        <v>9587</v>
      </c>
      <c r="D4619" t="s">
        <v>3722</v>
      </c>
      <c r="E4619">
        <v>639255495</v>
      </c>
      <c r="F4619">
        <v>601145636</v>
      </c>
      <c r="G4619">
        <v>528765777</v>
      </c>
      <c r="H4619">
        <v>499122299</v>
      </c>
      <c r="I4619">
        <v>463081819</v>
      </c>
      <c r="P4619">
        <v>70</v>
      </c>
      <c r="Q4619" t="s">
        <v>9588</v>
      </c>
    </row>
    <row r="4620" spans="1:17" x14ac:dyDescent="0.3">
      <c r="A4620" t="s">
        <v>17</v>
      </c>
      <c r="B4620" t="str">
        <f>"603159"</f>
        <v>603159</v>
      </c>
      <c r="C4620" t="s">
        <v>9589</v>
      </c>
      <c r="D4620" t="s">
        <v>1973</v>
      </c>
      <c r="E4620">
        <v>637067239</v>
      </c>
      <c r="F4620">
        <v>583318013</v>
      </c>
      <c r="G4620">
        <v>541659059</v>
      </c>
      <c r="H4620">
        <v>566180496</v>
      </c>
      <c r="I4620">
        <v>550536363</v>
      </c>
      <c r="J4620">
        <v>496157242</v>
      </c>
      <c r="K4620">
        <v>341472700</v>
      </c>
      <c r="P4620">
        <v>62</v>
      </c>
      <c r="Q4620" t="s">
        <v>9590</v>
      </c>
    </row>
    <row r="4621" spans="1:17" x14ac:dyDescent="0.3">
      <c r="A4621" t="s">
        <v>47</v>
      </c>
      <c r="B4621" t="str">
        <f>"002231"</f>
        <v>002231</v>
      </c>
      <c r="C4621" t="s">
        <v>9591</v>
      </c>
      <c r="D4621" t="s">
        <v>1385</v>
      </c>
      <c r="E4621">
        <v>636656917</v>
      </c>
      <c r="F4621">
        <v>722799151</v>
      </c>
      <c r="G4621">
        <v>755039496</v>
      </c>
      <c r="H4621">
        <v>787155425</v>
      </c>
      <c r="I4621">
        <v>898479213</v>
      </c>
      <c r="J4621">
        <v>833972820</v>
      </c>
      <c r="K4621">
        <v>814091706</v>
      </c>
      <c r="L4621">
        <v>878462304</v>
      </c>
      <c r="M4621">
        <v>830454106</v>
      </c>
      <c r="N4621">
        <v>757717578</v>
      </c>
      <c r="O4621">
        <v>773337806</v>
      </c>
      <c r="P4621">
        <v>155</v>
      </c>
      <c r="Q4621" t="s">
        <v>9592</v>
      </c>
    </row>
    <row r="4622" spans="1:17" x14ac:dyDescent="0.3">
      <c r="A4622" t="s">
        <v>47</v>
      </c>
      <c r="B4622" t="str">
        <f>"300399"</f>
        <v>300399</v>
      </c>
      <c r="C4622" t="s">
        <v>9593</v>
      </c>
      <c r="D4622" t="s">
        <v>700</v>
      </c>
      <c r="E4622">
        <v>633382202</v>
      </c>
      <c r="F4622">
        <v>518658108</v>
      </c>
      <c r="G4622">
        <v>521181537</v>
      </c>
      <c r="H4622">
        <v>505056666</v>
      </c>
      <c r="I4622">
        <v>511163977</v>
      </c>
      <c r="J4622">
        <v>517264693</v>
      </c>
      <c r="K4622">
        <v>465275549</v>
      </c>
      <c r="L4622">
        <v>429808582</v>
      </c>
      <c r="P4622">
        <v>80</v>
      </c>
      <c r="Q4622" t="s">
        <v>9594</v>
      </c>
    </row>
    <row r="4623" spans="1:17" x14ac:dyDescent="0.3">
      <c r="A4623" t="s">
        <v>47</v>
      </c>
      <c r="B4623" t="str">
        <f>"000509"</f>
        <v>000509</v>
      </c>
      <c r="C4623" t="s">
        <v>9595</v>
      </c>
      <c r="D4623" t="s">
        <v>1585</v>
      </c>
      <c r="E4623">
        <v>630593528</v>
      </c>
      <c r="F4623">
        <v>220305050</v>
      </c>
      <c r="G4623">
        <v>142424152</v>
      </c>
      <c r="H4623">
        <v>201758068</v>
      </c>
      <c r="I4623">
        <v>248942753</v>
      </c>
      <c r="J4623">
        <v>328308437</v>
      </c>
      <c r="K4623">
        <v>543955149</v>
      </c>
      <c r="L4623">
        <v>560822404</v>
      </c>
      <c r="M4623">
        <v>711700716</v>
      </c>
      <c r="N4623">
        <v>453433624</v>
      </c>
      <c r="O4623">
        <v>574394983</v>
      </c>
      <c r="P4623">
        <v>84</v>
      </c>
      <c r="Q4623" t="s">
        <v>9596</v>
      </c>
    </row>
    <row r="4624" spans="1:17" x14ac:dyDescent="0.3">
      <c r="A4624" t="s">
        <v>17</v>
      </c>
      <c r="B4624" t="str">
        <f>"603696"</f>
        <v>603696</v>
      </c>
      <c r="C4624" t="s">
        <v>9597</v>
      </c>
      <c r="D4624" t="s">
        <v>1241</v>
      </c>
      <c r="E4624">
        <v>624819273</v>
      </c>
      <c r="F4624">
        <v>622734798</v>
      </c>
      <c r="G4624">
        <v>635532331</v>
      </c>
      <c r="H4624">
        <v>686563683</v>
      </c>
      <c r="I4624">
        <v>761643751</v>
      </c>
      <c r="J4624">
        <v>731953042</v>
      </c>
      <c r="K4624">
        <v>702109754</v>
      </c>
      <c r="L4624">
        <v>379201621</v>
      </c>
      <c r="P4624">
        <v>195</v>
      </c>
      <c r="Q4624" t="s">
        <v>9598</v>
      </c>
    </row>
    <row r="4625" spans="1:17" x14ac:dyDescent="0.3">
      <c r="A4625" t="s">
        <v>17</v>
      </c>
      <c r="B4625" t="str">
        <f>"688092"</f>
        <v>688092</v>
      </c>
      <c r="C4625" t="s">
        <v>9599</v>
      </c>
      <c r="D4625" t="s">
        <v>1973</v>
      </c>
      <c r="E4625">
        <v>624184619</v>
      </c>
      <c r="F4625">
        <v>591731686</v>
      </c>
      <c r="P4625">
        <v>29</v>
      </c>
      <c r="Q4625" t="s">
        <v>9600</v>
      </c>
    </row>
    <row r="4626" spans="1:17" x14ac:dyDescent="0.3">
      <c r="A4626" t="s">
        <v>47</v>
      </c>
      <c r="B4626" t="str">
        <f>"000020"</f>
        <v>000020</v>
      </c>
      <c r="C4626" t="s">
        <v>9601</v>
      </c>
      <c r="D4626" t="s">
        <v>181</v>
      </c>
      <c r="E4626">
        <v>623171032</v>
      </c>
      <c r="F4626">
        <v>637533668</v>
      </c>
      <c r="G4626">
        <v>620319822</v>
      </c>
      <c r="H4626">
        <v>579621386</v>
      </c>
      <c r="I4626">
        <v>600196483</v>
      </c>
      <c r="J4626">
        <v>646900273</v>
      </c>
      <c r="K4626">
        <v>605739968</v>
      </c>
      <c r="L4626">
        <v>1142171858</v>
      </c>
      <c r="M4626">
        <v>771552998</v>
      </c>
      <c r="N4626">
        <v>712714599</v>
      </c>
      <c r="O4626">
        <v>742637408</v>
      </c>
      <c r="P4626">
        <v>75</v>
      </c>
      <c r="Q4626" t="s">
        <v>9602</v>
      </c>
    </row>
    <row r="4627" spans="1:17" x14ac:dyDescent="0.3">
      <c r="A4627" t="s">
        <v>47</v>
      </c>
      <c r="B4627" t="str">
        <f>"300111"</f>
        <v>300111</v>
      </c>
      <c r="C4627" t="s">
        <v>9603</v>
      </c>
      <c r="D4627" t="s">
        <v>664</v>
      </c>
      <c r="E4627">
        <v>617497755</v>
      </c>
      <c r="F4627">
        <v>528274563</v>
      </c>
      <c r="G4627">
        <v>607502396</v>
      </c>
      <c r="H4627">
        <v>1275222374</v>
      </c>
      <c r="I4627">
        <v>2497191665</v>
      </c>
      <c r="J4627">
        <v>2769463424</v>
      </c>
      <c r="K4627">
        <v>3051498954</v>
      </c>
      <c r="L4627">
        <v>3088048740</v>
      </c>
      <c r="M4627">
        <v>2949571353</v>
      </c>
      <c r="N4627">
        <v>2911981340</v>
      </c>
      <c r="O4627">
        <v>3539714607</v>
      </c>
      <c r="P4627">
        <v>124</v>
      </c>
      <c r="Q4627" t="s">
        <v>9604</v>
      </c>
    </row>
    <row r="4628" spans="1:17" x14ac:dyDescent="0.3">
      <c r="A4628" t="s">
        <v>47</v>
      </c>
      <c r="B4628" t="str">
        <f>"300330"</f>
        <v>300330</v>
      </c>
      <c r="C4628" t="s">
        <v>9605</v>
      </c>
      <c r="D4628" t="s">
        <v>765</v>
      </c>
      <c r="E4628">
        <v>615352023</v>
      </c>
      <c r="F4628">
        <v>613802839</v>
      </c>
      <c r="G4628">
        <v>557672688</v>
      </c>
      <c r="H4628">
        <v>514111457</v>
      </c>
      <c r="I4628">
        <v>503777770</v>
      </c>
      <c r="J4628">
        <v>495267678</v>
      </c>
      <c r="K4628">
        <v>558090912</v>
      </c>
      <c r="L4628">
        <v>586830306</v>
      </c>
      <c r="M4628">
        <v>608266557</v>
      </c>
      <c r="N4628">
        <v>609544879</v>
      </c>
      <c r="O4628">
        <v>343085596</v>
      </c>
      <c r="P4628">
        <v>82</v>
      </c>
      <c r="Q4628" t="s">
        <v>9606</v>
      </c>
    </row>
    <row r="4629" spans="1:17" x14ac:dyDescent="0.3">
      <c r="A4629" t="s">
        <v>17</v>
      </c>
      <c r="B4629" t="str">
        <f>"600149"</f>
        <v>600149</v>
      </c>
      <c r="C4629" t="s">
        <v>9607</v>
      </c>
      <c r="D4629" t="s">
        <v>1293</v>
      </c>
      <c r="E4629">
        <v>614972146</v>
      </c>
      <c r="F4629">
        <v>617983444</v>
      </c>
      <c r="G4629">
        <v>635514406</v>
      </c>
      <c r="H4629">
        <v>647866185</v>
      </c>
      <c r="I4629">
        <v>326236166</v>
      </c>
      <c r="J4629">
        <v>205870159</v>
      </c>
      <c r="K4629">
        <v>374372793</v>
      </c>
      <c r="L4629">
        <v>299591938</v>
      </c>
      <c r="M4629">
        <v>299247199</v>
      </c>
      <c r="N4629">
        <v>341709835</v>
      </c>
      <c r="O4629">
        <v>353581462</v>
      </c>
      <c r="P4629">
        <v>44</v>
      </c>
      <c r="Q4629" t="s">
        <v>9608</v>
      </c>
    </row>
    <row r="4630" spans="1:17" x14ac:dyDescent="0.3">
      <c r="A4630" t="s">
        <v>47</v>
      </c>
      <c r="B4630" t="str">
        <f>"300051"</f>
        <v>300051</v>
      </c>
      <c r="C4630" t="s">
        <v>9609</v>
      </c>
      <c r="D4630" t="s">
        <v>1032</v>
      </c>
      <c r="E4630">
        <v>614780988</v>
      </c>
      <c r="F4630">
        <v>673903639</v>
      </c>
      <c r="G4630">
        <v>789167454</v>
      </c>
      <c r="H4630">
        <v>1020778032</v>
      </c>
      <c r="I4630">
        <v>1493082826</v>
      </c>
      <c r="J4630">
        <v>1467085147</v>
      </c>
      <c r="K4630">
        <v>1391789672</v>
      </c>
      <c r="L4630">
        <v>802893612</v>
      </c>
      <c r="M4630">
        <v>647351135</v>
      </c>
      <c r="N4630">
        <v>588601153</v>
      </c>
      <c r="O4630">
        <v>663134759</v>
      </c>
      <c r="P4630">
        <v>104</v>
      </c>
      <c r="Q4630" t="s">
        <v>9610</v>
      </c>
    </row>
    <row r="4631" spans="1:17" x14ac:dyDescent="0.3">
      <c r="A4631" t="s">
        <v>47</v>
      </c>
      <c r="B4631" t="str">
        <f>"002447"</f>
        <v>002447</v>
      </c>
      <c r="C4631" t="s">
        <v>9611</v>
      </c>
      <c r="D4631" t="s">
        <v>1032</v>
      </c>
      <c r="E4631">
        <v>612103146</v>
      </c>
      <c r="F4631">
        <v>703474390</v>
      </c>
      <c r="G4631">
        <v>735689909</v>
      </c>
      <c r="H4631">
        <v>2000066371</v>
      </c>
      <c r="I4631">
        <v>2784725123</v>
      </c>
      <c r="J4631">
        <v>3196872411</v>
      </c>
      <c r="K4631">
        <v>3158073686</v>
      </c>
      <c r="L4631">
        <v>3234409372</v>
      </c>
      <c r="M4631">
        <v>2904511000</v>
      </c>
      <c r="N4631">
        <v>2166795764</v>
      </c>
      <c r="O4631">
        <v>1345944067</v>
      </c>
      <c r="P4631">
        <v>92</v>
      </c>
      <c r="Q4631" t="s">
        <v>9612</v>
      </c>
    </row>
    <row r="4632" spans="1:17" x14ac:dyDescent="0.3">
      <c r="A4632" t="s">
        <v>47</v>
      </c>
      <c r="B4632" t="str">
        <f>"002857"</f>
        <v>002857</v>
      </c>
      <c r="C4632" t="s">
        <v>9613</v>
      </c>
      <c r="D4632" t="s">
        <v>2197</v>
      </c>
      <c r="E4632">
        <v>608086071</v>
      </c>
      <c r="F4632">
        <v>613784022</v>
      </c>
      <c r="G4632">
        <v>593382789</v>
      </c>
      <c r="H4632">
        <v>585233951</v>
      </c>
      <c r="I4632">
        <v>541558534</v>
      </c>
      <c r="J4632">
        <v>492113510</v>
      </c>
      <c r="P4632">
        <v>45</v>
      </c>
      <c r="Q4632" t="s">
        <v>9614</v>
      </c>
    </row>
    <row r="4633" spans="1:17" x14ac:dyDescent="0.3">
      <c r="A4633" t="s">
        <v>47</v>
      </c>
      <c r="B4633" t="str">
        <f>"300722"</f>
        <v>300722</v>
      </c>
      <c r="C4633" t="s">
        <v>9615</v>
      </c>
      <c r="D4633" t="s">
        <v>1180</v>
      </c>
      <c r="E4633">
        <v>608040815</v>
      </c>
      <c r="F4633">
        <v>559963635</v>
      </c>
      <c r="G4633">
        <v>513723251</v>
      </c>
      <c r="H4633">
        <v>506264048</v>
      </c>
      <c r="I4633">
        <v>549920999</v>
      </c>
      <c r="P4633">
        <v>113</v>
      </c>
      <c r="Q4633" t="s">
        <v>9616</v>
      </c>
    </row>
    <row r="4634" spans="1:17" x14ac:dyDescent="0.3">
      <c r="A4634" t="s">
        <v>17</v>
      </c>
      <c r="B4634" t="str">
        <f>"600898"</f>
        <v>600898</v>
      </c>
      <c r="C4634" t="s">
        <v>9617</v>
      </c>
      <c r="D4634" t="s">
        <v>283</v>
      </c>
      <c r="E4634">
        <v>605357501</v>
      </c>
      <c r="F4634">
        <v>516934663</v>
      </c>
      <c r="G4634">
        <v>1492526177</v>
      </c>
      <c r="H4634">
        <v>2869580488</v>
      </c>
      <c r="I4634">
        <v>3220321155</v>
      </c>
      <c r="J4634">
        <v>1953963664</v>
      </c>
      <c r="K4634">
        <v>676800810</v>
      </c>
      <c r="L4634">
        <v>630107828</v>
      </c>
      <c r="M4634">
        <v>603658456</v>
      </c>
      <c r="N4634">
        <v>552980227</v>
      </c>
      <c r="O4634">
        <v>505414028</v>
      </c>
      <c r="P4634">
        <v>57</v>
      </c>
      <c r="Q4634" t="s">
        <v>9618</v>
      </c>
    </row>
    <row r="4635" spans="1:17" x14ac:dyDescent="0.3">
      <c r="A4635" t="s">
        <v>17</v>
      </c>
      <c r="B4635" t="str">
        <f>"688314"</f>
        <v>688314</v>
      </c>
      <c r="C4635" t="s">
        <v>9619</v>
      </c>
      <c r="D4635" t="s">
        <v>1650</v>
      </c>
      <c r="E4635">
        <v>600780146</v>
      </c>
      <c r="F4635">
        <v>307478660</v>
      </c>
      <c r="P4635">
        <v>53</v>
      </c>
      <c r="Q4635" t="s">
        <v>9620</v>
      </c>
    </row>
    <row r="4636" spans="1:17" x14ac:dyDescent="0.3">
      <c r="A4636" t="s">
        <v>47</v>
      </c>
      <c r="B4636" t="str">
        <f>"002175"</f>
        <v>002175</v>
      </c>
      <c r="C4636" t="s">
        <v>9621</v>
      </c>
      <c r="D4636" t="s">
        <v>810</v>
      </c>
      <c r="E4636">
        <v>597985559</v>
      </c>
      <c r="F4636">
        <v>611781284</v>
      </c>
      <c r="G4636">
        <v>651931059</v>
      </c>
      <c r="H4636">
        <v>1667875421</v>
      </c>
      <c r="I4636">
        <v>2053538158</v>
      </c>
      <c r="J4636">
        <v>3116202655</v>
      </c>
      <c r="K4636">
        <v>2636868259</v>
      </c>
      <c r="L4636">
        <v>1164882078</v>
      </c>
      <c r="M4636">
        <v>694641583</v>
      </c>
      <c r="N4636">
        <v>417353530</v>
      </c>
      <c r="O4636">
        <v>410708735</v>
      </c>
      <c r="P4636">
        <v>79</v>
      </c>
      <c r="Q4636" t="s">
        <v>9622</v>
      </c>
    </row>
    <row r="4637" spans="1:17" x14ac:dyDescent="0.3">
      <c r="A4637" t="s">
        <v>47</v>
      </c>
      <c r="B4637" t="str">
        <f>"300023"</f>
        <v>300023</v>
      </c>
      <c r="C4637" t="s">
        <v>9623</v>
      </c>
      <c r="D4637" t="s">
        <v>109</v>
      </c>
      <c r="E4637">
        <v>597006097</v>
      </c>
      <c r="F4637">
        <v>518833117</v>
      </c>
      <c r="G4637">
        <v>580062161</v>
      </c>
      <c r="H4637">
        <v>4272445604</v>
      </c>
      <c r="I4637">
        <v>6300179321</v>
      </c>
      <c r="J4637">
        <v>5833171821</v>
      </c>
      <c r="K4637">
        <v>4393082778</v>
      </c>
      <c r="L4637">
        <v>496975631</v>
      </c>
      <c r="M4637">
        <v>388643270</v>
      </c>
      <c r="N4637">
        <v>376898812</v>
      </c>
      <c r="O4637">
        <v>379736503</v>
      </c>
      <c r="P4637">
        <v>61</v>
      </c>
      <c r="Q4637" t="s">
        <v>9624</v>
      </c>
    </row>
    <row r="4638" spans="1:17" x14ac:dyDescent="0.3">
      <c r="A4638" t="s">
        <v>47</v>
      </c>
      <c r="B4638" t="str">
        <f>"300211"</f>
        <v>300211</v>
      </c>
      <c r="C4638" t="s">
        <v>9625</v>
      </c>
      <c r="D4638" t="s">
        <v>2804</v>
      </c>
      <c r="E4638">
        <v>596251828</v>
      </c>
      <c r="F4638">
        <v>501680753</v>
      </c>
      <c r="G4638">
        <v>517762333</v>
      </c>
      <c r="H4638">
        <v>536356845</v>
      </c>
      <c r="I4638">
        <v>564830748</v>
      </c>
      <c r="J4638">
        <v>577778328</v>
      </c>
      <c r="K4638">
        <v>583148515</v>
      </c>
      <c r="L4638">
        <v>567234777</v>
      </c>
      <c r="M4638">
        <v>559290086</v>
      </c>
      <c r="N4638">
        <v>535007126</v>
      </c>
      <c r="O4638">
        <v>521013555</v>
      </c>
      <c r="P4638">
        <v>63</v>
      </c>
      <c r="Q4638" t="s">
        <v>9626</v>
      </c>
    </row>
    <row r="4639" spans="1:17" x14ac:dyDescent="0.3">
      <c r="A4639" t="s">
        <v>17</v>
      </c>
      <c r="B4639" t="str">
        <f>"600476"</f>
        <v>600476</v>
      </c>
      <c r="C4639" t="s">
        <v>9627</v>
      </c>
      <c r="D4639" t="s">
        <v>700</v>
      </c>
      <c r="E4639">
        <v>591686016</v>
      </c>
      <c r="F4639">
        <v>432800475</v>
      </c>
      <c r="G4639">
        <v>369013408</v>
      </c>
      <c r="H4639">
        <v>612754631</v>
      </c>
      <c r="I4639">
        <v>424510510</v>
      </c>
      <c r="J4639">
        <v>345385999</v>
      </c>
      <c r="K4639">
        <v>320390973</v>
      </c>
      <c r="L4639">
        <v>347316881</v>
      </c>
      <c r="M4639">
        <v>332921666</v>
      </c>
      <c r="N4639">
        <v>387165234</v>
      </c>
      <c r="O4639">
        <v>424241579</v>
      </c>
      <c r="P4639">
        <v>85</v>
      </c>
      <c r="Q4639" t="s">
        <v>9628</v>
      </c>
    </row>
    <row r="4640" spans="1:17" x14ac:dyDescent="0.3">
      <c r="A4640" t="s">
        <v>17</v>
      </c>
      <c r="B4640" t="str">
        <f>"688215"</f>
        <v>688215</v>
      </c>
      <c r="C4640" t="s">
        <v>9629</v>
      </c>
      <c r="D4640" t="s">
        <v>4037</v>
      </c>
      <c r="E4640">
        <v>591307984</v>
      </c>
      <c r="F4640">
        <v>511586826</v>
      </c>
      <c r="G4640">
        <v>188371600</v>
      </c>
      <c r="P4640">
        <v>62</v>
      </c>
      <c r="Q4640" t="s">
        <v>9630</v>
      </c>
    </row>
    <row r="4641" spans="1:17" x14ac:dyDescent="0.3">
      <c r="A4641" t="s">
        <v>47</v>
      </c>
      <c r="B4641" t="str">
        <f>"002813"</f>
        <v>002813</v>
      </c>
      <c r="C4641" t="s">
        <v>9631</v>
      </c>
      <c r="D4641" t="s">
        <v>836</v>
      </c>
      <c r="E4641">
        <v>587578508</v>
      </c>
      <c r="F4641">
        <v>530866574</v>
      </c>
      <c r="G4641">
        <v>1037221181</v>
      </c>
      <c r="H4641">
        <v>1508586624</v>
      </c>
      <c r="I4641">
        <v>1597769674</v>
      </c>
      <c r="J4641">
        <v>1271303553</v>
      </c>
      <c r="P4641">
        <v>113</v>
      </c>
      <c r="Q4641" t="s">
        <v>9632</v>
      </c>
    </row>
    <row r="4642" spans="1:17" x14ac:dyDescent="0.3">
      <c r="A4642" t="s">
        <v>47</v>
      </c>
      <c r="B4642" t="str">
        <f>"300449"</f>
        <v>300449</v>
      </c>
      <c r="C4642" t="s">
        <v>9633</v>
      </c>
      <c r="D4642" t="s">
        <v>523</v>
      </c>
      <c r="E4642">
        <v>587304545</v>
      </c>
      <c r="F4642">
        <v>1435697666</v>
      </c>
      <c r="G4642">
        <v>1689185342</v>
      </c>
      <c r="H4642">
        <v>2227768661</v>
      </c>
      <c r="I4642">
        <v>1705742636</v>
      </c>
      <c r="J4642">
        <v>927575497</v>
      </c>
      <c r="K4642">
        <v>801639101</v>
      </c>
      <c r="L4642">
        <v>523678722</v>
      </c>
      <c r="P4642">
        <v>85</v>
      </c>
      <c r="Q4642" t="s">
        <v>9634</v>
      </c>
    </row>
    <row r="4643" spans="1:17" x14ac:dyDescent="0.3">
      <c r="A4643" t="s">
        <v>47</v>
      </c>
      <c r="B4643" t="str">
        <f>"002808"</f>
        <v>002808</v>
      </c>
      <c r="C4643" t="s">
        <v>9635</v>
      </c>
      <c r="D4643" t="s">
        <v>1487</v>
      </c>
      <c r="E4643">
        <v>586462489</v>
      </c>
      <c r="F4643">
        <v>791098463</v>
      </c>
      <c r="G4643">
        <v>822515253</v>
      </c>
      <c r="H4643">
        <v>680953258</v>
      </c>
      <c r="I4643">
        <v>626478837</v>
      </c>
      <c r="J4643">
        <v>591064920</v>
      </c>
      <c r="K4643">
        <v>338709959</v>
      </c>
      <c r="P4643">
        <v>73</v>
      </c>
      <c r="Q4643" t="s">
        <v>9636</v>
      </c>
    </row>
    <row r="4644" spans="1:17" x14ac:dyDescent="0.3">
      <c r="A4644" t="s">
        <v>47</v>
      </c>
      <c r="B4644" t="str">
        <f>"300615"</f>
        <v>300615</v>
      </c>
      <c r="C4644" t="s">
        <v>9637</v>
      </c>
      <c r="D4644" t="s">
        <v>962</v>
      </c>
      <c r="E4644">
        <v>585078285</v>
      </c>
      <c r="F4644">
        <v>563491202</v>
      </c>
      <c r="G4644">
        <v>542686806</v>
      </c>
      <c r="H4644">
        <v>545354796</v>
      </c>
      <c r="I4644">
        <v>518334303</v>
      </c>
      <c r="J4644">
        <v>561137466</v>
      </c>
      <c r="P4644">
        <v>156</v>
      </c>
      <c r="Q4644" t="s">
        <v>9638</v>
      </c>
    </row>
    <row r="4645" spans="1:17" x14ac:dyDescent="0.3">
      <c r="A4645" t="s">
        <v>47</v>
      </c>
      <c r="B4645" t="str">
        <f>"300553"</f>
        <v>300553</v>
      </c>
      <c r="C4645" t="s">
        <v>9639</v>
      </c>
      <c r="D4645" t="s">
        <v>3722</v>
      </c>
      <c r="E4645">
        <v>584018455</v>
      </c>
      <c r="F4645">
        <v>439109063</v>
      </c>
      <c r="G4645">
        <v>371163195</v>
      </c>
      <c r="H4645">
        <v>360578869</v>
      </c>
      <c r="I4645">
        <v>349856314</v>
      </c>
      <c r="J4645">
        <v>344968052</v>
      </c>
      <c r="P4645">
        <v>72</v>
      </c>
      <c r="Q4645" t="s">
        <v>9640</v>
      </c>
    </row>
    <row r="4646" spans="1:17" x14ac:dyDescent="0.3">
      <c r="A4646" t="s">
        <v>17</v>
      </c>
      <c r="B4646" t="str">
        <f>"600358"</f>
        <v>600358</v>
      </c>
      <c r="C4646" t="s">
        <v>9641</v>
      </c>
      <c r="D4646" t="s">
        <v>1824</v>
      </c>
      <c r="E4646">
        <v>582939215</v>
      </c>
      <c r="F4646">
        <v>529701368</v>
      </c>
      <c r="G4646">
        <v>571894233</v>
      </c>
      <c r="H4646">
        <v>714011921</v>
      </c>
      <c r="I4646">
        <v>910302709</v>
      </c>
      <c r="J4646">
        <v>909311029</v>
      </c>
      <c r="K4646">
        <v>1010807274</v>
      </c>
      <c r="L4646">
        <v>716209961</v>
      </c>
      <c r="M4646">
        <v>910611689</v>
      </c>
      <c r="N4646">
        <v>1264172111</v>
      </c>
      <c r="O4646">
        <v>1016998984</v>
      </c>
      <c r="P4646">
        <v>64</v>
      </c>
      <c r="Q4646" t="s">
        <v>9642</v>
      </c>
    </row>
    <row r="4647" spans="1:17" x14ac:dyDescent="0.3">
      <c r="A4647" t="s">
        <v>47</v>
      </c>
      <c r="B4647" t="str">
        <f>"300521"</f>
        <v>300521</v>
      </c>
      <c r="C4647" t="s">
        <v>9643</v>
      </c>
      <c r="D4647" t="s">
        <v>3237</v>
      </c>
      <c r="E4647">
        <v>582413605</v>
      </c>
      <c r="F4647">
        <v>592006323</v>
      </c>
      <c r="G4647">
        <v>577386428</v>
      </c>
      <c r="H4647">
        <v>578530625</v>
      </c>
      <c r="I4647">
        <v>547539438</v>
      </c>
      <c r="J4647">
        <v>523058272</v>
      </c>
      <c r="K4647">
        <v>291082178</v>
      </c>
      <c r="P4647">
        <v>57</v>
      </c>
      <c r="Q4647" t="s">
        <v>9644</v>
      </c>
    </row>
    <row r="4648" spans="1:17" x14ac:dyDescent="0.3">
      <c r="A4648" t="s">
        <v>17</v>
      </c>
      <c r="B4648" t="str">
        <f>"600678"</f>
        <v>600678</v>
      </c>
      <c r="C4648" t="s">
        <v>9645</v>
      </c>
      <c r="D4648" t="s">
        <v>253</v>
      </c>
      <c r="E4648">
        <v>580093037</v>
      </c>
      <c r="F4648">
        <v>524742240</v>
      </c>
      <c r="G4648">
        <v>498759229</v>
      </c>
      <c r="H4648">
        <v>480953446</v>
      </c>
      <c r="I4648">
        <v>440575260</v>
      </c>
      <c r="J4648">
        <v>340211120</v>
      </c>
      <c r="K4648">
        <v>356426666</v>
      </c>
      <c r="L4648">
        <v>350953380</v>
      </c>
      <c r="M4648">
        <v>329558896</v>
      </c>
      <c r="N4648">
        <v>168287899</v>
      </c>
      <c r="O4648">
        <v>957827505</v>
      </c>
      <c r="P4648">
        <v>194</v>
      </c>
      <c r="Q4648" t="s">
        <v>9646</v>
      </c>
    </row>
    <row r="4649" spans="1:17" x14ac:dyDescent="0.3">
      <c r="A4649" t="s">
        <v>47</v>
      </c>
      <c r="B4649" t="str">
        <f>"300886"</f>
        <v>300886</v>
      </c>
      <c r="C4649" t="s">
        <v>9647</v>
      </c>
      <c r="D4649" t="s">
        <v>2302</v>
      </c>
      <c r="E4649">
        <v>572542760</v>
      </c>
      <c r="F4649">
        <v>560173185</v>
      </c>
      <c r="P4649">
        <v>49</v>
      </c>
      <c r="Q4649" t="s">
        <v>9648</v>
      </c>
    </row>
    <row r="4650" spans="1:17" x14ac:dyDescent="0.3">
      <c r="A4650" t="s">
        <v>47</v>
      </c>
      <c r="B4650" t="str">
        <f>"300345"</f>
        <v>300345</v>
      </c>
      <c r="C4650" t="s">
        <v>9649</v>
      </c>
      <c r="D4650" t="s">
        <v>2646</v>
      </c>
      <c r="E4650">
        <v>571569724</v>
      </c>
      <c r="F4650">
        <v>562147554</v>
      </c>
      <c r="G4650">
        <v>541598317</v>
      </c>
      <c r="H4650">
        <v>631246341</v>
      </c>
      <c r="I4650">
        <v>979336183</v>
      </c>
      <c r="J4650">
        <v>1072492673</v>
      </c>
      <c r="K4650">
        <v>1083916808</v>
      </c>
      <c r="L4650">
        <v>835554250</v>
      </c>
      <c r="M4650">
        <v>821121416</v>
      </c>
      <c r="N4650">
        <v>827740832</v>
      </c>
      <c r="P4650">
        <v>53</v>
      </c>
      <c r="Q4650" t="s">
        <v>9650</v>
      </c>
    </row>
    <row r="4651" spans="1:17" x14ac:dyDescent="0.3">
      <c r="A4651" t="s">
        <v>17</v>
      </c>
      <c r="B4651" t="str">
        <f>"600209"</f>
        <v>600209</v>
      </c>
      <c r="C4651" t="s">
        <v>9651</v>
      </c>
      <c r="D4651" t="s">
        <v>1163</v>
      </c>
      <c r="E4651">
        <v>562127130</v>
      </c>
      <c r="F4651">
        <v>460518216</v>
      </c>
      <c r="G4651">
        <v>636040327</v>
      </c>
      <c r="H4651">
        <v>829559290</v>
      </c>
      <c r="I4651">
        <v>829991163</v>
      </c>
      <c r="J4651">
        <v>910797706</v>
      </c>
      <c r="K4651">
        <v>942097748</v>
      </c>
      <c r="L4651">
        <v>963432067</v>
      </c>
      <c r="M4651">
        <v>1090972274</v>
      </c>
      <c r="N4651">
        <v>1172815218</v>
      </c>
      <c r="O4651">
        <v>1213870786</v>
      </c>
      <c r="P4651">
        <v>49</v>
      </c>
      <c r="Q4651" t="s">
        <v>9652</v>
      </c>
    </row>
    <row r="4652" spans="1:17" x14ac:dyDescent="0.3">
      <c r="A4652" t="s">
        <v>17</v>
      </c>
      <c r="B4652" t="str">
        <f>"600212"</f>
        <v>600212</v>
      </c>
      <c r="C4652" t="s">
        <v>9653</v>
      </c>
      <c r="D4652" t="s">
        <v>810</v>
      </c>
      <c r="E4652">
        <v>558963188</v>
      </c>
      <c r="F4652">
        <v>299698110</v>
      </c>
      <c r="G4652">
        <v>282859965</v>
      </c>
      <c r="H4652">
        <v>576333995</v>
      </c>
      <c r="I4652">
        <v>784909754</v>
      </c>
      <c r="J4652">
        <v>800215737</v>
      </c>
      <c r="K4652">
        <v>739265476</v>
      </c>
      <c r="L4652">
        <v>1120615223</v>
      </c>
      <c r="M4652">
        <v>1212073725</v>
      </c>
      <c r="N4652">
        <v>1195270152</v>
      </c>
      <c r="O4652">
        <v>1260146986</v>
      </c>
      <c r="P4652">
        <v>56</v>
      </c>
      <c r="Q4652" t="s">
        <v>9654</v>
      </c>
    </row>
    <row r="4653" spans="1:17" x14ac:dyDescent="0.3">
      <c r="A4653" t="s">
        <v>17</v>
      </c>
      <c r="B4653" t="str">
        <f>"603655"</f>
        <v>603655</v>
      </c>
      <c r="C4653" t="s">
        <v>9655</v>
      </c>
      <c r="D4653" t="s">
        <v>1815</v>
      </c>
      <c r="E4653">
        <v>558248612</v>
      </c>
      <c r="F4653">
        <v>549490339</v>
      </c>
      <c r="G4653">
        <v>516625965</v>
      </c>
      <c r="H4653">
        <v>512529968</v>
      </c>
      <c r="I4653">
        <v>503431608</v>
      </c>
      <c r="P4653">
        <v>88</v>
      </c>
      <c r="Q4653" t="s">
        <v>9656</v>
      </c>
    </row>
    <row r="4654" spans="1:17" x14ac:dyDescent="0.3">
      <c r="A4654" t="s">
        <v>17</v>
      </c>
      <c r="B4654" t="str">
        <f>"688279"</f>
        <v>688279</v>
      </c>
      <c r="C4654" t="s">
        <v>9657</v>
      </c>
      <c r="E4654">
        <v>553240703</v>
      </c>
      <c r="P4654">
        <v>6</v>
      </c>
      <c r="Q4654" t="s">
        <v>9658</v>
      </c>
    </row>
    <row r="4655" spans="1:17" x14ac:dyDescent="0.3">
      <c r="A4655" t="s">
        <v>47</v>
      </c>
      <c r="B4655" t="str">
        <f>"002076"</f>
        <v>002076</v>
      </c>
      <c r="C4655" t="s">
        <v>9659</v>
      </c>
      <c r="D4655" t="s">
        <v>2170</v>
      </c>
      <c r="E4655">
        <v>552086393</v>
      </c>
      <c r="F4655">
        <v>676904861</v>
      </c>
      <c r="G4655">
        <v>661963159</v>
      </c>
      <c r="H4655">
        <v>1495579512</v>
      </c>
      <c r="I4655">
        <v>2539199592</v>
      </c>
      <c r="J4655">
        <v>1918301012</v>
      </c>
      <c r="K4655">
        <v>1402470009</v>
      </c>
      <c r="L4655">
        <v>1266732495</v>
      </c>
      <c r="M4655">
        <v>563511102</v>
      </c>
      <c r="N4655">
        <v>652980001</v>
      </c>
      <c r="O4655">
        <v>565163012</v>
      </c>
      <c r="P4655">
        <v>100</v>
      </c>
      <c r="Q4655" t="s">
        <v>9660</v>
      </c>
    </row>
    <row r="4656" spans="1:17" x14ac:dyDescent="0.3">
      <c r="A4656" t="s">
        <v>17</v>
      </c>
      <c r="B4656" t="str">
        <f>"603879"</f>
        <v>603879</v>
      </c>
      <c r="C4656" t="s">
        <v>9661</v>
      </c>
      <c r="D4656" t="s">
        <v>2290</v>
      </c>
      <c r="E4656">
        <v>550256059</v>
      </c>
      <c r="F4656">
        <v>584015674</v>
      </c>
      <c r="G4656">
        <v>560126769</v>
      </c>
      <c r="H4656">
        <v>556710396</v>
      </c>
      <c r="I4656">
        <v>576418139</v>
      </c>
      <c r="J4656">
        <v>327116189</v>
      </c>
      <c r="P4656">
        <v>55</v>
      </c>
      <c r="Q4656" t="s">
        <v>9662</v>
      </c>
    </row>
    <row r="4657" spans="1:17" x14ac:dyDescent="0.3">
      <c r="A4657" t="s">
        <v>17</v>
      </c>
      <c r="B4657" t="str">
        <f>"688013"</f>
        <v>688013</v>
      </c>
      <c r="C4657" t="s">
        <v>9663</v>
      </c>
      <c r="D4657" t="s">
        <v>1650</v>
      </c>
      <c r="E4657">
        <v>549441388</v>
      </c>
      <c r="F4657">
        <v>504619933</v>
      </c>
      <c r="G4657">
        <v>128153900</v>
      </c>
      <c r="P4657">
        <v>64</v>
      </c>
      <c r="Q4657" t="s">
        <v>9664</v>
      </c>
    </row>
    <row r="4658" spans="1:17" x14ac:dyDescent="0.3">
      <c r="A4658" t="s">
        <v>47</v>
      </c>
      <c r="B4658" t="str">
        <f>"300354"</f>
        <v>300354</v>
      </c>
      <c r="C4658" t="s">
        <v>9665</v>
      </c>
      <c r="D4658" t="s">
        <v>3722</v>
      </c>
      <c r="E4658">
        <v>545728695</v>
      </c>
      <c r="F4658">
        <v>480732569</v>
      </c>
      <c r="G4658">
        <v>419355389</v>
      </c>
      <c r="H4658">
        <v>392089588</v>
      </c>
      <c r="I4658">
        <v>381238084</v>
      </c>
      <c r="J4658">
        <v>375962202</v>
      </c>
      <c r="K4658">
        <v>367178153</v>
      </c>
      <c r="L4658">
        <v>352723961</v>
      </c>
      <c r="M4658">
        <v>335921924</v>
      </c>
      <c r="N4658">
        <v>343634336</v>
      </c>
      <c r="P4658">
        <v>139</v>
      </c>
      <c r="Q4658" t="s">
        <v>9666</v>
      </c>
    </row>
    <row r="4659" spans="1:17" x14ac:dyDescent="0.3">
      <c r="A4659" t="s">
        <v>17</v>
      </c>
      <c r="B4659" t="str">
        <f>"688067"</f>
        <v>688067</v>
      </c>
      <c r="C4659" t="s">
        <v>9667</v>
      </c>
      <c r="D4659" t="s">
        <v>2322</v>
      </c>
      <c r="E4659">
        <v>544623374</v>
      </c>
      <c r="F4659">
        <v>296667348</v>
      </c>
      <c r="P4659">
        <v>35</v>
      </c>
      <c r="Q4659" t="s">
        <v>9668</v>
      </c>
    </row>
    <row r="4660" spans="1:17" x14ac:dyDescent="0.3">
      <c r="A4660" t="s">
        <v>17</v>
      </c>
      <c r="B4660" t="str">
        <f>"603580"</f>
        <v>603580</v>
      </c>
      <c r="C4660" t="s">
        <v>9669</v>
      </c>
      <c r="D4660" t="s">
        <v>3077</v>
      </c>
      <c r="E4660">
        <v>538175416</v>
      </c>
      <c r="F4660">
        <v>510449251</v>
      </c>
      <c r="G4660">
        <v>462392091</v>
      </c>
      <c r="H4660">
        <v>446012023</v>
      </c>
      <c r="I4660">
        <v>431064470</v>
      </c>
      <c r="J4660">
        <v>250846200</v>
      </c>
      <c r="P4660">
        <v>57</v>
      </c>
      <c r="Q4660" t="s">
        <v>9670</v>
      </c>
    </row>
    <row r="4661" spans="1:17" x14ac:dyDescent="0.3">
      <c r="A4661" t="s">
        <v>47</v>
      </c>
      <c r="B4661" t="str">
        <f>"300461"</f>
        <v>300461</v>
      </c>
      <c r="C4661" t="s">
        <v>9671</v>
      </c>
      <c r="D4661" t="s">
        <v>4037</v>
      </c>
      <c r="E4661">
        <v>537734971</v>
      </c>
      <c r="F4661">
        <v>522581848</v>
      </c>
      <c r="G4661">
        <v>508482841</v>
      </c>
      <c r="H4661">
        <v>1381544357</v>
      </c>
      <c r="I4661">
        <v>1295562284</v>
      </c>
      <c r="J4661">
        <v>992956701</v>
      </c>
      <c r="K4661">
        <v>333320519</v>
      </c>
      <c r="L4661">
        <v>236327337</v>
      </c>
      <c r="P4661">
        <v>153</v>
      </c>
      <c r="Q4661" t="s">
        <v>9672</v>
      </c>
    </row>
    <row r="4662" spans="1:17" x14ac:dyDescent="0.3">
      <c r="A4662" t="s">
        <v>47</v>
      </c>
      <c r="B4662" t="str">
        <f>"002729"</f>
        <v>002729</v>
      </c>
      <c r="C4662" t="s">
        <v>9673</v>
      </c>
      <c r="D4662" t="s">
        <v>1609</v>
      </c>
      <c r="E4662">
        <v>533421858</v>
      </c>
      <c r="F4662">
        <v>469409586</v>
      </c>
      <c r="G4662">
        <v>490489708</v>
      </c>
      <c r="H4662">
        <v>496839884</v>
      </c>
      <c r="I4662">
        <v>447703705</v>
      </c>
      <c r="J4662">
        <v>434360760</v>
      </c>
      <c r="K4662">
        <v>487566298</v>
      </c>
      <c r="L4662">
        <v>474144048</v>
      </c>
      <c r="P4662">
        <v>71</v>
      </c>
      <c r="Q4662" t="s">
        <v>9674</v>
      </c>
    </row>
    <row r="4663" spans="1:17" x14ac:dyDescent="0.3">
      <c r="A4663" t="s">
        <v>47</v>
      </c>
      <c r="B4663" t="str">
        <f>"300795"</f>
        <v>300795</v>
      </c>
      <c r="C4663" t="s">
        <v>9675</v>
      </c>
      <c r="D4663" t="s">
        <v>4441</v>
      </c>
      <c r="E4663">
        <v>533343766</v>
      </c>
      <c r="F4663">
        <v>507270105</v>
      </c>
      <c r="G4663">
        <v>646397125</v>
      </c>
      <c r="P4663">
        <v>109</v>
      </c>
      <c r="Q4663" t="s">
        <v>9676</v>
      </c>
    </row>
    <row r="4664" spans="1:17" x14ac:dyDescent="0.3">
      <c r="A4664" t="s">
        <v>47</v>
      </c>
      <c r="B4664" t="str">
        <f>"000586"</f>
        <v>000586</v>
      </c>
      <c r="C4664" t="s">
        <v>9677</v>
      </c>
      <c r="D4664" t="s">
        <v>828</v>
      </c>
      <c r="E4664">
        <v>533268109</v>
      </c>
      <c r="F4664">
        <v>523813887</v>
      </c>
      <c r="G4664">
        <v>581547471</v>
      </c>
      <c r="H4664">
        <v>573855645</v>
      </c>
      <c r="I4664">
        <v>534925712</v>
      </c>
      <c r="J4664">
        <v>520978675</v>
      </c>
      <c r="K4664">
        <v>491487300</v>
      </c>
      <c r="L4664">
        <v>464800923</v>
      </c>
      <c r="M4664">
        <v>457348911</v>
      </c>
      <c r="N4664">
        <v>472323791</v>
      </c>
      <c r="O4664">
        <v>488042151</v>
      </c>
      <c r="P4664">
        <v>145</v>
      </c>
      <c r="Q4664" t="s">
        <v>9678</v>
      </c>
    </row>
    <row r="4665" spans="1:17" x14ac:dyDescent="0.3">
      <c r="A4665" t="s">
        <v>17</v>
      </c>
      <c r="B4665" t="str">
        <f>"603963"</f>
        <v>603963</v>
      </c>
      <c r="C4665" t="s">
        <v>9679</v>
      </c>
      <c r="D4665" t="s">
        <v>695</v>
      </c>
      <c r="E4665">
        <v>532763510</v>
      </c>
      <c r="F4665">
        <v>587528528</v>
      </c>
      <c r="G4665">
        <v>558915697</v>
      </c>
      <c r="H4665">
        <v>591139628</v>
      </c>
      <c r="I4665">
        <v>626715903</v>
      </c>
      <c r="P4665">
        <v>109</v>
      </c>
      <c r="Q4665" t="s">
        <v>9680</v>
      </c>
    </row>
    <row r="4666" spans="1:17" x14ac:dyDescent="0.3">
      <c r="A4666" t="s">
        <v>47</v>
      </c>
      <c r="B4666" t="str">
        <f>"002248"</f>
        <v>002248</v>
      </c>
      <c r="C4666" t="s">
        <v>9681</v>
      </c>
      <c r="D4666" t="s">
        <v>3186</v>
      </c>
      <c r="E4666">
        <v>531028501</v>
      </c>
      <c r="F4666">
        <v>504418323</v>
      </c>
      <c r="G4666">
        <v>578513939</v>
      </c>
      <c r="H4666">
        <v>738520346</v>
      </c>
      <c r="I4666">
        <v>1464919203</v>
      </c>
      <c r="J4666">
        <v>1829049480</v>
      </c>
      <c r="K4666">
        <v>2130728292</v>
      </c>
      <c r="L4666">
        <v>2392216654</v>
      </c>
      <c r="M4666">
        <v>2666216880</v>
      </c>
      <c r="N4666">
        <v>3077628143</v>
      </c>
      <c r="O4666">
        <v>3073325728</v>
      </c>
      <c r="P4666">
        <v>109</v>
      </c>
      <c r="Q4666" t="s">
        <v>9682</v>
      </c>
    </row>
    <row r="4667" spans="1:17" x14ac:dyDescent="0.3">
      <c r="A4667" t="s">
        <v>47</v>
      </c>
      <c r="B4667" t="str">
        <f>"300417"</f>
        <v>300417</v>
      </c>
      <c r="C4667" t="s">
        <v>9683</v>
      </c>
      <c r="D4667" t="s">
        <v>3722</v>
      </c>
      <c r="E4667">
        <v>527689880</v>
      </c>
      <c r="F4667">
        <v>589508662</v>
      </c>
      <c r="G4667">
        <v>668734972</v>
      </c>
      <c r="H4667">
        <v>487854678</v>
      </c>
      <c r="I4667">
        <v>427790984</v>
      </c>
      <c r="J4667">
        <v>427308734</v>
      </c>
      <c r="K4667">
        <v>383478551</v>
      </c>
      <c r="L4667">
        <v>363527533</v>
      </c>
      <c r="P4667">
        <v>196</v>
      </c>
      <c r="Q4667" t="s">
        <v>9684</v>
      </c>
    </row>
    <row r="4668" spans="1:17" x14ac:dyDescent="0.3">
      <c r="A4668" t="s">
        <v>17</v>
      </c>
      <c r="B4668" t="str">
        <f>"600753"</f>
        <v>600753</v>
      </c>
      <c r="C4668" t="s">
        <v>9685</v>
      </c>
      <c r="D4668" t="s">
        <v>134</v>
      </c>
      <c r="E4668">
        <v>516760750</v>
      </c>
      <c r="F4668">
        <v>452908171</v>
      </c>
      <c r="G4668">
        <v>567934016</v>
      </c>
      <c r="H4668">
        <v>225703082</v>
      </c>
      <c r="I4668">
        <v>236982059</v>
      </c>
      <c r="J4668">
        <v>203584116</v>
      </c>
      <c r="K4668">
        <v>227706710</v>
      </c>
      <c r="L4668">
        <v>229741122</v>
      </c>
      <c r="M4668">
        <v>228932630</v>
      </c>
      <c r="N4668">
        <v>257057064</v>
      </c>
      <c r="O4668">
        <v>222514746</v>
      </c>
      <c r="P4668">
        <v>91</v>
      </c>
      <c r="Q4668" t="s">
        <v>9686</v>
      </c>
    </row>
    <row r="4669" spans="1:17" x14ac:dyDescent="0.3">
      <c r="A4669" t="s">
        <v>47</v>
      </c>
      <c r="B4669" t="str">
        <f>"002211"</f>
        <v>002211</v>
      </c>
      <c r="C4669" t="s">
        <v>9687</v>
      </c>
      <c r="D4669" t="s">
        <v>1833</v>
      </c>
      <c r="E4669">
        <v>504706938</v>
      </c>
      <c r="F4669">
        <v>1138927020</v>
      </c>
      <c r="G4669">
        <v>1011884031</v>
      </c>
      <c r="H4669">
        <v>1136249604</v>
      </c>
      <c r="I4669">
        <v>1257639418</v>
      </c>
      <c r="J4669">
        <v>1135490264</v>
      </c>
      <c r="K4669">
        <v>1123712713</v>
      </c>
      <c r="L4669">
        <v>1194058749</v>
      </c>
      <c r="M4669">
        <v>1380708030</v>
      </c>
      <c r="N4669">
        <v>2654900774</v>
      </c>
      <c r="O4669">
        <v>2555174135</v>
      </c>
      <c r="P4669">
        <v>85</v>
      </c>
      <c r="Q4669" t="s">
        <v>9688</v>
      </c>
    </row>
    <row r="4670" spans="1:17" x14ac:dyDescent="0.3">
      <c r="A4670" t="s">
        <v>17</v>
      </c>
      <c r="B4670" t="str">
        <f>"600301"</f>
        <v>600301</v>
      </c>
      <c r="C4670" t="s">
        <v>9689</v>
      </c>
      <c r="D4670" t="s">
        <v>768</v>
      </c>
      <c r="E4670">
        <v>500425918</v>
      </c>
      <c r="F4670">
        <v>450124452</v>
      </c>
      <c r="G4670">
        <v>403502309</v>
      </c>
      <c r="H4670">
        <v>465916473</v>
      </c>
      <c r="I4670">
        <v>746863078</v>
      </c>
      <c r="J4670">
        <v>903444872</v>
      </c>
      <c r="K4670">
        <v>837135817</v>
      </c>
      <c r="L4670">
        <v>1369819635</v>
      </c>
      <c r="M4670">
        <v>2101560240</v>
      </c>
      <c r="N4670">
        <v>2282710551</v>
      </c>
      <c r="O4670">
        <v>2699884515</v>
      </c>
      <c r="P4670">
        <v>53</v>
      </c>
      <c r="Q4670" t="s">
        <v>9690</v>
      </c>
    </row>
    <row r="4671" spans="1:17" x14ac:dyDescent="0.3">
      <c r="A4671" t="s">
        <v>17</v>
      </c>
      <c r="B4671" t="str">
        <f>"600423"</f>
        <v>600423</v>
      </c>
      <c r="C4671" t="s">
        <v>9691</v>
      </c>
      <c r="D4671" t="s">
        <v>1538</v>
      </c>
      <c r="E4671">
        <v>490905546</v>
      </c>
      <c r="F4671">
        <v>479585458</v>
      </c>
      <c r="G4671">
        <v>476732576</v>
      </c>
      <c r="H4671">
        <v>2470107478</v>
      </c>
      <c r="I4671">
        <v>3274356553</v>
      </c>
      <c r="J4671">
        <v>3743872671</v>
      </c>
      <c r="K4671">
        <v>4637998666</v>
      </c>
      <c r="L4671">
        <v>5600168534</v>
      </c>
      <c r="M4671">
        <v>4439919159</v>
      </c>
      <c r="N4671">
        <v>4554167740</v>
      </c>
      <c r="O4671">
        <v>5193683882</v>
      </c>
      <c r="P4671">
        <v>74</v>
      </c>
      <c r="Q4671" t="s">
        <v>9692</v>
      </c>
    </row>
    <row r="4672" spans="1:17" x14ac:dyDescent="0.3">
      <c r="A4672" t="s">
        <v>47</v>
      </c>
      <c r="B4672" t="str">
        <f>"000638"</f>
        <v>000638</v>
      </c>
      <c r="C4672" t="s">
        <v>9693</v>
      </c>
      <c r="D4672" t="s">
        <v>700</v>
      </c>
      <c r="E4672">
        <v>489243743</v>
      </c>
      <c r="F4672">
        <v>668314774</v>
      </c>
      <c r="G4672">
        <v>510447389</v>
      </c>
      <c r="H4672">
        <v>735196500</v>
      </c>
      <c r="I4672">
        <v>873277243</v>
      </c>
      <c r="J4672">
        <v>1860280969</v>
      </c>
      <c r="K4672">
        <v>2564797730</v>
      </c>
      <c r="L4672">
        <v>2531433300</v>
      </c>
      <c r="M4672">
        <v>1123546560</v>
      </c>
      <c r="N4672">
        <v>1285241644</v>
      </c>
      <c r="O4672">
        <v>789969716</v>
      </c>
      <c r="P4672">
        <v>87</v>
      </c>
      <c r="Q4672" t="s">
        <v>9694</v>
      </c>
    </row>
    <row r="4673" spans="1:17" x14ac:dyDescent="0.3">
      <c r="A4673" t="s">
        <v>47</v>
      </c>
      <c r="B4673" t="str">
        <f>"000995"</f>
        <v>000995</v>
      </c>
      <c r="C4673" t="s">
        <v>9695</v>
      </c>
      <c r="D4673" t="s">
        <v>286</v>
      </c>
      <c r="E4673">
        <v>480883159</v>
      </c>
      <c r="F4673">
        <v>450712274</v>
      </c>
      <c r="G4673">
        <v>411318388</v>
      </c>
      <c r="H4673">
        <v>218727891</v>
      </c>
      <c r="I4673">
        <v>241395919</v>
      </c>
      <c r="J4673">
        <v>371666299</v>
      </c>
      <c r="K4673">
        <v>535306808</v>
      </c>
      <c r="L4673">
        <v>487548192</v>
      </c>
      <c r="M4673">
        <v>503806073</v>
      </c>
      <c r="N4673">
        <v>472719087</v>
      </c>
      <c r="O4673">
        <v>417083727</v>
      </c>
      <c r="P4673">
        <v>175</v>
      </c>
      <c r="Q4673" t="s">
        <v>9696</v>
      </c>
    </row>
    <row r="4674" spans="1:17" x14ac:dyDescent="0.3">
      <c r="A4674" t="s">
        <v>47</v>
      </c>
      <c r="B4674" t="str">
        <f>"002052"</f>
        <v>002052</v>
      </c>
      <c r="C4674" t="s">
        <v>9697</v>
      </c>
      <c r="D4674" t="s">
        <v>2588</v>
      </c>
      <c r="E4674">
        <v>475074652</v>
      </c>
      <c r="F4674">
        <v>698362625</v>
      </c>
      <c r="G4674">
        <v>893473172</v>
      </c>
      <c r="H4674">
        <v>1607517702</v>
      </c>
      <c r="I4674">
        <v>1686654098</v>
      </c>
      <c r="J4674">
        <v>1883992865</v>
      </c>
      <c r="K4674">
        <v>2740295986</v>
      </c>
      <c r="L4674">
        <v>2510099046</v>
      </c>
      <c r="M4674">
        <v>3162240062</v>
      </c>
      <c r="N4674">
        <v>3200786340</v>
      </c>
      <c r="O4674">
        <v>2654736069</v>
      </c>
      <c r="P4674">
        <v>76</v>
      </c>
      <c r="Q4674" t="s">
        <v>9698</v>
      </c>
    </row>
    <row r="4675" spans="1:17" x14ac:dyDescent="0.3">
      <c r="A4675" t="s">
        <v>17</v>
      </c>
      <c r="B4675" t="str">
        <f>"600725"</f>
        <v>600725</v>
      </c>
      <c r="C4675" t="s">
        <v>9699</v>
      </c>
      <c r="D4675" t="s">
        <v>1279</v>
      </c>
      <c r="E4675">
        <v>470259654</v>
      </c>
      <c r="F4675">
        <v>404312538</v>
      </c>
      <c r="G4675">
        <v>404151615</v>
      </c>
      <c r="H4675">
        <v>346478207</v>
      </c>
      <c r="I4675">
        <v>342111396</v>
      </c>
      <c r="J4675">
        <v>163721095</v>
      </c>
      <c r="K4675">
        <v>7795190922</v>
      </c>
      <c r="L4675">
        <v>12529217279</v>
      </c>
      <c r="M4675">
        <v>13056933269</v>
      </c>
      <c r="N4675">
        <v>16736627232</v>
      </c>
      <c r="O4675">
        <v>14817475876</v>
      </c>
      <c r="P4675">
        <v>69</v>
      </c>
      <c r="Q4675" t="s">
        <v>9700</v>
      </c>
    </row>
    <row r="4676" spans="1:17" x14ac:dyDescent="0.3">
      <c r="A4676" t="s">
        <v>17</v>
      </c>
      <c r="B4676" t="str">
        <f>"600139"</f>
        <v>600139</v>
      </c>
      <c r="C4676" t="s">
        <v>9701</v>
      </c>
      <c r="D4676" t="s">
        <v>293</v>
      </c>
      <c r="E4676">
        <v>469354449</v>
      </c>
      <c r="F4676">
        <v>2984257853</v>
      </c>
      <c r="G4676">
        <v>3225000189</v>
      </c>
      <c r="H4676">
        <v>3461619101</v>
      </c>
      <c r="I4676">
        <v>4521095426</v>
      </c>
      <c r="J4676">
        <v>5888185386</v>
      </c>
      <c r="K4676">
        <v>7795877205</v>
      </c>
      <c r="L4676">
        <v>6476497062</v>
      </c>
      <c r="M4676">
        <v>2459986839</v>
      </c>
      <c r="N4676">
        <v>2635933291</v>
      </c>
      <c r="O4676">
        <v>1890751820</v>
      </c>
      <c r="P4676">
        <v>90</v>
      </c>
      <c r="Q4676" t="s">
        <v>9702</v>
      </c>
    </row>
    <row r="4677" spans="1:17" x14ac:dyDescent="0.3">
      <c r="A4677" t="s">
        <v>47</v>
      </c>
      <c r="B4677" t="str">
        <f>"002888"</f>
        <v>002888</v>
      </c>
      <c r="C4677" t="s">
        <v>9703</v>
      </c>
      <c r="D4677" t="s">
        <v>1238</v>
      </c>
      <c r="E4677">
        <v>467488240</v>
      </c>
      <c r="F4677">
        <v>502502708</v>
      </c>
      <c r="G4677">
        <v>489530483</v>
      </c>
      <c r="H4677">
        <v>492985795</v>
      </c>
      <c r="I4677">
        <v>492653688</v>
      </c>
      <c r="J4677">
        <v>306863323</v>
      </c>
      <c r="P4677">
        <v>80</v>
      </c>
      <c r="Q4677" t="s">
        <v>9704</v>
      </c>
    </row>
    <row r="4678" spans="1:17" x14ac:dyDescent="0.3">
      <c r="A4678" t="s">
        <v>47</v>
      </c>
      <c r="B4678" t="str">
        <f>"002816"</f>
        <v>002816</v>
      </c>
      <c r="C4678" t="s">
        <v>9705</v>
      </c>
      <c r="D4678" t="s">
        <v>1973</v>
      </c>
      <c r="E4678">
        <v>463028246</v>
      </c>
      <c r="F4678">
        <v>585242057</v>
      </c>
      <c r="G4678">
        <v>520540122</v>
      </c>
      <c r="H4678">
        <v>646366497</v>
      </c>
      <c r="I4678">
        <v>721841294</v>
      </c>
      <c r="J4678">
        <v>697977417</v>
      </c>
      <c r="P4678">
        <v>46</v>
      </c>
      <c r="Q4678" t="s">
        <v>9706</v>
      </c>
    </row>
    <row r="4679" spans="1:17" x14ac:dyDescent="0.3">
      <c r="A4679" t="s">
        <v>47</v>
      </c>
      <c r="B4679" t="str">
        <f>"002836"</f>
        <v>002836</v>
      </c>
      <c r="C4679" t="s">
        <v>9707</v>
      </c>
      <c r="D4679" t="s">
        <v>1842</v>
      </c>
      <c r="E4679">
        <v>435987732</v>
      </c>
      <c r="F4679">
        <v>505863062</v>
      </c>
      <c r="G4679">
        <v>543091899</v>
      </c>
      <c r="H4679">
        <v>869766117</v>
      </c>
      <c r="I4679">
        <v>508750467</v>
      </c>
      <c r="J4679">
        <v>489071856</v>
      </c>
      <c r="P4679">
        <v>63</v>
      </c>
      <c r="Q4679" t="s">
        <v>9708</v>
      </c>
    </row>
    <row r="4680" spans="1:17" x14ac:dyDescent="0.3">
      <c r="A4680" t="s">
        <v>47</v>
      </c>
      <c r="B4680" t="str">
        <f>"000687"</f>
        <v>000687</v>
      </c>
      <c r="C4680" t="s">
        <v>9709</v>
      </c>
      <c r="D4680" t="s">
        <v>570</v>
      </c>
      <c r="E4680">
        <v>431030199</v>
      </c>
      <c r="F4680">
        <v>921746179</v>
      </c>
      <c r="G4680">
        <v>1674985564</v>
      </c>
      <c r="H4680">
        <v>3995096928</v>
      </c>
      <c r="I4680">
        <v>4502936250</v>
      </c>
      <c r="J4680">
        <v>3773143971</v>
      </c>
      <c r="K4680">
        <v>2869689150</v>
      </c>
      <c r="L4680">
        <v>2559246069</v>
      </c>
      <c r="M4680">
        <v>2742998691</v>
      </c>
      <c r="N4680">
        <v>2877632054</v>
      </c>
      <c r="O4680">
        <v>1956687915</v>
      </c>
      <c r="P4680">
        <v>86</v>
      </c>
      <c r="Q4680" t="s">
        <v>9710</v>
      </c>
    </row>
    <row r="4681" spans="1:17" x14ac:dyDescent="0.3">
      <c r="A4681" t="s">
        <v>47</v>
      </c>
      <c r="B4681" t="str">
        <f>"300069"</f>
        <v>300069</v>
      </c>
      <c r="C4681" t="s">
        <v>9711</v>
      </c>
      <c r="D4681" t="s">
        <v>1616</v>
      </c>
      <c r="E4681">
        <v>430091479</v>
      </c>
      <c r="F4681">
        <v>511051136</v>
      </c>
      <c r="G4681">
        <v>570350566</v>
      </c>
      <c r="H4681">
        <v>586748469</v>
      </c>
      <c r="I4681">
        <v>816873068</v>
      </c>
      <c r="J4681">
        <v>888865584</v>
      </c>
      <c r="K4681">
        <v>696669315</v>
      </c>
      <c r="L4681">
        <v>658753491</v>
      </c>
      <c r="M4681">
        <v>699586940</v>
      </c>
      <c r="N4681">
        <v>711664834</v>
      </c>
      <c r="O4681">
        <v>662774567</v>
      </c>
      <c r="P4681">
        <v>57</v>
      </c>
      <c r="Q4681" t="s">
        <v>9712</v>
      </c>
    </row>
    <row r="4682" spans="1:17" x14ac:dyDescent="0.3">
      <c r="A4682" t="s">
        <v>47</v>
      </c>
      <c r="B4682" t="str">
        <f>"301288"</f>
        <v>301288</v>
      </c>
      <c r="C4682" t="s">
        <v>9713</v>
      </c>
      <c r="E4682">
        <v>426295085</v>
      </c>
      <c r="P4682">
        <v>4</v>
      </c>
      <c r="Q4682" t="s">
        <v>9714</v>
      </c>
    </row>
    <row r="4683" spans="1:17" x14ac:dyDescent="0.3">
      <c r="A4683" t="s">
        <v>47</v>
      </c>
      <c r="B4683" t="str">
        <f>"000007"</f>
        <v>000007</v>
      </c>
      <c r="C4683" t="s">
        <v>9715</v>
      </c>
      <c r="D4683" t="s">
        <v>454</v>
      </c>
      <c r="E4683">
        <v>425590081</v>
      </c>
      <c r="F4683">
        <v>378951295</v>
      </c>
      <c r="G4683">
        <v>497875199</v>
      </c>
      <c r="H4683">
        <v>396231212</v>
      </c>
      <c r="I4683">
        <v>429460505</v>
      </c>
      <c r="J4683">
        <v>485291126</v>
      </c>
      <c r="K4683">
        <v>558097640</v>
      </c>
      <c r="L4683">
        <v>670028897</v>
      </c>
      <c r="M4683">
        <v>693862589</v>
      </c>
      <c r="N4683">
        <v>657434334</v>
      </c>
      <c r="O4683">
        <v>425895328</v>
      </c>
      <c r="P4683">
        <v>93</v>
      </c>
      <c r="Q4683" t="s">
        <v>9716</v>
      </c>
    </row>
    <row r="4684" spans="1:17" x14ac:dyDescent="0.3">
      <c r="A4684" t="s">
        <v>47</v>
      </c>
      <c r="B4684" t="str">
        <f>"000606"</f>
        <v>000606</v>
      </c>
      <c r="C4684" t="s">
        <v>9717</v>
      </c>
      <c r="D4684" t="s">
        <v>700</v>
      </c>
      <c r="E4684">
        <v>416877254</v>
      </c>
      <c r="F4684">
        <v>1289075938</v>
      </c>
      <c r="G4684">
        <v>2893003905</v>
      </c>
      <c r="H4684">
        <v>4426547076</v>
      </c>
      <c r="I4684">
        <v>3634291270</v>
      </c>
      <c r="J4684">
        <v>3081820914</v>
      </c>
      <c r="K4684">
        <v>948249621</v>
      </c>
      <c r="L4684">
        <v>1323477637</v>
      </c>
      <c r="M4684">
        <v>1432484000</v>
      </c>
      <c r="N4684">
        <v>1561537332</v>
      </c>
      <c r="O4684">
        <v>1079136082</v>
      </c>
      <c r="P4684">
        <v>99</v>
      </c>
      <c r="Q4684" t="s">
        <v>9718</v>
      </c>
    </row>
    <row r="4685" spans="1:17" x14ac:dyDescent="0.3">
      <c r="A4685" t="s">
        <v>17</v>
      </c>
      <c r="B4685" t="str">
        <f>"600892"</f>
        <v>600892</v>
      </c>
      <c r="C4685" t="s">
        <v>9719</v>
      </c>
      <c r="D4685" t="s">
        <v>1032</v>
      </c>
      <c r="E4685">
        <v>415384657</v>
      </c>
      <c r="F4685">
        <v>573555526</v>
      </c>
      <c r="G4685">
        <v>651534124</v>
      </c>
      <c r="H4685">
        <v>1329980451</v>
      </c>
      <c r="I4685">
        <v>2727151798</v>
      </c>
      <c r="J4685">
        <v>2641308474</v>
      </c>
      <c r="K4685">
        <v>2755553565</v>
      </c>
      <c r="L4685">
        <v>127189420</v>
      </c>
      <c r="M4685">
        <v>187012010</v>
      </c>
      <c r="N4685">
        <v>261968971</v>
      </c>
      <c r="O4685">
        <v>240861860</v>
      </c>
      <c r="P4685">
        <v>85</v>
      </c>
      <c r="Q4685" t="s">
        <v>9720</v>
      </c>
    </row>
    <row r="4686" spans="1:17" x14ac:dyDescent="0.3">
      <c r="A4686" t="s">
        <v>17</v>
      </c>
      <c r="B4686" t="str">
        <f>"603991"</f>
        <v>603991</v>
      </c>
      <c r="C4686" t="s">
        <v>9721</v>
      </c>
      <c r="D4686" t="s">
        <v>3077</v>
      </c>
      <c r="E4686">
        <v>415252774</v>
      </c>
      <c r="F4686">
        <v>542346078</v>
      </c>
      <c r="G4686">
        <v>713907961</v>
      </c>
      <c r="H4686">
        <v>829450984</v>
      </c>
      <c r="I4686">
        <v>644448680</v>
      </c>
      <c r="J4686">
        <v>573953671</v>
      </c>
      <c r="P4686">
        <v>96</v>
      </c>
      <c r="Q4686" t="s">
        <v>9722</v>
      </c>
    </row>
    <row r="4687" spans="1:17" x14ac:dyDescent="0.3">
      <c r="A4687" t="s">
        <v>47</v>
      </c>
      <c r="B4687" t="str">
        <f>"301162"</f>
        <v>301162</v>
      </c>
      <c r="C4687" t="s">
        <v>9723</v>
      </c>
      <c r="E4687">
        <v>411851796</v>
      </c>
      <c r="P4687">
        <v>2</v>
      </c>
      <c r="Q4687" t="s">
        <v>9724</v>
      </c>
    </row>
    <row r="4688" spans="1:17" x14ac:dyDescent="0.3">
      <c r="A4688" t="s">
        <v>47</v>
      </c>
      <c r="B4688" t="str">
        <f>"000953"</f>
        <v>000953</v>
      </c>
      <c r="C4688" t="s">
        <v>9725</v>
      </c>
      <c r="D4688" t="s">
        <v>1538</v>
      </c>
      <c r="E4688">
        <v>402911395</v>
      </c>
      <c r="F4688">
        <v>396787379</v>
      </c>
      <c r="G4688">
        <v>474902780</v>
      </c>
      <c r="H4688">
        <v>415900081</v>
      </c>
      <c r="I4688">
        <v>653252420</v>
      </c>
      <c r="J4688">
        <v>722687151</v>
      </c>
      <c r="K4688">
        <v>1321357155</v>
      </c>
      <c r="L4688">
        <v>1546023593</v>
      </c>
      <c r="M4688">
        <v>2082089788</v>
      </c>
      <c r="N4688">
        <v>2163086904</v>
      </c>
      <c r="O4688">
        <v>1747199412</v>
      </c>
      <c r="P4688">
        <v>90</v>
      </c>
      <c r="Q4688" t="s">
        <v>9726</v>
      </c>
    </row>
    <row r="4689" spans="1:17" x14ac:dyDescent="0.3">
      <c r="A4689" t="s">
        <v>17</v>
      </c>
      <c r="B4689" t="str">
        <f>"600671"</f>
        <v>600671</v>
      </c>
      <c r="C4689" t="s">
        <v>9727</v>
      </c>
      <c r="D4689" t="s">
        <v>695</v>
      </c>
      <c r="E4689">
        <v>390946509</v>
      </c>
      <c r="F4689">
        <v>440790501</v>
      </c>
      <c r="G4689">
        <v>525132839</v>
      </c>
      <c r="H4689">
        <v>479185025</v>
      </c>
      <c r="I4689">
        <v>501103059</v>
      </c>
      <c r="J4689">
        <v>284139385</v>
      </c>
      <c r="K4689">
        <v>302071710</v>
      </c>
      <c r="L4689">
        <v>277140972</v>
      </c>
      <c r="M4689">
        <v>300134876</v>
      </c>
      <c r="N4689">
        <v>311655361</v>
      </c>
      <c r="O4689">
        <v>335341140</v>
      </c>
      <c r="P4689">
        <v>104</v>
      </c>
      <c r="Q4689" t="s">
        <v>9728</v>
      </c>
    </row>
    <row r="4690" spans="1:17" x14ac:dyDescent="0.3">
      <c r="A4690" t="s">
        <v>17</v>
      </c>
      <c r="B4690" t="str">
        <f>"600647"</f>
        <v>600647</v>
      </c>
      <c r="C4690" t="s">
        <v>9729</v>
      </c>
      <c r="D4690" t="s">
        <v>810</v>
      </c>
      <c r="E4690">
        <v>389276006</v>
      </c>
      <c r="F4690">
        <v>504719290</v>
      </c>
      <c r="G4690">
        <v>489495501</v>
      </c>
      <c r="H4690">
        <v>501133976</v>
      </c>
      <c r="I4690">
        <v>548484200</v>
      </c>
      <c r="J4690">
        <v>606002403</v>
      </c>
      <c r="K4690">
        <v>532090845</v>
      </c>
      <c r="L4690">
        <v>535497476</v>
      </c>
      <c r="M4690">
        <v>428280335</v>
      </c>
      <c r="N4690">
        <v>456616308</v>
      </c>
      <c r="O4690">
        <v>513927143</v>
      </c>
      <c r="P4690">
        <v>75</v>
      </c>
      <c r="Q4690" t="s">
        <v>9730</v>
      </c>
    </row>
    <row r="4691" spans="1:17" x14ac:dyDescent="0.3">
      <c r="A4691" t="s">
        <v>17</v>
      </c>
      <c r="B4691" t="str">
        <f>"600355"</f>
        <v>600355</v>
      </c>
      <c r="C4691" t="s">
        <v>9731</v>
      </c>
      <c r="D4691" t="s">
        <v>962</v>
      </c>
      <c r="E4691">
        <v>386361916</v>
      </c>
      <c r="F4691">
        <v>431152419</v>
      </c>
      <c r="G4691">
        <v>452676300</v>
      </c>
      <c r="H4691">
        <v>522597453</v>
      </c>
      <c r="I4691">
        <v>560151672</v>
      </c>
      <c r="J4691">
        <v>578510561</v>
      </c>
      <c r="K4691">
        <v>596714538</v>
      </c>
      <c r="L4691">
        <v>624335705</v>
      </c>
      <c r="M4691">
        <v>542688551</v>
      </c>
      <c r="N4691">
        <v>547155780</v>
      </c>
      <c r="O4691">
        <v>539217656</v>
      </c>
      <c r="P4691">
        <v>109</v>
      </c>
      <c r="Q4691" t="s">
        <v>9732</v>
      </c>
    </row>
    <row r="4692" spans="1:17" x14ac:dyDescent="0.3">
      <c r="A4692" t="s">
        <v>47</v>
      </c>
      <c r="B4692" t="str">
        <f>"300526"</f>
        <v>300526</v>
      </c>
      <c r="C4692" t="s">
        <v>9733</v>
      </c>
      <c r="D4692" t="s">
        <v>4276</v>
      </c>
      <c r="E4692">
        <v>384986896</v>
      </c>
      <c r="F4692">
        <v>634423425</v>
      </c>
      <c r="G4692">
        <v>1081837629</v>
      </c>
      <c r="H4692">
        <v>1118231248</v>
      </c>
      <c r="I4692">
        <v>877753589</v>
      </c>
      <c r="J4692">
        <v>720785624</v>
      </c>
      <c r="K4692">
        <v>600744974</v>
      </c>
      <c r="P4692">
        <v>104</v>
      </c>
      <c r="Q4692" t="s">
        <v>9734</v>
      </c>
    </row>
    <row r="4693" spans="1:17" x14ac:dyDescent="0.3">
      <c r="A4693" t="s">
        <v>47</v>
      </c>
      <c r="B4693" t="str">
        <f>"300220"</f>
        <v>300220</v>
      </c>
      <c r="C4693" t="s">
        <v>9735</v>
      </c>
      <c r="D4693" t="s">
        <v>1296</v>
      </c>
      <c r="E4693">
        <v>383181617</v>
      </c>
      <c r="F4693">
        <v>420406370</v>
      </c>
      <c r="G4693">
        <v>369657663</v>
      </c>
      <c r="H4693">
        <v>365794268</v>
      </c>
      <c r="I4693">
        <v>344656067</v>
      </c>
      <c r="J4693">
        <v>456086464</v>
      </c>
      <c r="K4693">
        <v>467880755</v>
      </c>
      <c r="L4693">
        <v>424517585</v>
      </c>
      <c r="M4693">
        <v>414102611</v>
      </c>
      <c r="N4693">
        <v>369067722</v>
      </c>
      <c r="O4693">
        <v>325782666</v>
      </c>
      <c r="P4693">
        <v>91</v>
      </c>
      <c r="Q4693" t="s">
        <v>9736</v>
      </c>
    </row>
    <row r="4694" spans="1:17" x14ac:dyDescent="0.3">
      <c r="A4694" t="s">
        <v>47</v>
      </c>
      <c r="B4694" t="str">
        <f>"300478"</f>
        <v>300478</v>
      </c>
      <c r="C4694" t="s">
        <v>9737</v>
      </c>
      <c r="D4694" t="s">
        <v>833</v>
      </c>
      <c r="E4694">
        <v>375044129</v>
      </c>
      <c r="F4694">
        <v>393424907</v>
      </c>
      <c r="G4694">
        <v>656419379</v>
      </c>
      <c r="H4694">
        <v>1103038828</v>
      </c>
      <c r="I4694">
        <v>1371866909</v>
      </c>
      <c r="J4694">
        <v>608396202</v>
      </c>
      <c r="K4694">
        <v>591832501</v>
      </c>
      <c r="L4694">
        <v>417667300</v>
      </c>
      <c r="P4694">
        <v>58</v>
      </c>
      <c r="Q4694" t="s">
        <v>9738</v>
      </c>
    </row>
    <row r="4695" spans="1:17" x14ac:dyDescent="0.3">
      <c r="A4695" t="s">
        <v>47</v>
      </c>
      <c r="B4695" t="str">
        <f>"000502"</f>
        <v>000502</v>
      </c>
      <c r="C4695" t="s">
        <v>9739</v>
      </c>
      <c r="D4695" t="s">
        <v>1988</v>
      </c>
      <c r="E4695">
        <v>362583550</v>
      </c>
      <c r="F4695">
        <v>223964790</v>
      </c>
      <c r="G4695">
        <v>244656507</v>
      </c>
      <c r="H4695">
        <v>254881167</v>
      </c>
      <c r="I4695">
        <v>508316632</v>
      </c>
      <c r="J4695">
        <v>556417392</v>
      </c>
      <c r="K4695">
        <v>488336765</v>
      </c>
      <c r="L4695">
        <v>265925201</v>
      </c>
      <c r="M4695">
        <v>297233934</v>
      </c>
      <c r="N4695">
        <v>297405661</v>
      </c>
      <c r="O4695">
        <v>418910469</v>
      </c>
      <c r="P4695">
        <v>85</v>
      </c>
      <c r="Q4695" t="s">
        <v>9740</v>
      </c>
    </row>
    <row r="4696" spans="1:17" x14ac:dyDescent="0.3">
      <c r="A4696" t="s">
        <v>17</v>
      </c>
      <c r="B4696" t="str">
        <f>"600462"</f>
        <v>600462</v>
      </c>
      <c r="C4696" t="s">
        <v>9741</v>
      </c>
      <c r="D4696" t="s">
        <v>962</v>
      </c>
      <c r="E4696">
        <v>357217284</v>
      </c>
      <c r="F4696">
        <v>318936004</v>
      </c>
      <c r="G4696">
        <v>131317104</v>
      </c>
      <c r="H4696">
        <v>288311059</v>
      </c>
      <c r="I4696">
        <v>4966600912</v>
      </c>
      <c r="J4696">
        <v>450162214</v>
      </c>
      <c r="K4696">
        <v>379851128</v>
      </c>
      <c r="L4696">
        <v>425112944</v>
      </c>
      <c r="M4696">
        <v>476337448</v>
      </c>
      <c r="N4696">
        <v>473653500</v>
      </c>
      <c r="O4696">
        <v>605066336</v>
      </c>
      <c r="P4696">
        <v>51</v>
      </c>
      <c r="Q4696" t="s">
        <v>9742</v>
      </c>
    </row>
    <row r="4697" spans="1:17" x14ac:dyDescent="0.3">
      <c r="A4697" t="s">
        <v>47</v>
      </c>
      <c r="B4697" t="str">
        <f>"002058"</f>
        <v>002058</v>
      </c>
      <c r="C4697" t="s">
        <v>9743</v>
      </c>
      <c r="D4697" t="s">
        <v>2197</v>
      </c>
      <c r="E4697">
        <v>347913199</v>
      </c>
      <c r="F4697">
        <v>216298061</v>
      </c>
      <c r="G4697">
        <v>199269163</v>
      </c>
      <c r="H4697">
        <v>214100865</v>
      </c>
      <c r="I4697">
        <v>213747380</v>
      </c>
      <c r="J4697">
        <v>208122355</v>
      </c>
      <c r="K4697">
        <v>221371628</v>
      </c>
      <c r="L4697">
        <v>228348342</v>
      </c>
      <c r="M4697">
        <v>240906735</v>
      </c>
      <c r="N4697">
        <v>234998949</v>
      </c>
      <c r="O4697">
        <v>253299607</v>
      </c>
      <c r="P4697">
        <v>55</v>
      </c>
      <c r="Q4697" t="s">
        <v>9744</v>
      </c>
    </row>
    <row r="4698" spans="1:17" x14ac:dyDescent="0.3">
      <c r="A4698" t="s">
        <v>47</v>
      </c>
      <c r="B4698" t="str">
        <f>"000622"</f>
        <v>000622</v>
      </c>
      <c r="C4698" t="s">
        <v>9745</v>
      </c>
      <c r="D4698" t="s">
        <v>810</v>
      </c>
      <c r="E4698">
        <v>334654268</v>
      </c>
      <c r="F4698">
        <v>319846479</v>
      </c>
      <c r="G4698">
        <v>332448311</v>
      </c>
      <c r="H4698">
        <v>330441520</v>
      </c>
      <c r="I4698">
        <v>381695033</v>
      </c>
      <c r="J4698">
        <v>452874154</v>
      </c>
      <c r="K4698">
        <v>296889194</v>
      </c>
      <c r="L4698">
        <v>347221018</v>
      </c>
      <c r="M4698">
        <v>431558673</v>
      </c>
      <c r="N4698">
        <v>435090692</v>
      </c>
      <c r="O4698">
        <v>205485737</v>
      </c>
      <c r="P4698">
        <v>101</v>
      </c>
      <c r="Q4698" t="s">
        <v>9746</v>
      </c>
    </row>
    <row r="4699" spans="1:17" x14ac:dyDescent="0.3">
      <c r="A4699" t="s">
        <v>47</v>
      </c>
      <c r="B4699" t="str">
        <f>"002289"</f>
        <v>002289</v>
      </c>
      <c r="C4699" t="s">
        <v>9747</v>
      </c>
      <c r="D4699" t="s">
        <v>181</v>
      </c>
      <c r="E4699">
        <v>329183795</v>
      </c>
      <c r="F4699">
        <v>375187099</v>
      </c>
      <c r="G4699">
        <v>402201356</v>
      </c>
      <c r="H4699">
        <v>541955692</v>
      </c>
      <c r="I4699">
        <v>733269832</v>
      </c>
      <c r="J4699">
        <v>1213850486</v>
      </c>
      <c r="K4699">
        <v>2596099833</v>
      </c>
      <c r="L4699">
        <v>3968016846</v>
      </c>
      <c r="M4699">
        <v>3770611381</v>
      </c>
      <c r="N4699">
        <v>1596820907</v>
      </c>
      <c r="O4699">
        <v>1204109542</v>
      </c>
      <c r="P4699">
        <v>70</v>
      </c>
      <c r="Q4699" t="s">
        <v>9748</v>
      </c>
    </row>
    <row r="4700" spans="1:17" x14ac:dyDescent="0.3">
      <c r="A4700" t="s">
        <v>47</v>
      </c>
      <c r="B4700" t="str">
        <f>"002569"</f>
        <v>002569</v>
      </c>
      <c r="C4700" t="s">
        <v>9749</v>
      </c>
      <c r="D4700" t="s">
        <v>628</v>
      </c>
      <c r="E4700">
        <v>328451675</v>
      </c>
      <c r="F4700">
        <v>357384642</v>
      </c>
      <c r="G4700">
        <v>621238799</v>
      </c>
      <c r="H4700">
        <v>667361069</v>
      </c>
      <c r="I4700">
        <v>672544033</v>
      </c>
      <c r="J4700">
        <v>696546121</v>
      </c>
      <c r="K4700">
        <v>671743778</v>
      </c>
      <c r="L4700">
        <v>772281411</v>
      </c>
      <c r="M4700">
        <v>903641577</v>
      </c>
      <c r="N4700">
        <v>890752818</v>
      </c>
      <c r="O4700">
        <v>893030647</v>
      </c>
      <c r="P4700">
        <v>59</v>
      </c>
      <c r="Q4700" t="s">
        <v>9750</v>
      </c>
    </row>
    <row r="4701" spans="1:17" x14ac:dyDescent="0.3">
      <c r="A4701" t="s">
        <v>47</v>
      </c>
      <c r="B4701" t="str">
        <f>"002629"</f>
        <v>002629</v>
      </c>
      <c r="C4701" t="s">
        <v>9751</v>
      </c>
      <c r="D4701" t="s">
        <v>655</v>
      </c>
      <c r="E4701">
        <v>322244698</v>
      </c>
      <c r="F4701">
        <v>362503043</v>
      </c>
      <c r="G4701">
        <v>359471989</v>
      </c>
      <c r="H4701">
        <v>304640093</v>
      </c>
      <c r="I4701">
        <v>780225581</v>
      </c>
      <c r="J4701">
        <v>772654144</v>
      </c>
      <c r="K4701">
        <v>744175879</v>
      </c>
      <c r="L4701">
        <v>996988587</v>
      </c>
      <c r="M4701">
        <v>1006247728</v>
      </c>
      <c r="N4701">
        <v>954044685</v>
      </c>
      <c r="O4701">
        <v>899977665</v>
      </c>
      <c r="P4701">
        <v>60</v>
      </c>
      <c r="Q4701" t="s">
        <v>9752</v>
      </c>
    </row>
    <row r="4702" spans="1:17" x14ac:dyDescent="0.3">
      <c r="A4702" t="s">
        <v>47</v>
      </c>
      <c r="B4702" t="str">
        <f>"300492"</f>
        <v>300492</v>
      </c>
      <c r="C4702" t="s">
        <v>9753</v>
      </c>
      <c r="D4702" t="s">
        <v>2178</v>
      </c>
      <c r="E4702">
        <v>320869610</v>
      </c>
      <c r="F4702">
        <v>325115313</v>
      </c>
      <c r="G4702">
        <v>351662522</v>
      </c>
      <c r="H4702">
        <v>427011658</v>
      </c>
      <c r="I4702">
        <v>374778869</v>
      </c>
      <c r="J4702">
        <v>342557862</v>
      </c>
      <c r="K4702">
        <v>364919593</v>
      </c>
      <c r="L4702">
        <v>260798217</v>
      </c>
      <c r="P4702">
        <v>94</v>
      </c>
      <c r="Q4702" t="s">
        <v>9754</v>
      </c>
    </row>
    <row r="4703" spans="1:17" x14ac:dyDescent="0.3">
      <c r="A4703" t="s">
        <v>17</v>
      </c>
      <c r="B4703" t="str">
        <f>"600767"</f>
        <v>600767</v>
      </c>
      <c r="C4703" t="s">
        <v>9755</v>
      </c>
      <c r="D4703" t="s">
        <v>362</v>
      </c>
      <c r="E4703">
        <v>308483702</v>
      </c>
      <c r="F4703">
        <v>320599006</v>
      </c>
      <c r="G4703">
        <v>344284654</v>
      </c>
      <c r="H4703">
        <v>469037409</v>
      </c>
      <c r="I4703">
        <v>470373128</v>
      </c>
      <c r="J4703">
        <v>622547820</v>
      </c>
      <c r="K4703">
        <v>611263894</v>
      </c>
      <c r="L4703">
        <v>606076551</v>
      </c>
      <c r="M4703">
        <v>582830398</v>
      </c>
      <c r="N4703">
        <v>636570241</v>
      </c>
      <c r="O4703">
        <v>784062063</v>
      </c>
      <c r="P4703">
        <v>62</v>
      </c>
      <c r="Q4703" t="s">
        <v>9756</v>
      </c>
    </row>
    <row r="4704" spans="1:17" x14ac:dyDescent="0.3">
      <c r="A4704" t="s">
        <v>47</v>
      </c>
      <c r="B4704" t="str">
        <f>"002207"</f>
        <v>002207</v>
      </c>
      <c r="C4704" t="s">
        <v>9757</v>
      </c>
      <c r="D4704" t="s">
        <v>655</v>
      </c>
      <c r="E4704">
        <v>302547763</v>
      </c>
      <c r="F4704">
        <v>411335273</v>
      </c>
      <c r="G4704">
        <v>384141554</v>
      </c>
      <c r="H4704">
        <v>334050912</v>
      </c>
      <c r="I4704">
        <v>672006323</v>
      </c>
      <c r="J4704">
        <v>852960496</v>
      </c>
      <c r="K4704">
        <v>891922042</v>
      </c>
      <c r="L4704">
        <v>898646197</v>
      </c>
      <c r="M4704">
        <v>810021200</v>
      </c>
      <c r="N4704">
        <v>555143956</v>
      </c>
      <c r="O4704">
        <v>584678444</v>
      </c>
      <c r="P4704">
        <v>73</v>
      </c>
      <c r="Q4704" t="s">
        <v>9758</v>
      </c>
    </row>
    <row r="4705" spans="1:17" x14ac:dyDescent="0.3">
      <c r="A4705" t="s">
        <v>17</v>
      </c>
      <c r="B4705" t="str">
        <f>"600265"</f>
        <v>600265</v>
      </c>
      <c r="C4705" t="s">
        <v>9759</v>
      </c>
      <c r="D4705" t="s">
        <v>4907</v>
      </c>
      <c r="E4705">
        <v>299509749</v>
      </c>
      <c r="F4705">
        <v>297627376</v>
      </c>
      <c r="G4705">
        <v>322763713</v>
      </c>
      <c r="H4705">
        <v>322689819</v>
      </c>
      <c r="I4705">
        <v>321049868</v>
      </c>
      <c r="J4705">
        <v>327181799</v>
      </c>
      <c r="K4705">
        <v>347627105</v>
      </c>
      <c r="L4705">
        <v>426032454</v>
      </c>
      <c r="M4705">
        <v>509258685</v>
      </c>
      <c r="N4705">
        <v>509513937</v>
      </c>
      <c r="O4705">
        <v>593166794</v>
      </c>
      <c r="P4705">
        <v>46</v>
      </c>
      <c r="Q4705" t="s">
        <v>9760</v>
      </c>
    </row>
    <row r="4706" spans="1:17" x14ac:dyDescent="0.3">
      <c r="A4706" t="s">
        <v>17</v>
      </c>
      <c r="B4706" t="str">
        <f>"600768"</f>
        <v>600768</v>
      </c>
      <c r="C4706" t="s">
        <v>9761</v>
      </c>
      <c r="D4706" t="s">
        <v>346</v>
      </c>
      <c r="E4706">
        <v>298747741</v>
      </c>
      <c r="F4706">
        <v>395184964</v>
      </c>
      <c r="G4706">
        <v>369697036</v>
      </c>
      <c r="H4706">
        <v>669480314</v>
      </c>
      <c r="I4706">
        <v>541410323</v>
      </c>
      <c r="J4706">
        <v>686871075</v>
      </c>
      <c r="K4706">
        <v>617819665</v>
      </c>
      <c r="L4706">
        <v>688135298</v>
      </c>
      <c r="M4706">
        <v>702834503</v>
      </c>
      <c r="N4706">
        <v>656352605</v>
      </c>
      <c r="O4706">
        <v>665708799</v>
      </c>
      <c r="P4706">
        <v>88</v>
      </c>
      <c r="Q4706" t="s">
        <v>9762</v>
      </c>
    </row>
    <row r="4707" spans="1:17" x14ac:dyDescent="0.3">
      <c r="A4707" t="s">
        <v>47</v>
      </c>
      <c r="B4707" t="str">
        <f>"300264"</f>
        <v>300264</v>
      </c>
      <c r="C4707" t="s">
        <v>9763</v>
      </c>
      <c r="D4707" t="s">
        <v>700</v>
      </c>
      <c r="E4707">
        <v>290357535</v>
      </c>
      <c r="F4707">
        <v>376193596</v>
      </c>
      <c r="G4707">
        <v>458394164</v>
      </c>
      <c r="H4707">
        <v>790419555</v>
      </c>
      <c r="I4707">
        <v>915576026</v>
      </c>
      <c r="J4707">
        <v>856940185</v>
      </c>
      <c r="K4707">
        <v>641391023</v>
      </c>
      <c r="L4707">
        <v>657954304</v>
      </c>
      <c r="M4707">
        <v>626053686</v>
      </c>
      <c r="N4707">
        <v>619000905</v>
      </c>
      <c r="O4707">
        <v>625554487</v>
      </c>
      <c r="P4707">
        <v>132</v>
      </c>
      <c r="Q4707" t="s">
        <v>9764</v>
      </c>
    </row>
    <row r="4708" spans="1:17" x14ac:dyDescent="0.3">
      <c r="A4708" t="s">
        <v>17</v>
      </c>
      <c r="B4708" t="str">
        <f>"688325"</f>
        <v>688325</v>
      </c>
      <c r="C4708" t="s">
        <v>9765</v>
      </c>
      <c r="E4708">
        <v>286231672</v>
      </c>
      <c r="P4708">
        <v>3</v>
      </c>
      <c r="Q4708" t="s">
        <v>9766</v>
      </c>
    </row>
    <row r="4709" spans="1:17" x14ac:dyDescent="0.3">
      <c r="A4709" t="s">
        <v>47</v>
      </c>
      <c r="B4709" t="str">
        <f>"000820"</f>
        <v>000820</v>
      </c>
      <c r="C4709" t="s">
        <v>9767</v>
      </c>
      <c r="D4709" t="s">
        <v>1310</v>
      </c>
      <c r="E4709">
        <v>278095193</v>
      </c>
      <c r="F4709">
        <v>12628055</v>
      </c>
      <c r="G4709">
        <v>65463598</v>
      </c>
      <c r="H4709">
        <v>1866015943</v>
      </c>
      <c r="I4709">
        <v>2840413467</v>
      </c>
      <c r="J4709">
        <v>1341792404</v>
      </c>
      <c r="K4709">
        <v>670997272</v>
      </c>
      <c r="L4709">
        <v>718908554</v>
      </c>
      <c r="M4709">
        <v>818405187</v>
      </c>
      <c r="N4709">
        <v>735264510</v>
      </c>
      <c r="O4709">
        <v>1132126821</v>
      </c>
      <c r="P4709">
        <v>156</v>
      </c>
      <c r="Q4709" t="s">
        <v>9768</v>
      </c>
    </row>
    <row r="4710" spans="1:17" x14ac:dyDescent="0.3">
      <c r="A4710" t="s">
        <v>47</v>
      </c>
      <c r="B4710" t="str">
        <f>"300029"</f>
        <v>300029</v>
      </c>
      <c r="C4710" t="s">
        <v>9769</v>
      </c>
      <c r="D4710" t="s">
        <v>1789</v>
      </c>
      <c r="E4710">
        <v>263541095</v>
      </c>
      <c r="F4710">
        <v>184245152</v>
      </c>
      <c r="G4710">
        <v>94178097</v>
      </c>
      <c r="H4710">
        <v>174079217</v>
      </c>
      <c r="I4710">
        <v>427106578</v>
      </c>
      <c r="J4710">
        <v>609230169</v>
      </c>
      <c r="K4710">
        <v>613763182</v>
      </c>
      <c r="L4710">
        <v>1064400126</v>
      </c>
      <c r="M4710">
        <v>1123548629</v>
      </c>
      <c r="N4710">
        <v>1345201487</v>
      </c>
      <c r="O4710">
        <v>1821097616</v>
      </c>
      <c r="P4710">
        <v>66</v>
      </c>
      <c r="Q4710" t="s">
        <v>9770</v>
      </c>
    </row>
    <row r="4711" spans="1:17" x14ac:dyDescent="0.3">
      <c r="A4711" t="s">
        <v>47</v>
      </c>
      <c r="B4711" t="str">
        <f>"002188"</f>
        <v>002188</v>
      </c>
      <c r="C4711" t="s">
        <v>9771</v>
      </c>
      <c r="D4711" t="s">
        <v>1824</v>
      </c>
      <c r="E4711">
        <v>257161666</v>
      </c>
      <c r="F4711">
        <v>54521584</v>
      </c>
      <c r="G4711">
        <v>105051568</v>
      </c>
      <c r="H4711">
        <v>132376795</v>
      </c>
      <c r="I4711">
        <v>665841510</v>
      </c>
      <c r="J4711">
        <v>2369113074</v>
      </c>
      <c r="K4711">
        <v>2201419723</v>
      </c>
      <c r="L4711">
        <v>324460394</v>
      </c>
      <c r="M4711">
        <v>340808545</v>
      </c>
      <c r="N4711">
        <v>343633925</v>
      </c>
      <c r="O4711">
        <v>398921770</v>
      </c>
      <c r="P4711">
        <v>69</v>
      </c>
      <c r="Q4711" t="s">
        <v>9772</v>
      </c>
    </row>
    <row r="4712" spans="1:17" x14ac:dyDescent="0.3">
      <c r="A4712" t="s">
        <v>17</v>
      </c>
      <c r="B4712" t="str">
        <f>"600890"</f>
        <v>600890</v>
      </c>
      <c r="C4712" t="s">
        <v>9773</v>
      </c>
      <c r="D4712" t="s">
        <v>117</v>
      </c>
      <c r="E4712">
        <v>245527231</v>
      </c>
      <c r="F4712">
        <v>242319852</v>
      </c>
      <c r="G4712">
        <v>306181263</v>
      </c>
      <c r="H4712">
        <v>269208815</v>
      </c>
      <c r="I4712">
        <v>307119375</v>
      </c>
      <c r="J4712">
        <v>308189026</v>
      </c>
      <c r="K4712">
        <v>353461339</v>
      </c>
      <c r="L4712">
        <v>398834525</v>
      </c>
      <c r="M4712">
        <v>378396486</v>
      </c>
      <c r="N4712">
        <v>363921413</v>
      </c>
      <c r="O4712">
        <v>381466425</v>
      </c>
      <c r="P4712">
        <v>73</v>
      </c>
      <c r="Q4712" t="s">
        <v>9774</v>
      </c>
    </row>
    <row r="4713" spans="1:17" x14ac:dyDescent="0.3">
      <c r="A4713" t="s">
        <v>47</v>
      </c>
      <c r="B4713" t="str">
        <f>"000633"</f>
        <v>000633</v>
      </c>
      <c r="C4713" t="s">
        <v>9775</v>
      </c>
      <c r="D4713" t="s">
        <v>2432</v>
      </c>
      <c r="E4713">
        <v>233728565</v>
      </c>
      <c r="F4713">
        <v>231828840</v>
      </c>
      <c r="G4713">
        <v>1134836985</v>
      </c>
      <c r="H4713">
        <v>1054816393</v>
      </c>
      <c r="I4713">
        <v>994134381</v>
      </c>
      <c r="J4713">
        <v>953169639</v>
      </c>
      <c r="K4713">
        <v>208317697</v>
      </c>
      <c r="L4713">
        <v>252602827</v>
      </c>
      <c r="M4713">
        <v>290046870</v>
      </c>
      <c r="N4713">
        <v>309783334</v>
      </c>
      <c r="O4713">
        <v>309105832</v>
      </c>
      <c r="P4713">
        <v>72</v>
      </c>
      <c r="Q4713" t="s">
        <v>9776</v>
      </c>
    </row>
    <row r="4714" spans="1:17" x14ac:dyDescent="0.3">
      <c r="A4714" t="s">
        <v>47</v>
      </c>
      <c r="B4714" t="str">
        <f>"002417"</f>
        <v>002417</v>
      </c>
      <c r="C4714" t="s">
        <v>9777</v>
      </c>
      <c r="D4714" t="s">
        <v>700</v>
      </c>
      <c r="E4714">
        <v>224166469</v>
      </c>
      <c r="F4714">
        <v>378443278</v>
      </c>
      <c r="G4714">
        <v>530437910</v>
      </c>
      <c r="H4714">
        <v>433685016</v>
      </c>
      <c r="I4714">
        <v>393382477</v>
      </c>
      <c r="J4714">
        <v>696945460</v>
      </c>
      <c r="K4714">
        <v>961061439</v>
      </c>
      <c r="L4714">
        <v>884649930</v>
      </c>
      <c r="M4714">
        <v>1371520053</v>
      </c>
      <c r="N4714">
        <v>1545922569</v>
      </c>
      <c r="O4714">
        <v>1501527015</v>
      </c>
      <c r="P4714">
        <v>140</v>
      </c>
      <c r="Q4714" t="s">
        <v>9778</v>
      </c>
    </row>
    <row r="4715" spans="1:17" x14ac:dyDescent="0.3">
      <c r="A4715" t="s">
        <v>47</v>
      </c>
      <c r="B4715" t="str">
        <f>"300736"</f>
        <v>300736</v>
      </c>
      <c r="C4715" t="s">
        <v>9779</v>
      </c>
      <c r="D4715" t="s">
        <v>1609</v>
      </c>
      <c r="E4715">
        <v>220006425</v>
      </c>
      <c r="F4715">
        <v>278331558</v>
      </c>
      <c r="G4715">
        <v>337801704</v>
      </c>
      <c r="H4715">
        <v>449953044</v>
      </c>
      <c r="I4715">
        <v>499755344</v>
      </c>
      <c r="P4715">
        <v>114</v>
      </c>
      <c r="Q4715" t="s">
        <v>9780</v>
      </c>
    </row>
    <row r="4716" spans="1:17" x14ac:dyDescent="0.3">
      <c r="A4716" t="s">
        <v>17</v>
      </c>
      <c r="B4716" t="str">
        <f>"600870"</f>
        <v>600870</v>
      </c>
      <c r="C4716" t="s">
        <v>9781</v>
      </c>
      <c r="D4716" t="s">
        <v>768</v>
      </c>
      <c r="E4716">
        <v>219908963</v>
      </c>
      <c r="F4716">
        <v>47707822</v>
      </c>
      <c r="G4716">
        <v>38803342</v>
      </c>
      <c r="H4716">
        <v>65718162</v>
      </c>
      <c r="I4716">
        <v>54107873</v>
      </c>
      <c r="J4716">
        <v>52057361</v>
      </c>
      <c r="K4716">
        <v>38162118</v>
      </c>
      <c r="L4716">
        <v>33208543</v>
      </c>
      <c r="M4716">
        <v>545700850</v>
      </c>
      <c r="N4716">
        <v>971033115</v>
      </c>
      <c r="O4716">
        <v>1350507176</v>
      </c>
      <c r="P4716">
        <v>55</v>
      </c>
      <c r="Q4716" t="s">
        <v>9782</v>
      </c>
    </row>
    <row r="4717" spans="1:17" x14ac:dyDescent="0.3">
      <c r="A4717" t="s">
        <v>17</v>
      </c>
      <c r="B4717" t="str">
        <f>"600769"</f>
        <v>600769</v>
      </c>
      <c r="C4717" t="s">
        <v>9783</v>
      </c>
      <c r="D4717" t="s">
        <v>520</v>
      </c>
      <c r="E4717">
        <v>192836960</v>
      </c>
      <c r="F4717">
        <v>155895215</v>
      </c>
      <c r="G4717">
        <v>134292739</v>
      </c>
      <c r="H4717">
        <v>135651273</v>
      </c>
      <c r="I4717">
        <v>133763391</v>
      </c>
      <c r="J4717">
        <v>101264934</v>
      </c>
      <c r="K4717">
        <v>95942422</v>
      </c>
      <c r="L4717">
        <v>104468862</v>
      </c>
      <c r="M4717">
        <v>103843672</v>
      </c>
      <c r="N4717">
        <v>520017839</v>
      </c>
      <c r="O4717">
        <v>1219960819</v>
      </c>
      <c r="P4717">
        <v>65</v>
      </c>
      <c r="Q4717" t="s">
        <v>9784</v>
      </c>
    </row>
    <row r="4718" spans="1:17" x14ac:dyDescent="0.3">
      <c r="A4718" t="s">
        <v>47</v>
      </c>
      <c r="B4718" t="str">
        <f>"000585"</f>
        <v>000585</v>
      </c>
      <c r="C4718" t="s">
        <v>9785</v>
      </c>
      <c r="D4718" t="s">
        <v>459</v>
      </c>
      <c r="E4718">
        <v>182216413</v>
      </c>
      <c r="F4718">
        <v>151925671</v>
      </c>
      <c r="G4718">
        <v>480516160</v>
      </c>
      <c r="H4718">
        <v>503368431</v>
      </c>
      <c r="I4718">
        <v>298608889</v>
      </c>
      <c r="J4718">
        <v>378900734</v>
      </c>
      <c r="K4718">
        <v>464065105</v>
      </c>
      <c r="L4718">
        <v>475922757</v>
      </c>
      <c r="M4718">
        <v>456793703</v>
      </c>
      <c r="N4718">
        <v>486319164</v>
      </c>
      <c r="O4718">
        <v>525146705</v>
      </c>
      <c r="P4718">
        <v>73</v>
      </c>
      <c r="Q4718" t="s">
        <v>9786</v>
      </c>
    </row>
    <row r="4719" spans="1:17" x14ac:dyDescent="0.3">
      <c r="A4719" t="s">
        <v>17</v>
      </c>
      <c r="B4719" t="str">
        <f>"600608"</f>
        <v>600608</v>
      </c>
      <c r="C4719" t="s">
        <v>9787</v>
      </c>
      <c r="D4719" t="s">
        <v>768</v>
      </c>
      <c r="E4719">
        <v>181923425</v>
      </c>
      <c r="F4719">
        <v>232945804</v>
      </c>
      <c r="G4719">
        <v>182339937</v>
      </c>
      <c r="H4719">
        <v>174798636</v>
      </c>
      <c r="I4719">
        <v>189145571</v>
      </c>
      <c r="J4719">
        <v>179539016</v>
      </c>
      <c r="K4719">
        <v>232504840</v>
      </c>
      <c r="L4719">
        <v>189255810</v>
      </c>
      <c r="M4719">
        <v>215776265</v>
      </c>
      <c r="N4719">
        <v>227563487</v>
      </c>
      <c r="O4719">
        <v>273397018</v>
      </c>
      <c r="P4719">
        <v>47</v>
      </c>
      <c r="Q4719" t="s">
        <v>9788</v>
      </c>
    </row>
    <row r="4720" spans="1:17" x14ac:dyDescent="0.3">
      <c r="A4720" t="s">
        <v>47</v>
      </c>
      <c r="B4720" t="str">
        <f>"002306"</f>
        <v>002306</v>
      </c>
      <c r="C4720" t="s">
        <v>9789</v>
      </c>
      <c r="D4720" t="s">
        <v>6094</v>
      </c>
      <c r="E4720">
        <v>180924796</v>
      </c>
      <c r="F4720">
        <v>207321222</v>
      </c>
      <c r="G4720">
        <v>75682972</v>
      </c>
      <c r="H4720">
        <v>77650766</v>
      </c>
      <c r="I4720">
        <v>88097942</v>
      </c>
      <c r="J4720">
        <v>103320652</v>
      </c>
      <c r="K4720">
        <v>178799774</v>
      </c>
      <c r="L4720">
        <v>932783921</v>
      </c>
      <c r="M4720">
        <v>1820722343</v>
      </c>
      <c r="N4720">
        <v>2249865778</v>
      </c>
      <c r="O4720">
        <v>1950528392</v>
      </c>
      <c r="P4720">
        <v>68</v>
      </c>
      <c r="Q4720" t="s">
        <v>9790</v>
      </c>
    </row>
    <row r="4721" spans="1:17" x14ac:dyDescent="0.3">
      <c r="A4721" t="s">
        <v>17</v>
      </c>
      <c r="B4721" t="str">
        <f>"900929"</f>
        <v>900929</v>
      </c>
      <c r="C4721" t="s">
        <v>9791</v>
      </c>
      <c r="E4721">
        <v>168396688.24649999</v>
      </c>
      <c r="F4721">
        <v>157955613.83160001</v>
      </c>
      <c r="G4721">
        <v>165668141.30630001</v>
      </c>
      <c r="H4721">
        <v>211078676.83500001</v>
      </c>
      <c r="I4721">
        <v>241872991.42019999</v>
      </c>
      <c r="J4721">
        <v>234042488.86919999</v>
      </c>
      <c r="K4721">
        <v>260985011.03279999</v>
      </c>
      <c r="L4721">
        <v>283357423.16729999</v>
      </c>
      <c r="M4721">
        <v>214306628.3712</v>
      </c>
      <c r="N4721">
        <v>220500072.87</v>
      </c>
      <c r="O4721">
        <v>213165677.67919999</v>
      </c>
      <c r="P4721">
        <v>11</v>
      </c>
      <c r="Q4721" t="s">
        <v>9792</v>
      </c>
    </row>
    <row r="4722" spans="1:17" x14ac:dyDescent="0.3">
      <c r="A4722" t="s">
        <v>17</v>
      </c>
      <c r="B4722" t="str">
        <f>"900957"</f>
        <v>900957</v>
      </c>
      <c r="C4722" t="s">
        <v>9793</v>
      </c>
      <c r="E4722">
        <v>162845478.1356</v>
      </c>
      <c r="F4722">
        <v>155251506.87</v>
      </c>
      <c r="G4722">
        <v>141319174.83050001</v>
      </c>
      <c r="H4722">
        <v>150053414.653</v>
      </c>
      <c r="I4722">
        <v>164496824.08579999</v>
      </c>
      <c r="J4722">
        <v>170607729.94319999</v>
      </c>
      <c r="K4722">
        <v>158393309.91170001</v>
      </c>
      <c r="L4722">
        <v>155668303.2475</v>
      </c>
      <c r="M4722">
        <v>62779539.859200001</v>
      </c>
      <c r="N4722">
        <v>62859313.559</v>
      </c>
      <c r="O4722">
        <v>67630313.456799999</v>
      </c>
      <c r="P4722">
        <v>2</v>
      </c>
      <c r="Q4722" t="s">
        <v>9794</v>
      </c>
    </row>
    <row r="4723" spans="1:17" x14ac:dyDescent="0.3">
      <c r="A4723" t="s">
        <v>17</v>
      </c>
      <c r="B4723" t="str">
        <f>"600766"</f>
        <v>600766</v>
      </c>
      <c r="C4723" t="s">
        <v>9795</v>
      </c>
      <c r="D4723" t="s">
        <v>600</v>
      </c>
      <c r="E4723">
        <v>142188586</v>
      </c>
      <c r="F4723">
        <v>153231619</v>
      </c>
      <c r="G4723">
        <v>151734224</v>
      </c>
      <c r="H4723">
        <v>158377739</v>
      </c>
      <c r="I4723">
        <v>159751573</v>
      </c>
      <c r="J4723">
        <v>167664394</v>
      </c>
      <c r="K4723">
        <v>167280499</v>
      </c>
      <c r="L4723">
        <v>221189983</v>
      </c>
      <c r="M4723">
        <v>302026403</v>
      </c>
      <c r="N4723">
        <v>255746762</v>
      </c>
      <c r="O4723">
        <v>517442420</v>
      </c>
      <c r="P4723">
        <v>79</v>
      </c>
      <c r="Q4723" t="s">
        <v>9796</v>
      </c>
    </row>
    <row r="4724" spans="1:17" x14ac:dyDescent="0.3">
      <c r="A4724" t="s">
        <v>17</v>
      </c>
      <c r="B4724" t="str">
        <f>"600385"</f>
        <v>600385</v>
      </c>
      <c r="C4724" t="s">
        <v>9797</v>
      </c>
      <c r="D4724" t="s">
        <v>550</v>
      </c>
      <c r="E4724">
        <v>142013107</v>
      </c>
      <c r="F4724">
        <v>131351986</v>
      </c>
      <c r="G4724">
        <v>174308719</v>
      </c>
      <c r="H4724">
        <v>182476810</v>
      </c>
      <c r="I4724">
        <v>160766136</v>
      </c>
      <c r="J4724">
        <v>179541304</v>
      </c>
      <c r="K4724">
        <v>313937723</v>
      </c>
      <c r="L4724">
        <v>166731754</v>
      </c>
      <c r="M4724">
        <v>140707866</v>
      </c>
      <c r="N4724">
        <v>37609181</v>
      </c>
      <c r="O4724">
        <v>50492786</v>
      </c>
      <c r="P4724">
        <v>51</v>
      </c>
      <c r="Q4724" t="s">
        <v>9798</v>
      </c>
    </row>
    <row r="4725" spans="1:17" x14ac:dyDescent="0.3">
      <c r="A4725" t="s">
        <v>47</v>
      </c>
      <c r="B4725" t="str">
        <f>"200017"</f>
        <v>200017</v>
      </c>
      <c r="C4725" t="s">
        <v>9799</v>
      </c>
      <c r="E4725">
        <v>125762517.68000001</v>
      </c>
      <c r="F4725">
        <v>102100807.2705</v>
      </c>
      <c r="G4725">
        <v>76835677.667099997</v>
      </c>
      <c r="H4725">
        <v>82654299.104399994</v>
      </c>
      <c r="I4725">
        <v>104281733.515</v>
      </c>
      <c r="J4725">
        <v>59580652.664800003</v>
      </c>
      <c r="K4725">
        <v>75533678.800799996</v>
      </c>
      <c r="L4725">
        <v>77479426.25</v>
      </c>
      <c r="M4725">
        <v>209831372.8644</v>
      </c>
      <c r="N4725">
        <v>204166223.17680001</v>
      </c>
      <c r="O4725">
        <v>178860261.08700001</v>
      </c>
      <c r="P4725">
        <v>3</v>
      </c>
      <c r="Q4725" t="s">
        <v>9800</v>
      </c>
    </row>
    <row r="4726" spans="1:17" x14ac:dyDescent="0.3">
      <c r="A4726" t="s">
        <v>47</v>
      </c>
      <c r="B4726" t="str">
        <f>"000835"</f>
        <v>000835</v>
      </c>
      <c r="C4726" t="s">
        <v>9801</v>
      </c>
      <c r="D4726" t="s">
        <v>1032</v>
      </c>
      <c r="E4726">
        <v>121360077</v>
      </c>
      <c r="F4726">
        <v>441380232</v>
      </c>
      <c r="G4726">
        <v>490947924</v>
      </c>
      <c r="H4726">
        <v>828821132</v>
      </c>
      <c r="I4726">
        <v>1371835788</v>
      </c>
      <c r="J4726">
        <v>1359462765</v>
      </c>
      <c r="K4726">
        <v>1444502240</v>
      </c>
      <c r="L4726">
        <v>1103160737</v>
      </c>
      <c r="M4726">
        <v>527986603</v>
      </c>
      <c r="N4726">
        <v>639033401</v>
      </c>
      <c r="O4726">
        <v>632875247</v>
      </c>
      <c r="P4726">
        <v>69</v>
      </c>
      <c r="Q4726" t="s">
        <v>9802</v>
      </c>
    </row>
    <row r="4727" spans="1:17" x14ac:dyDescent="0.3">
      <c r="A4727" t="s">
        <v>47</v>
      </c>
      <c r="B4727" t="str">
        <f>"002473"</f>
        <v>002473</v>
      </c>
      <c r="C4727" t="s">
        <v>9803</v>
      </c>
      <c r="D4727" t="s">
        <v>2285</v>
      </c>
      <c r="E4727">
        <v>121166697</v>
      </c>
      <c r="F4727">
        <v>85821737</v>
      </c>
      <c r="G4727">
        <v>246728244</v>
      </c>
      <c r="H4727">
        <v>355279348</v>
      </c>
      <c r="I4727">
        <v>361775978</v>
      </c>
      <c r="J4727">
        <v>435167027</v>
      </c>
      <c r="K4727">
        <v>460478105</v>
      </c>
      <c r="L4727">
        <v>428924809</v>
      </c>
      <c r="M4727">
        <v>466152510</v>
      </c>
      <c r="N4727">
        <v>486142830</v>
      </c>
      <c r="O4727">
        <v>470518841</v>
      </c>
      <c r="P4727">
        <v>61</v>
      </c>
      <c r="Q4727" t="s">
        <v>9804</v>
      </c>
    </row>
    <row r="4728" spans="1:17" x14ac:dyDescent="0.3">
      <c r="A4728" t="s">
        <v>17</v>
      </c>
      <c r="B4728" t="str">
        <f>"600421"</f>
        <v>600421</v>
      </c>
      <c r="C4728" t="s">
        <v>9805</v>
      </c>
      <c r="D4728" t="s">
        <v>401</v>
      </c>
      <c r="E4728">
        <v>108971330</v>
      </c>
      <c r="F4728">
        <v>116657256</v>
      </c>
      <c r="G4728">
        <v>102098428</v>
      </c>
      <c r="H4728">
        <v>50357888</v>
      </c>
      <c r="I4728">
        <v>51817182</v>
      </c>
      <c r="J4728">
        <v>67907572</v>
      </c>
      <c r="K4728">
        <v>75653399</v>
      </c>
      <c r="L4728">
        <v>83518104</v>
      </c>
      <c r="M4728">
        <v>81458040</v>
      </c>
      <c r="N4728">
        <v>39668824</v>
      </c>
      <c r="O4728">
        <v>57054882</v>
      </c>
      <c r="P4728">
        <v>44</v>
      </c>
      <c r="Q4728" t="s">
        <v>9806</v>
      </c>
    </row>
    <row r="4729" spans="1:17" x14ac:dyDescent="0.3">
      <c r="A4729" t="s">
        <v>17</v>
      </c>
      <c r="B4729" t="str">
        <f>"600275"</f>
        <v>600275</v>
      </c>
      <c r="C4729" t="s">
        <v>9807</v>
      </c>
      <c r="D4729" t="s">
        <v>3602</v>
      </c>
      <c r="E4729">
        <v>102739093</v>
      </c>
      <c r="F4729">
        <v>118314050</v>
      </c>
      <c r="G4729">
        <v>213973376</v>
      </c>
      <c r="H4729">
        <v>228455679</v>
      </c>
      <c r="I4729">
        <v>310747021</v>
      </c>
      <c r="J4729">
        <v>321878982</v>
      </c>
      <c r="K4729">
        <v>366656781</v>
      </c>
      <c r="L4729">
        <v>367715757</v>
      </c>
      <c r="M4729">
        <v>301882278</v>
      </c>
      <c r="N4729">
        <v>339478945</v>
      </c>
      <c r="O4729">
        <v>2874360118</v>
      </c>
      <c r="P4729">
        <v>47</v>
      </c>
      <c r="Q4729" t="s">
        <v>9808</v>
      </c>
    </row>
    <row r="4730" spans="1:17" x14ac:dyDescent="0.3">
      <c r="A4730" t="s">
        <v>47</v>
      </c>
      <c r="B4730" t="str">
        <f>"200613"</f>
        <v>200613</v>
      </c>
      <c r="C4730" t="s">
        <v>9809</v>
      </c>
      <c r="E4730">
        <v>102690818.26199999</v>
      </c>
      <c r="F4730">
        <v>114171279.2145</v>
      </c>
      <c r="G4730">
        <v>92151684.278400004</v>
      </c>
      <c r="H4730">
        <v>104007889.5606</v>
      </c>
      <c r="I4730">
        <v>111256332.23899999</v>
      </c>
      <c r="J4730">
        <v>120990259.68279999</v>
      </c>
      <c r="K4730">
        <v>128155491.2736</v>
      </c>
      <c r="L4730">
        <v>142518718.75</v>
      </c>
      <c r="M4730">
        <v>144216689.79960001</v>
      </c>
      <c r="N4730">
        <v>151188269.75580001</v>
      </c>
      <c r="O4730">
        <v>144239093.289</v>
      </c>
      <c r="P4730">
        <v>4</v>
      </c>
      <c r="Q4730" t="s">
        <v>9810</v>
      </c>
    </row>
    <row r="4731" spans="1:17" x14ac:dyDescent="0.3">
      <c r="A4731" t="s">
        <v>47</v>
      </c>
      <c r="B4731" t="str">
        <f>"000017"</f>
        <v>000017</v>
      </c>
      <c r="C4731" t="s">
        <v>9811</v>
      </c>
      <c r="D4731" t="s">
        <v>2210</v>
      </c>
      <c r="E4731">
        <v>101914520</v>
      </c>
      <c r="F4731">
        <v>86197389</v>
      </c>
      <c r="G4731">
        <v>70304399</v>
      </c>
      <c r="H4731">
        <v>70699084</v>
      </c>
      <c r="I4731">
        <v>83392030</v>
      </c>
      <c r="J4731">
        <v>52810364</v>
      </c>
      <c r="K4731">
        <v>62876616</v>
      </c>
      <c r="L4731">
        <v>61983541</v>
      </c>
      <c r="M4731">
        <v>168080241</v>
      </c>
      <c r="N4731">
        <v>163359116</v>
      </c>
      <c r="O4731">
        <v>145061039</v>
      </c>
      <c r="P4731">
        <v>64</v>
      </c>
      <c r="Q4731" t="s">
        <v>9812</v>
      </c>
    </row>
    <row r="4732" spans="1:17" x14ac:dyDescent="0.3">
      <c r="A4732" t="s">
        <v>47</v>
      </c>
      <c r="B4732" t="str">
        <f>"002072"</f>
        <v>002072</v>
      </c>
      <c r="C4732" t="s">
        <v>9813</v>
      </c>
      <c r="D4732" t="s">
        <v>810</v>
      </c>
      <c r="E4732">
        <v>85432176</v>
      </c>
      <c r="F4732">
        <v>407460826</v>
      </c>
      <c r="G4732">
        <v>611459406</v>
      </c>
      <c r="H4732">
        <v>433855547</v>
      </c>
      <c r="I4732">
        <v>678102185</v>
      </c>
      <c r="J4732">
        <v>668739605</v>
      </c>
      <c r="K4732">
        <v>742296258</v>
      </c>
      <c r="L4732">
        <v>1131112692</v>
      </c>
      <c r="M4732">
        <v>1099954241</v>
      </c>
      <c r="N4732">
        <v>1138729093</v>
      </c>
      <c r="O4732">
        <v>1186537757</v>
      </c>
      <c r="P4732">
        <v>64</v>
      </c>
      <c r="Q4732" t="s">
        <v>9814</v>
      </c>
    </row>
    <row r="4733" spans="1:17" x14ac:dyDescent="0.3">
      <c r="A4733" t="s">
        <v>47</v>
      </c>
      <c r="B4733" t="str">
        <f>"000613"</f>
        <v>000613</v>
      </c>
      <c r="C4733" t="s">
        <v>9815</v>
      </c>
      <c r="D4733" t="s">
        <v>899</v>
      </c>
      <c r="E4733">
        <v>83217843</v>
      </c>
      <c r="F4733">
        <v>96387741</v>
      </c>
      <c r="G4733">
        <v>84318496</v>
      </c>
      <c r="H4733">
        <v>88964066</v>
      </c>
      <c r="I4733">
        <v>88969478</v>
      </c>
      <c r="J4733">
        <v>107241854</v>
      </c>
      <c r="K4733">
        <v>106680672</v>
      </c>
      <c r="L4733">
        <v>114014975</v>
      </c>
      <c r="M4733">
        <v>115521219</v>
      </c>
      <c r="N4733">
        <v>120969971</v>
      </c>
      <c r="O4733">
        <v>116982233</v>
      </c>
      <c r="P4733">
        <v>100</v>
      </c>
      <c r="Q4733" t="s">
        <v>9816</v>
      </c>
    </row>
    <row r="4734" spans="1:17" x14ac:dyDescent="0.3">
      <c r="A4734" t="s">
        <v>17</v>
      </c>
      <c r="B4734" t="str">
        <f>"900939"</f>
        <v>900939</v>
      </c>
      <c r="C4734" t="s">
        <v>9817</v>
      </c>
      <c r="E4734">
        <v>21969415.113499999</v>
      </c>
      <c r="F4734">
        <v>19032155.788800001</v>
      </c>
      <c r="G4734">
        <v>15970172.3014</v>
      </c>
      <c r="H4734">
        <v>14659019.469000001</v>
      </c>
      <c r="I4734">
        <v>15407930.451199999</v>
      </c>
      <c r="J4734">
        <v>13323232.7052</v>
      </c>
      <c r="K4734">
        <v>12750664.754000001</v>
      </c>
      <c r="L4734">
        <v>12161544.487600001</v>
      </c>
      <c r="M4734">
        <v>12223359.614399999</v>
      </c>
      <c r="N4734">
        <v>13438500.789000001</v>
      </c>
      <c r="O4734">
        <v>15199019.548</v>
      </c>
      <c r="P4734">
        <v>7</v>
      </c>
      <c r="Q4734" t="s">
        <v>9818</v>
      </c>
    </row>
    <row r="4735" spans="1:17" x14ac:dyDescent="0.3">
      <c r="A4735" t="s">
        <v>17</v>
      </c>
      <c r="B4735" t="str">
        <f>"600005"</f>
        <v>600005</v>
      </c>
      <c r="C4735" t="s">
        <v>9819</v>
      </c>
      <c r="K4735">
        <v>96851080492.119995</v>
      </c>
      <c r="L4735">
        <v>99087614334.919998</v>
      </c>
      <c r="M4735">
        <v>96514935985.110001</v>
      </c>
      <c r="N4735">
        <v>96463170644.509995</v>
      </c>
      <c r="O4735">
        <v>102135989804.83</v>
      </c>
      <c r="P4735">
        <v>25</v>
      </c>
      <c r="Q4735" t="s">
        <v>9820</v>
      </c>
    </row>
    <row r="4736" spans="1:17" x14ac:dyDescent="0.3">
      <c r="A4736" t="s">
        <v>17</v>
      </c>
      <c r="B4736" t="str">
        <f>"600065"</f>
        <v>600065</v>
      </c>
      <c r="C4736" t="s">
        <v>9821</v>
      </c>
      <c r="J4736">
        <v>1135841160.8399999</v>
      </c>
      <c r="K4736">
        <v>1190004072.6700001</v>
      </c>
      <c r="L4736">
        <v>1457920455.3900001</v>
      </c>
      <c r="M4736">
        <v>1446712000.03</v>
      </c>
      <c r="N4736">
        <v>1304755330.55</v>
      </c>
      <c r="P4736">
        <v>4</v>
      </c>
      <c r="Q4736" t="s">
        <v>9822</v>
      </c>
    </row>
    <row r="4737" spans="1:17" x14ac:dyDescent="0.3">
      <c r="A4737" t="s">
        <v>17</v>
      </c>
      <c r="B4737" t="str">
        <f>"600068"</f>
        <v>600068</v>
      </c>
      <c r="C4737" t="s">
        <v>9823</v>
      </c>
      <c r="F4737">
        <v>263570930701</v>
      </c>
      <c r="G4737">
        <v>226321779772</v>
      </c>
      <c r="H4737">
        <v>217553505945</v>
      </c>
      <c r="I4737">
        <v>195350753738</v>
      </c>
      <c r="J4737">
        <v>159673951987</v>
      </c>
      <c r="K4737">
        <v>128588663857</v>
      </c>
      <c r="L4737">
        <v>108433859732</v>
      </c>
      <c r="M4737">
        <v>95680295350</v>
      </c>
      <c r="N4737">
        <v>79822806739</v>
      </c>
      <c r="O4737">
        <v>70118167099</v>
      </c>
      <c r="P4737">
        <v>843</v>
      </c>
      <c r="Q4737" t="s">
        <v>9824</v>
      </c>
    </row>
    <row r="4738" spans="1:17" x14ac:dyDescent="0.3">
      <c r="A4738" t="s">
        <v>17</v>
      </c>
      <c r="B4738" t="str">
        <f>"600069"</f>
        <v>600069</v>
      </c>
      <c r="C4738" t="s">
        <v>9825</v>
      </c>
      <c r="G4738">
        <v>4323885196</v>
      </c>
      <c r="H4738">
        <v>5496891358</v>
      </c>
      <c r="I4738">
        <v>4802161817</v>
      </c>
      <c r="J4738">
        <v>4653967653</v>
      </c>
      <c r="K4738">
        <v>5180820856</v>
      </c>
      <c r="L4738">
        <v>5627728675</v>
      </c>
      <c r="M4738">
        <v>6590251597</v>
      </c>
      <c r="N4738">
        <v>6453853361</v>
      </c>
      <c r="O4738">
        <v>6103175215</v>
      </c>
      <c r="P4738">
        <v>48</v>
      </c>
      <c r="Q4738" t="s">
        <v>9826</v>
      </c>
    </row>
    <row r="4739" spans="1:17" x14ac:dyDescent="0.3">
      <c r="A4739" t="s">
        <v>17</v>
      </c>
      <c r="B4739" t="str">
        <f>"600074"</f>
        <v>600074</v>
      </c>
      <c r="C4739" t="s">
        <v>9827</v>
      </c>
      <c r="G4739">
        <v>597289190</v>
      </c>
      <c r="H4739">
        <v>692792794</v>
      </c>
      <c r="I4739">
        <v>1916673559</v>
      </c>
      <c r="J4739">
        <v>9872546221</v>
      </c>
      <c r="K4739">
        <v>3523868768</v>
      </c>
      <c r="L4739">
        <v>1662198533</v>
      </c>
      <c r="M4739">
        <v>1000307572</v>
      </c>
      <c r="N4739">
        <v>2117139103</v>
      </c>
      <c r="O4739">
        <v>2820224086</v>
      </c>
      <c r="P4739">
        <v>61</v>
      </c>
      <c r="Q4739" t="s">
        <v>9828</v>
      </c>
    </row>
    <row r="4740" spans="1:17" x14ac:dyDescent="0.3">
      <c r="A4740" t="s">
        <v>17</v>
      </c>
      <c r="B4740" t="str">
        <f>"600086"</f>
        <v>600086</v>
      </c>
      <c r="C4740" t="s">
        <v>9829</v>
      </c>
      <c r="G4740">
        <v>10995657877</v>
      </c>
      <c r="H4740">
        <v>11482572094</v>
      </c>
      <c r="I4740">
        <v>12933431559</v>
      </c>
      <c r="J4740">
        <v>12074176548</v>
      </c>
      <c r="K4740">
        <v>9654240515</v>
      </c>
      <c r="L4740">
        <v>7848653595</v>
      </c>
      <c r="M4740">
        <v>5932499896</v>
      </c>
      <c r="N4740">
        <v>5112033050</v>
      </c>
      <c r="O4740">
        <v>2878928586</v>
      </c>
      <c r="P4740">
        <v>73</v>
      </c>
      <c r="Q4740" t="s">
        <v>9830</v>
      </c>
    </row>
    <row r="4741" spans="1:17" x14ac:dyDescent="0.3">
      <c r="A4741" t="s">
        <v>17</v>
      </c>
      <c r="B4741" t="str">
        <f>"600087"</f>
        <v>600087</v>
      </c>
      <c r="C4741" t="s">
        <v>9831</v>
      </c>
      <c r="J4741">
        <v>7419118044.1199999</v>
      </c>
      <c r="K4741">
        <v>7973249627.9700003</v>
      </c>
      <c r="L4741">
        <v>8130242513.9399996</v>
      </c>
      <c r="M4741">
        <v>13453089023.700001</v>
      </c>
      <c r="N4741">
        <v>19241096210.029999</v>
      </c>
      <c r="O4741">
        <v>19867610083.150002</v>
      </c>
      <c r="P4741">
        <v>7</v>
      </c>
      <c r="Q4741" t="s">
        <v>9832</v>
      </c>
    </row>
    <row r="4742" spans="1:17" x14ac:dyDescent="0.3">
      <c r="A4742" t="s">
        <v>17</v>
      </c>
      <c r="B4742" t="str">
        <f>"600090"</f>
        <v>600090</v>
      </c>
      <c r="C4742" t="s">
        <v>9833</v>
      </c>
      <c r="D4742" t="s">
        <v>362</v>
      </c>
      <c r="F4742">
        <v>6562258052</v>
      </c>
      <c r="G4742">
        <v>9592641853</v>
      </c>
      <c r="H4742">
        <v>9032436310</v>
      </c>
      <c r="I4742">
        <v>7950283593</v>
      </c>
      <c r="J4742">
        <v>7403834423</v>
      </c>
      <c r="K4742">
        <v>1466746425</v>
      </c>
      <c r="L4742">
        <v>1381000522</v>
      </c>
      <c r="M4742">
        <v>1276043177</v>
      </c>
      <c r="N4742">
        <v>1294037402</v>
      </c>
      <c r="O4742">
        <v>1170648921</v>
      </c>
      <c r="P4742">
        <v>214</v>
      </c>
      <c r="Q4742" t="s">
        <v>9834</v>
      </c>
    </row>
    <row r="4743" spans="1:17" x14ac:dyDescent="0.3">
      <c r="A4743" t="s">
        <v>17</v>
      </c>
      <c r="B4743" t="str">
        <f>"600092"</f>
        <v>600092</v>
      </c>
      <c r="C4743" t="s">
        <v>9835</v>
      </c>
      <c r="J4743">
        <v>60026537.350000001</v>
      </c>
      <c r="K4743">
        <v>62506803.530000001</v>
      </c>
      <c r="L4743">
        <v>64295252.670000002</v>
      </c>
      <c r="M4743">
        <v>64729900.079999998</v>
      </c>
      <c r="N4743">
        <v>65536256.810000002</v>
      </c>
      <c r="O4743">
        <v>69106331.969999999</v>
      </c>
      <c r="P4743">
        <v>3</v>
      </c>
      <c r="Q4743" t="s">
        <v>9836</v>
      </c>
    </row>
    <row r="4744" spans="1:17" x14ac:dyDescent="0.3">
      <c r="A4744" t="s">
        <v>17</v>
      </c>
      <c r="B4744" t="str">
        <f>"600102"</f>
        <v>600102</v>
      </c>
      <c r="C4744" t="s">
        <v>9837</v>
      </c>
      <c r="M4744">
        <v>50917310219.93</v>
      </c>
      <c r="N4744">
        <v>55488036507.309998</v>
      </c>
      <c r="O4744">
        <v>59819344540.309998</v>
      </c>
      <c r="P4744">
        <v>12</v>
      </c>
      <c r="Q4744" t="s">
        <v>9838</v>
      </c>
    </row>
    <row r="4745" spans="1:17" x14ac:dyDescent="0.3">
      <c r="A4745" t="s">
        <v>17</v>
      </c>
      <c r="B4745" t="str">
        <f>"600145"</f>
        <v>600145</v>
      </c>
      <c r="C4745" t="s">
        <v>9839</v>
      </c>
      <c r="D4745" t="s">
        <v>768</v>
      </c>
      <c r="F4745">
        <v>1040836499</v>
      </c>
      <c r="G4745">
        <v>1112061443</v>
      </c>
      <c r="H4745">
        <v>1195284199</v>
      </c>
      <c r="I4745">
        <v>860979679</v>
      </c>
      <c r="J4745">
        <v>889336802</v>
      </c>
      <c r="K4745">
        <v>880221420</v>
      </c>
      <c r="L4745">
        <v>32662743</v>
      </c>
      <c r="M4745">
        <v>159247021</v>
      </c>
      <c r="N4745">
        <v>235902470</v>
      </c>
      <c r="O4745">
        <v>386883622</v>
      </c>
      <c r="P4745">
        <v>46</v>
      </c>
      <c r="Q4745" t="s">
        <v>9840</v>
      </c>
    </row>
    <row r="4746" spans="1:17" x14ac:dyDescent="0.3">
      <c r="A4746" t="s">
        <v>17</v>
      </c>
      <c r="B4746" t="str">
        <f>"600146"</f>
        <v>600146</v>
      </c>
      <c r="C4746" t="s">
        <v>9841</v>
      </c>
      <c r="D4746" t="s">
        <v>628</v>
      </c>
      <c r="F4746">
        <v>1397621713</v>
      </c>
      <c r="G4746">
        <v>1741260162</v>
      </c>
      <c r="H4746">
        <v>1943451332</v>
      </c>
      <c r="I4746">
        <v>4283269754</v>
      </c>
      <c r="J4746">
        <v>4278866578</v>
      </c>
      <c r="K4746">
        <v>189064828</v>
      </c>
      <c r="L4746">
        <v>289721384</v>
      </c>
      <c r="M4746">
        <v>315372028</v>
      </c>
      <c r="N4746">
        <v>465908306</v>
      </c>
      <c r="O4746">
        <v>451349707</v>
      </c>
      <c r="P4746">
        <v>70</v>
      </c>
      <c r="Q4746" t="s">
        <v>9842</v>
      </c>
    </row>
    <row r="4747" spans="1:17" x14ac:dyDescent="0.3">
      <c r="A4747" t="s">
        <v>17</v>
      </c>
      <c r="B4747" t="str">
        <f>"600175"</f>
        <v>600175</v>
      </c>
      <c r="C4747" t="s">
        <v>9843</v>
      </c>
      <c r="G4747">
        <v>14267235895</v>
      </c>
      <c r="H4747">
        <v>17386783988</v>
      </c>
      <c r="I4747">
        <v>16779227208</v>
      </c>
      <c r="J4747">
        <v>18769554903</v>
      </c>
      <c r="K4747">
        <v>14744487903</v>
      </c>
      <c r="L4747">
        <v>14779899099</v>
      </c>
      <c r="M4747">
        <v>11334963073</v>
      </c>
      <c r="N4747">
        <v>5508423133</v>
      </c>
      <c r="O4747">
        <v>4405520544</v>
      </c>
      <c r="P4747">
        <v>58</v>
      </c>
      <c r="Q4747" t="s">
        <v>9844</v>
      </c>
    </row>
    <row r="4748" spans="1:17" x14ac:dyDescent="0.3">
      <c r="A4748" t="s">
        <v>17</v>
      </c>
      <c r="B4748" t="str">
        <f>"600240"</f>
        <v>600240</v>
      </c>
      <c r="C4748" t="s">
        <v>9845</v>
      </c>
      <c r="G4748">
        <v>7027699464</v>
      </c>
      <c r="H4748">
        <v>12148806557</v>
      </c>
      <c r="I4748">
        <v>20728254218</v>
      </c>
      <c r="J4748">
        <v>19375468296</v>
      </c>
      <c r="K4748">
        <v>16225024375</v>
      </c>
      <c r="L4748">
        <v>17790740479</v>
      </c>
      <c r="M4748">
        <v>14497709597</v>
      </c>
      <c r="N4748">
        <v>11728531577</v>
      </c>
      <c r="O4748">
        <v>8458169932</v>
      </c>
      <c r="P4748">
        <v>94</v>
      </c>
      <c r="Q4748" t="s">
        <v>9846</v>
      </c>
    </row>
    <row r="4749" spans="1:17" x14ac:dyDescent="0.3">
      <c r="A4749" t="s">
        <v>17</v>
      </c>
      <c r="B4749" t="str">
        <f>"600247"</f>
        <v>600247</v>
      </c>
      <c r="C4749" t="s">
        <v>9847</v>
      </c>
      <c r="G4749">
        <v>947462135</v>
      </c>
      <c r="H4749">
        <v>961015077</v>
      </c>
      <c r="I4749">
        <v>972341189</v>
      </c>
      <c r="J4749">
        <v>900572102</v>
      </c>
      <c r="K4749">
        <v>1004929527</v>
      </c>
      <c r="L4749">
        <v>869510086</v>
      </c>
      <c r="M4749">
        <v>1124101414</v>
      </c>
      <c r="N4749">
        <v>992778407</v>
      </c>
      <c r="O4749">
        <v>1301573251</v>
      </c>
      <c r="P4749">
        <v>29</v>
      </c>
      <c r="Q4749" t="s">
        <v>9848</v>
      </c>
    </row>
    <row r="4750" spans="1:17" x14ac:dyDescent="0.3">
      <c r="A4750" t="s">
        <v>17</v>
      </c>
      <c r="B4750" t="str">
        <f>"600253"</f>
        <v>600253</v>
      </c>
      <c r="C4750" t="s">
        <v>9849</v>
      </c>
      <c r="N4750">
        <v>4370309603.29</v>
      </c>
      <c r="O4750">
        <v>3668390376.6300001</v>
      </c>
      <c r="P4750">
        <v>3</v>
      </c>
      <c r="Q4750" t="s">
        <v>9850</v>
      </c>
    </row>
    <row r="4751" spans="1:17" x14ac:dyDescent="0.3">
      <c r="A4751" t="s">
        <v>17</v>
      </c>
      <c r="B4751" t="str">
        <f>"600270"</f>
        <v>600270</v>
      </c>
      <c r="C4751" t="s">
        <v>9851</v>
      </c>
      <c r="I4751">
        <v>10162485049</v>
      </c>
      <c r="J4751">
        <v>9175651165</v>
      </c>
      <c r="K4751">
        <v>8302926800.0900002</v>
      </c>
      <c r="L4751">
        <v>8092051511.0799999</v>
      </c>
      <c r="M4751">
        <v>6559770176.7399998</v>
      </c>
      <c r="N4751">
        <v>6131065881.1800003</v>
      </c>
      <c r="O4751">
        <v>5592275392.8500004</v>
      </c>
      <c r="P4751">
        <v>101</v>
      </c>
      <c r="Q4751" t="s">
        <v>9852</v>
      </c>
    </row>
    <row r="4752" spans="1:17" x14ac:dyDescent="0.3">
      <c r="A4752" t="s">
        <v>17</v>
      </c>
      <c r="B4752" t="str">
        <f>"600286"</f>
        <v>600286</v>
      </c>
      <c r="C4752" t="s">
        <v>9853</v>
      </c>
      <c r="J4752">
        <v>211092543.38999999</v>
      </c>
      <c r="K4752">
        <v>253350535.18000001</v>
      </c>
      <c r="P4752">
        <v>18</v>
      </c>
      <c r="Q4752" t="s">
        <v>9854</v>
      </c>
    </row>
    <row r="4753" spans="1:17" x14ac:dyDescent="0.3">
      <c r="A4753" t="s">
        <v>17</v>
      </c>
      <c r="B4753" t="str">
        <f>"600317"</f>
        <v>600317</v>
      </c>
      <c r="C4753" t="s">
        <v>9855</v>
      </c>
      <c r="G4753">
        <v>15065937640</v>
      </c>
      <c r="H4753">
        <v>16122551208</v>
      </c>
      <c r="I4753">
        <v>15823495708</v>
      </c>
      <c r="J4753">
        <v>16753638751</v>
      </c>
      <c r="K4753">
        <v>15998226798.42</v>
      </c>
      <c r="L4753">
        <v>17205223844.25</v>
      </c>
      <c r="M4753">
        <v>15995631281.85</v>
      </c>
      <c r="N4753">
        <v>16048836436.459999</v>
      </c>
      <c r="O4753">
        <v>11358388019.67</v>
      </c>
      <c r="P4753">
        <v>92</v>
      </c>
      <c r="Q4753" t="s">
        <v>9856</v>
      </c>
    </row>
    <row r="4754" spans="1:17" x14ac:dyDescent="0.3">
      <c r="A4754" t="s">
        <v>17</v>
      </c>
      <c r="B4754" t="str">
        <f>"600401"</f>
        <v>600401</v>
      </c>
      <c r="C4754" t="s">
        <v>9857</v>
      </c>
      <c r="H4754">
        <v>6692854119</v>
      </c>
      <c r="I4754">
        <v>12993623361</v>
      </c>
      <c r="J4754">
        <v>18387272272</v>
      </c>
      <c r="K4754">
        <v>16502095384.59</v>
      </c>
      <c r="L4754">
        <v>14974254725.58</v>
      </c>
      <c r="M4754">
        <v>13924808740.16</v>
      </c>
      <c r="N4754">
        <v>12917109056.25</v>
      </c>
      <c r="O4754">
        <v>12088553929.809999</v>
      </c>
      <c r="P4754">
        <v>22</v>
      </c>
      <c r="Q4754" t="s">
        <v>9858</v>
      </c>
    </row>
    <row r="4755" spans="1:17" x14ac:dyDescent="0.3">
      <c r="A4755" t="s">
        <v>17</v>
      </c>
      <c r="B4755" t="str">
        <f>"600432"</f>
        <v>600432</v>
      </c>
      <c r="C4755" t="s">
        <v>9859</v>
      </c>
      <c r="I4755">
        <v>12311968279</v>
      </c>
      <c r="J4755">
        <v>13414839648</v>
      </c>
      <c r="K4755">
        <v>17694478762.439999</v>
      </c>
      <c r="L4755">
        <v>26531100792.610001</v>
      </c>
      <c r="M4755">
        <v>20827811716.91</v>
      </c>
      <c r="N4755">
        <v>19812149663.279999</v>
      </c>
      <c r="O4755">
        <v>14374988068.08</v>
      </c>
      <c r="P4755">
        <v>14</v>
      </c>
      <c r="Q4755" t="s">
        <v>9860</v>
      </c>
    </row>
    <row r="4756" spans="1:17" x14ac:dyDescent="0.3">
      <c r="A4756" t="s">
        <v>17</v>
      </c>
      <c r="B4756" t="str">
        <f>"600485"</f>
        <v>600485</v>
      </c>
      <c r="C4756" t="s">
        <v>9861</v>
      </c>
      <c r="F4756">
        <v>1418270475</v>
      </c>
      <c r="G4756">
        <v>2421695592</v>
      </c>
      <c r="H4756">
        <v>18845150827</v>
      </c>
      <c r="I4756">
        <v>21204995600</v>
      </c>
      <c r="J4756">
        <v>21731775438</v>
      </c>
      <c r="K4756">
        <v>17460713271</v>
      </c>
      <c r="L4756">
        <v>13320848287</v>
      </c>
      <c r="M4756">
        <v>584372746</v>
      </c>
      <c r="N4756">
        <v>588734938</v>
      </c>
      <c r="O4756">
        <v>683439376</v>
      </c>
      <c r="P4756">
        <v>124</v>
      </c>
      <c r="Q4756" t="s">
        <v>9862</v>
      </c>
    </row>
    <row r="4757" spans="1:17" x14ac:dyDescent="0.3">
      <c r="A4757" t="s">
        <v>17</v>
      </c>
      <c r="B4757" t="str">
        <f>"600532"</f>
        <v>600532</v>
      </c>
      <c r="C4757" t="s">
        <v>9863</v>
      </c>
      <c r="D4757" t="s">
        <v>141</v>
      </c>
      <c r="F4757">
        <v>2516767566</v>
      </c>
      <c r="G4757">
        <v>2726430023</v>
      </c>
      <c r="H4757">
        <v>3410566548</v>
      </c>
      <c r="I4757">
        <v>3077112563</v>
      </c>
      <c r="J4757">
        <v>2668782903</v>
      </c>
      <c r="K4757">
        <v>2459619811</v>
      </c>
      <c r="L4757">
        <v>2064009343</v>
      </c>
      <c r="M4757">
        <v>2017862147</v>
      </c>
      <c r="N4757">
        <v>1639006258</v>
      </c>
      <c r="O4757">
        <v>807264840</v>
      </c>
      <c r="P4757">
        <v>91</v>
      </c>
      <c r="Q4757" t="s">
        <v>9864</v>
      </c>
    </row>
    <row r="4758" spans="1:17" x14ac:dyDescent="0.3">
      <c r="A4758" t="s">
        <v>17</v>
      </c>
      <c r="B4758" t="str">
        <f>"600614"</f>
        <v>600614</v>
      </c>
      <c r="C4758" t="s">
        <v>9865</v>
      </c>
      <c r="F4758">
        <v>2486832046</v>
      </c>
      <c r="G4758">
        <v>4709949588</v>
      </c>
      <c r="H4758">
        <v>5042265112</v>
      </c>
      <c r="I4758">
        <v>8755954701</v>
      </c>
      <c r="J4758">
        <v>8244888098</v>
      </c>
      <c r="K4758">
        <v>8445694319</v>
      </c>
      <c r="L4758">
        <v>6264323894</v>
      </c>
      <c r="M4758">
        <v>2796692912</v>
      </c>
      <c r="N4758">
        <v>2700674472</v>
      </c>
      <c r="O4758">
        <v>2451633180</v>
      </c>
      <c r="P4758">
        <v>55</v>
      </c>
      <c r="Q4758" t="s">
        <v>9866</v>
      </c>
    </row>
    <row r="4759" spans="1:17" x14ac:dyDescent="0.3">
      <c r="A4759" t="s">
        <v>17</v>
      </c>
      <c r="B4759" t="str">
        <f>"600625"</f>
        <v>600625</v>
      </c>
      <c r="C4759" t="s">
        <v>9867</v>
      </c>
      <c r="J4759">
        <v>33042643.57</v>
      </c>
      <c r="K4759">
        <v>38131890.990000002</v>
      </c>
      <c r="L4759">
        <v>44469297.399999999</v>
      </c>
      <c r="M4759">
        <v>69713864.209999993</v>
      </c>
      <c r="N4759">
        <v>27469309.309999999</v>
      </c>
      <c r="O4759">
        <v>24154168.59</v>
      </c>
      <c r="P4759">
        <v>5</v>
      </c>
      <c r="Q4759" t="s">
        <v>9868</v>
      </c>
    </row>
    <row r="4760" spans="1:17" x14ac:dyDescent="0.3">
      <c r="A4760" t="s">
        <v>17</v>
      </c>
      <c r="B4760" t="str">
        <f>"600631"</f>
        <v>600631</v>
      </c>
      <c r="C4760" t="s">
        <v>779</v>
      </c>
      <c r="M4760">
        <v>38855121026.57</v>
      </c>
      <c r="N4760">
        <v>40123624183.459999</v>
      </c>
      <c r="O4760">
        <v>36732904236.800003</v>
      </c>
      <c r="P4760">
        <v>18</v>
      </c>
      <c r="Q4760" t="s">
        <v>9869</v>
      </c>
    </row>
    <row r="4761" spans="1:17" x14ac:dyDescent="0.3">
      <c r="A4761" t="s">
        <v>17</v>
      </c>
      <c r="B4761" t="str">
        <f>"600634"</f>
        <v>600634</v>
      </c>
      <c r="C4761" t="s">
        <v>9870</v>
      </c>
      <c r="F4761">
        <v>1970857542</v>
      </c>
      <c r="G4761">
        <v>4228651422</v>
      </c>
      <c r="H4761">
        <v>4530759332</v>
      </c>
      <c r="I4761">
        <v>6125469869</v>
      </c>
      <c r="J4761">
        <v>6387615389</v>
      </c>
      <c r="K4761">
        <v>6014261448</v>
      </c>
      <c r="L4761">
        <v>6813119022</v>
      </c>
      <c r="M4761">
        <v>6562072980</v>
      </c>
      <c r="N4761">
        <v>220444701</v>
      </c>
      <c r="O4761">
        <v>188933270</v>
      </c>
      <c r="P4761">
        <v>48</v>
      </c>
      <c r="Q4761" t="s">
        <v>9871</v>
      </c>
    </row>
    <row r="4762" spans="1:17" x14ac:dyDescent="0.3">
      <c r="A4762" t="s">
        <v>17</v>
      </c>
      <c r="B4762" t="str">
        <f>"600646"</f>
        <v>600646</v>
      </c>
      <c r="C4762" t="s">
        <v>9872</v>
      </c>
      <c r="K4762">
        <v>491882.17</v>
      </c>
      <c r="P4762">
        <v>2</v>
      </c>
      <c r="Q4762" t="s">
        <v>9873</v>
      </c>
    </row>
    <row r="4763" spans="1:17" x14ac:dyDescent="0.3">
      <c r="A4763" t="s">
        <v>17</v>
      </c>
      <c r="B4763" t="str">
        <f>"600656"</f>
        <v>600656</v>
      </c>
      <c r="C4763" t="s">
        <v>9874</v>
      </c>
      <c r="K4763">
        <v>998464930.13</v>
      </c>
      <c r="L4763">
        <v>125922931.98999999</v>
      </c>
      <c r="M4763">
        <v>639848027.32000005</v>
      </c>
      <c r="N4763">
        <v>645239537.82000005</v>
      </c>
      <c r="O4763">
        <v>497709359.66000003</v>
      </c>
      <c r="P4763">
        <v>3</v>
      </c>
      <c r="Q4763" t="s">
        <v>9875</v>
      </c>
    </row>
    <row r="4764" spans="1:17" x14ac:dyDescent="0.3">
      <c r="A4764" t="s">
        <v>17</v>
      </c>
      <c r="B4764" t="str">
        <f>"600669"</f>
        <v>600669</v>
      </c>
      <c r="C4764" t="s">
        <v>9876</v>
      </c>
      <c r="J4764">
        <v>19694573.829999998</v>
      </c>
      <c r="K4764">
        <v>14651875.41</v>
      </c>
      <c r="P4764">
        <v>2</v>
      </c>
      <c r="Q4764" t="s">
        <v>9877</v>
      </c>
    </row>
    <row r="4765" spans="1:17" x14ac:dyDescent="0.3">
      <c r="A4765" t="s">
        <v>17</v>
      </c>
      <c r="B4765" t="str">
        <f>"600670"</f>
        <v>600670</v>
      </c>
      <c r="C4765" t="s">
        <v>9878</v>
      </c>
      <c r="J4765">
        <v>59145372.630000003</v>
      </c>
      <c r="K4765">
        <v>9270732.9399999995</v>
      </c>
      <c r="N4765">
        <v>1652.08</v>
      </c>
      <c r="O4765">
        <v>1652.08</v>
      </c>
      <c r="P4765">
        <v>2</v>
      </c>
      <c r="Q4765" t="s">
        <v>9879</v>
      </c>
    </row>
    <row r="4766" spans="1:17" x14ac:dyDescent="0.3">
      <c r="A4766" t="s">
        <v>17</v>
      </c>
      <c r="B4766" t="str">
        <f>"600672"</f>
        <v>600672</v>
      </c>
      <c r="C4766" t="s">
        <v>9880</v>
      </c>
      <c r="J4766">
        <v>312856940.12</v>
      </c>
      <c r="K4766">
        <v>370724926.60000002</v>
      </c>
      <c r="P4766">
        <v>2</v>
      </c>
      <c r="Q4766" t="s">
        <v>9881</v>
      </c>
    </row>
    <row r="4767" spans="1:17" x14ac:dyDescent="0.3">
      <c r="A4767" t="s">
        <v>17</v>
      </c>
      <c r="B4767" t="str">
        <f>"600677"</f>
        <v>600677</v>
      </c>
      <c r="C4767" t="s">
        <v>9882</v>
      </c>
      <c r="G4767">
        <v>6304037997</v>
      </c>
      <c r="H4767">
        <v>9253063338</v>
      </c>
      <c r="I4767">
        <v>16954151142</v>
      </c>
      <c r="J4767">
        <v>14456575285</v>
      </c>
      <c r="K4767">
        <v>11220585641</v>
      </c>
      <c r="L4767">
        <v>7006774962</v>
      </c>
      <c r="M4767">
        <v>7706924146</v>
      </c>
      <c r="N4767">
        <v>7518606080</v>
      </c>
      <c r="O4767">
        <v>6055647561</v>
      </c>
      <c r="P4767">
        <v>77</v>
      </c>
      <c r="Q4767" t="s">
        <v>9883</v>
      </c>
    </row>
    <row r="4768" spans="1:17" x14ac:dyDescent="0.3">
      <c r="A4768" t="s">
        <v>17</v>
      </c>
      <c r="B4768" t="str">
        <f>"600679"</f>
        <v>600679</v>
      </c>
      <c r="C4768" t="s">
        <v>9884</v>
      </c>
      <c r="D4768" t="s">
        <v>2210</v>
      </c>
      <c r="F4768">
        <v>3075659450</v>
      </c>
      <c r="G4768">
        <v>1834201274</v>
      </c>
      <c r="H4768">
        <v>1792093438</v>
      </c>
      <c r="I4768">
        <v>1782039909</v>
      </c>
      <c r="J4768">
        <v>1817886737</v>
      </c>
      <c r="K4768">
        <v>1692537565</v>
      </c>
      <c r="L4768">
        <v>1221927986</v>
      </c>
      <c r="M4768">
        <v>1125307557</v>
      </c>
      <c r="N4768">
        <v>1199126005</v>
      </c>
      <c r="O4768">
        <v>1152508183</v>
      </c>
      <c r="P4768">
        <v>77</v>
      </c>
      <c r="Q4768" t="s">
        <v>9885</v>
      </c>
    </row>
    <row r="4769" spans="1:17" x14ac:dyDescent="0.3">
      <c r="A4769" t="s">
        <v>17</v>
      </c>
      <c r="B4769" t="str">
        <f>"600680"</f>
        <v>600680</v>
      </c>
      <c r="C4769" t="s">
        <v>9886</v>
      </c>
      <c r="G4769">
        <v>1520280648</v>
      </c>
      <c r="H4769">
        <v>1795362587</v>
      </c>
      <c r="I4769">
        <v>2046068666</v>
      </c>
      <c r="J4769">
        <v>2773702542</v>
      </c>
      <c r="K4769">
        <v>3192514776.1300001</v>
      </c>
      <c r="L4769">
        <v>3228659497.5700002</v>
      </c>
      <c r="M4769">
        <v>2807927094.4200001</v>
      </c>
      <c r="N4769">
        <v>2413532618.0999999</v>
      </c>
      <c r="O4769">
        <v>2319771000.7399998</v>
      </c>
      <c r="P4769">
        <v>20</v>
      </c>
      <c r="Q4769" t="s">
        <v>9887</v>
      </c>
    </row>
    <row r="4770" spans="1:17" x14ac:dyDescent="0.3">
      <c r="A4770" t="s">
        <v>17</v>
      </c>
      <c r="B4770" t="str">
        <f>"600687"</f>
        <v>600687</v>
      </c>
      <c r="C4770" t="s">
        <v>9888</v>
      </c>
      <c r="G4770">
        <v>8207047262</v>
      </c>
      <c r="H4770">
        <v>11377094770</v>
      </c>
      <c r="I4770">
        <v>13239441448</v>
      </c>
      <c r="J4770">
        <v>11881914337</v>
      </c>
      <c r="K4770">
        <v>11313827875</v>
      </c>
      <c r="L4770">
        <v>4548620810</v>
      </c>
      <c r="M4770">
        <v>2121954077</v>
      </c>
      <c r="N4770">
        <v>751535595</v>
      </c>
      <c r="O4770">
        <v>737606384</v>
      </c>
      <c r="P4770">
        <v>58</v>
      </c>
      <c r="Q4770" t="s">
        <v>9889</v>
      </c>
    </row>
    <row r="4771" spans="1:17" x14ac:dyDescent="0.3">
      <c r="A4771" t="s">
        <v>17</v>
      </c>
      <c r="B4771" t="str">
        <f>"600700"</f>
        <v>600700</v>
      </c>
      <c r="C4771" t="s">
        <v>9890</v>
      </c>
      <c r="J4771">
        <v>280187268.19</v>
      </c>
      <c r="K4771">
        <v>282268864.04000002</v>
      </c>
      <c r="L4771">
        <v>287122259.25</v>
      </c>
      <c r="M4771">
        <v>282649867.05000001</v>
      </c>
      <c r="N4771">
        <v>287592240.10000002</v>
      </c>
      <c r="O4771">
        <v>292669264.43000001</v>
      </c>
      <c r="P4771">
        <v>5</v>
      </c>
      <c r="Q4771" t="s">
        <v>9891</v>
      </c>
    </row>
    <row r="4772" spans="1:17" x14ac:dyDescent="0.3">
      <c r="A4772" t="s">
        <v>17</v>
      </c>
      <c r="B4772" t="str">
        <f>"600701"</f>
        <v>600701</v>
      </c>
      <c r="C4772" t="s">
        <v>9892</v>
      </c>
      <c r="F4772">
        <v>3616496864</v>
      </c>
      <c r="G4772">
        <v>4120261078</v>
      </c>
      <c r="H4772">
        <v>6675258308</v>
      </c>
      <c r="I4772">
        <v>9672279574</v>
      </c>
      <c r="J4772">
        <v>7500816933</v>
      </c>
      <c r="K4772">
        <v>3074066121</v>
      </c>
      <c r="L4772">
        <v>3043097075</v>
      </c>
      <c r="M4772">
        <v>2997219305</v>
      </c>
      <c r="N4772">
        <v>1982299338</v>
      </c>
      <c r="O4772">
        <v>1918317411</v>
      </c>
      <c r="P4772">
        <v>55</v>
      </c>
      <c r="Q4772" t="s">
        <v>9893</v>
      </c>
    </row>
    <row r="4773" spans="1:17" x14ac:dyDescent="0.3">
      <c r="A4773" t="s">
        <v>17</v>
      </c>
      <c r="B4773" t="str">
        <f>"600709"</f>
        <v>600709</v>
      </c>
      <c r="C4773" t="s">
        <v>9894</v>
      </c>
      <c r="J4773">
        <v>141897366.41999999</v>
      </c>
      <c r="K4773">
        <v>153912964.88</v>
      </c>
      <c r="L4773">
        <v>155651636.28999999</v>
      </c>
      <c r="M4773">
        <v>161794225.61000001</v>
      </c>
      <c r="P4773">
        <v>4</v>
      </c>
      <c r="Q4773" t="s">
        <v>9895</v>
      </c>
    </row>
    <row r="4774" spans="1:17" x14ac:dyDescent="0.3">
      <c r="A4774" t="s">
        <v>17</v>
      </c>
      <c r="B4774" t="str">
        <f>"600723"</f>
        <v>600723</v>
      </c>
      <c r="C4774" t="s">
        <v>9896</v>
      </c>
      <c r="F4774">
        <v>8312032857</v>
      </c>
      <c r="G4774">
        <v>6420808953</v>
      </c>
      <c r="H4774">
        <v>6903042623</v>
      </c>
      <c r="I4774">
        <v>6704169192</v>
      </c>
      <c r="J4774">
        <v>6474327606</v>
      </c>
      <c r="K4774">
        <v>6231454662</v>
      </c>
      <c r="L4774">
        <v>6253865146</v>
      </c>
      <c r="M4774">
        <v>6252162831</v>
      </c>
      <c r="N4774">
        <v>6237697242</v>
      </c>
      <c r="O4774">
        <v>5595685891</v>
      </c>
      <c r="P4774">
        <v>180</v>
      </c>
      <c r="Q4774" t="s">
        <v>9897</v>
      </c>
    </row>
    <row r="4775" spans="1:17" x14ac:dyDescent="0.3">
      <c r="A4775" t="s">
        <v>17</v>
      </c>
      <c r="B4775" t="str">
        <f>"600747"</f>
        <v>600747</v>
      </c>
      <c r="C4775" t="s">
        <v>9898</v>
      </c>
      <c r="G4775">
        <v>521847124</v>
      </c>
      <c r="H4775">
        <v>2400602946</v>
      </c>
      <c r="I4775">
        <v>2406328709</v>
      </c>
      <c r="J4775">
        <v>2469747494</v>
      </c>
      <c r="K4775">
        <v>2577239026</v>
      </c>
      <c r="L4775">
        <v>2597611789</v>
      </c>
      <c r="M4775">
        <v>1196126270</v>
      </c>
      <c r="N4775">
        <v>1445568689</v>
      </c>
      <c r="O4775">
        <v>2098774010</v>
      </c>
      <c r="P4775">
        <v>21</v>
      </c>
      <c r="Q4775" t="s">
        <v>9899</v>
      </c>
    </row>
    <row r="4776" spans="1:17" x14ac:dyDescent="0.3">
      <c r="A4776" t="s">
        <v>17</v>
      </c>
      <c r="B4776" t="str">
        <f>"600748"</f>
        <v>600748</v>
      </c>
      <c r="C4776" t="s">
        <v>9900</v>
      </c>
      <c r="D4776" t="s">
        <v>76</v>
      </c>
      <c r="F4776">
        <v>44019837991</v>
      </c>
      <c r="G4776">
        <v>40101806194</v>
      </c>
      <c r="H4776">
        <v>37548587419</v>
      </c>
      <c r="I4776">
        <v>39586755574</v>
      </c>
      <c r="J4776">
        <v>35540448707</v>
      </c>
      <c r="K4776">
        <v>29420429493</v>
      </c>
      <c r="L4776">
        <v>18349758820</v>
      </c>
      <c r="M4776">
        <v>18974884273</v>
      </c>
      <c r="N4776">
        <v>19307734895</v>
      </c>
      <c r="O4776">
        <v>17944261366</v>
      </c>
      <c r="P4776">
        <v>188</v>
      </c>
      <c r="Q4776" t="s">
        <v>9901</v>
      </c>
    </row>
    <row r="4777" spans="1:17" x14ac:dyDescent="0.3">
      <c r="A4777" t="s">
        <v>17</v>
      </c>
      <c r="B4777" t="str">
        <f>"600752"</f>
        <v>600752</v>
      </c>
      <c r="C4777" t="s">
        <v>9902</v>
      </c>
      <c r="J4777">
        <v>45712455.420000002</v>
      </c>
      <c r="L4777">
        <v>75494694.959999993</v>
      </c>
      <c r="M4777">
        <v>75987915.209999993</v>
      </c>
      <c r="N4777">
        <v>77093657.109999999</v>
      </c>
      <c r="P4777">
        <v>2</v>
      </c>
      <c r="Q4777" t="s">
        <v>9903</v>
      </c>
    </row>
    <row r="4778" spans="1:17" x14ac:dyDescent="0.3">
      <c r="A4778" t="s">
        <v>17</v>
      </c>
      <c r="B4778" t="str">
        <f>"600781"</f>
        <v>600781</v>
      </c>
      <c r="C4778" t="s">
        <v>9904</v>
      </c>
      <c r="D4778" t="s">
        <v>550</v>
      </c>
      <c r="F4778">
        <v>10882909241</v>
      </c>
      <c r="G4778">
        <v>11613381378</v>
      </c>
      <c r="H4778">
        <v>10985537772</v>
      </c>
      <c r="I4778">
        <v>10057575672</v>
      </c>
      <c r="J4778">
        <v>1294531505</v>
      </c>
      <c r="K4778">
        <v>1136903679</v>
      </c>
      <c r="L4778">
        <v>1128875863</v>
      </c>
      <c r="M4778">
        <v>925112788</v>
      </c>
      <c r="N4778">
        <v>843428651</v>
      </c>
      <c r="O4778">
        <v>792764376</v>
      </c>
      <c r="P4778">
        <v>194</v>
      </c>
      <c r="Q4778" t="s">
        <v>9905</v>
      </c>
    </row>
    <row r="4779" spans="1:17" x14ac:dyDescent="0.3">
      <c r="A4779" t="s">
        <v>17</v>
      </c>
      <c r="B4779" t="str">
        <f>"600806"</f>
        <v>600806</v>
      </c>
      <c r="C4779" t="s">
        <v>9906</v>
      </c>
      <c r="I4779">
        <v>1641735228</v>
      </c>
      <c r="J4779">
        <v>2025750012</v>
      </c>
      <c r="K4779">
        <v>2725286110.1799998</v>
      </c>
      <c r="L4779">
        <v>2903356465.6900001</v>
      </c>
      <c r="M4779">
        <v>2771009261.9099998</v>
      </c>
      <c r="N4779">
        <v>2646806982.7399998</v>
      </c>
      <c r="O4779">
        <v>2599934955.4200001</v>
      </c>
      <c r="P4779">
        <v>11</v>
      </c>
      <c r="Q4779" t="s">
        <v>9907</v>
      </c>
    </row>
    <row r="4780" spans="1:17" x14ac:dyDescent="0.3">
      <c r="A4780" t="s">
        <v>17</v>
      </c>
      <c r="B4780" t="str">
        <f>"600813"</f>
        <v>600813</v>
      </c>
      <c r="C4780" t="s">
        <v>9908</v>
      </c>
      <c r="J4780">
        <v>71177853.930000007</v>
      </c>
      <c r="K4780">
        <v>57411255.630000003</v>
      </c>
      <c r="L4780">
        <v>26163250.23</v>
      </c>
      <c r="M4780">
        <v>221269112.03</v>
      </c>
      <c r="N4780">
        <v>243770847.88999999</v>
      </c>
      <c r="O4780">
        <v>264171133.28</v>
      </c>
      <c r="P4780">
        <v>2</v>
      </c>
      <c r="Q4780" t="s">
        <v>9909</v>
      </c>
    </row>
    <row r="4781" spans="1:17" x14ac:dyDescent="0.3">
      <c r="A4781" t="s">
        <v>17</v>
      </c>
      <c r="B4781" t="str">
        <f>"600832"</f>
        <v>600832</v>
      </c>
      <c r="C4781" t="s">
        <v>972</v>
      </c>
      <c r="L4781">
        <v>18116805421.02</v>
      </c>
      <c r="M4781">
        <v>12978660764.969999</v>
      </c>
      <c r="N4781">
        <v>12418042906.459999</v>
      </c>
      <c r="O4781">
        <v>12293421082.33</v>
      </c>
      <c r="P4781">
        <v>15</v>
      </c>
      <c r="Q4781" t="s">
        <v>9910</v>
      </c>
    </row>
    <row r="4782" spans="1:17" x14ac:dyDescent="0.3">
      <c r="A4782" t="s">
        <v>17</v>
      </c>
      <c r="B4782" t="str">
        <f>"600849"</f>
        <v>600849</v>
      </c>
      <c r="C4782" t="s">
        <v>361</v>
      </c>
      <c r="J4782">
        <v>88868767900</v>
      </c>
      <c r="K4782">
        <v>77810076989.410004</v>
      </c>
      <c r="L4782">
        <v>67328196957.519997</v>
      </c>
      <c r="M4782">
        <v>58237874041</v>
      </c>
      <c r="N4782">
        <v>52938336254.529999</v>
      </c>
      <c r="O4782">
        <v>49347515235.25</v>
      </c>
      <c r="P4782">
        <v>3</v>
      </c>
      <c r="Q4782" t="s">
        <v>9911</v>
      </c>
    </row>
    <row r="4783" spans="1:17" x14ac:dyDescent="0.3">
      <c r="A4783" t="s">
        <v>17</v>
      </c>
      <c r="B4783" t="str">
        <f>"600878"</f>
        <v>600878</v>
      </c>
      <c r="C4783" t="s">
        <v>9912</v>
      </c>
      <c r="J4783">
        <v>38638996.119999997</v>
      </c>
      <c r="P4783">
        <v>2</v>
      </c>
      <c r="Q4783" t="s">
        <v>9913</v>
      </c>
    </row>
    <row r="4784" spans="1:17" x14ac:dyDescent="0.3">
      <c r="A4784" t="s">
        <v>17</v>
      </c>
      <c r="B4784" t="str">
        <f>"600891"</f>
        <v>600891</v>
      </c>
      <c r="C4784" t="s">
        <v>9914</v>
      </c>
      <c r="F4784">
        <v>1066962247</v>
      </c>
      <c r="G4784">
        <v>1423442824</v>
      </c>
      <c r="H4784">
        <v>1441866830</v>
      </c>
      <c r="I4784">
        <v>5598535152</v>
      </c>
      <c r="J4784">
        <v>5447330828</v>
      </c>
      <c r="K4784">
        <v>3845994571</v>
      </c>
      <c r="L4784">
        <v>1209971489</v>
      </c>
      <c r="M4784">
        <v>1195453165</v>
      </c>
      <c r="N4784">
        <v>1198783333</v>
      </c>
      <c r="O4784">
        <v>1131068332</v>
      </c>
      <c r="P4784">
        <v>45</v>
      </c>
      <c r="Q4784" t="s">
        <v>9915</v>
      </c>
    </row>
    <row r="4785" spans="1:17" x14ac:dyDescent="0.3">
      <c r="A4785" t="s">
        <v>17</v>
      </c>
      <c r="B4785" t="str">
        <f>"600978"</f>
        <v>600978</v>
      </c>
      <c r="C4785" t="s">
        <v>9916</v>
      </c>
      <c r="G4785">
        <v>15472760599</v>
      </c>
      <c r="H4785">
        <v>18210162407</v>
      </c>
      <c r="I4785">
        <v>16324531880</v>
      </c>
      <c r="J4785">
        <v>17393353274</v>
      </c>
      <c r="K4785">
        <v>13169518401</v>
      </c>
      <c r="L4785">
        <v>10410982212</v>
      </c>
      <c r="M4785">
        <v>9763391107</v>
      </c>
      <c r="N4785">
        <v>8094826649</v>
      </c>
      <c r="O4785">
        <v>7268776511</v>
      </c>
      <c r="P4785">
        <v>167</v>
      </c>
      <c r="Q4785" t="s">
        <v>9917</v>
      </c>
    </row>
    <row r="4786" spans="1:17" x14ac:dyDescent="0.3">
      <c r="A4786" t="s">
        <v>17</v>
      </c>
      <c r="B4786" t="str">
        <f>"601268"</f>
        <v>601268</v>
      </c>
      <c r="C4786" t="s">
        <v>9918</v>
      </c>
      <c r="J4786">
        <v>13271883346.860001</v>
      </c>
      <c r="K4786">
        <v>13579741157.610001</v>
      </c>
      <c r="L4786">
        <v>15309059720.219999</v>
      </c>
      <c r="M4786">
        <v>19877561704.18</v>
      </c>
      <c r="N4786">
        <v>22963315636.380001</v>
      </c>
      <c r="O4786">
        <v>23163559914.990002</v>
      </c>
      <c r="P4786">
        <v>2</v>
      </c>
      <c r="Q4786" t="s">
        <v>9919</v>
      </c>
    </row>
    <row r="4787" spans="1:17" x14ac:dyDescent="0.3">
      <c r="A4787" t="s">
        <v>17</v>
      </c>
      <c r="B4787" t="str">
        <f>"601299"</f>
        <v>601299</v>
      </c>
      <c r="C4787" t="s">
        <v>9920</v>
      </c>
      <c r="L4787">
        <v>141474521000</v>
      </c>
      <c r="M4787">
        <v>131721498000</v>
      </c>
      <c r="N4787">
        <v>110611073000</v>
      </c>
      <c r="O4787">
        <v>109195932000</v>
      </c>
      <c r="P4787">
        <v>12</v>
      </c>
      <c r="Q4787" t="s">
        <v>9921</v>
      </c>
    </row>
    <row r="4788" spans="1:17" x14ac:dyDescent="0.3">
      <c r="A4788" t="s">
        <v>17</v>
      </c>
      <c r="B4788" t="str">
        <f>"601313"</f>
        <v>601313</v>
      </c>
      <c r="C4788" t="s">
        <v>9922</v>
      </c>
      <c r="I4788">
        <v>22868107000</v>
      </c>
      <c r="J4788">
        <v>2616806976</v>
      </c>
      <c r="K4788">
        <v>2648245928.3000002</v>
      </c>
      <c r="L4788">
        <v>2663597368.2800002</v>
      </c>
      <c r="M4788">
        <v>2467216897.5599999</v>
      </c>
      <c r="N4788">
        <v>2331679427.8699999</v>
      </c>
      <c r="O4788">
        <v>1906611469.6900001</v>
      </c>
      <c r="P4788">
        <v>53</v>
      </c>
      <c r="Q4788" t="s">
        <v>9923</v>
      </c>
    </row>
    <row r="4789" spans="1:17" x14ac:dyDescent="0.3">
      <c r="A4789" t="s">
        <v>17</v>
      </c>
      <c r="B4789" t="str">
        <f>"601558"</f>
        <v>601558</v>
      </c>
      <c r="C4789" t="s">
        <v>9924</v>
      </c>
      <c r="G4789">
        <v>5683403956</v>
      </c>
      <c r="H4789">
        <v>6024580705</v>
      </c>
      <c r="I4789">
        <v>6523493738</v>
      </c>
      <c r="J4789">
        <v>8387063820</v>
      </c>
      <c r="K4789">
        <v>12331999378</v>
      </c>
      <c r="L4789">
        <v>16825815853</v>
      </c>
      <c r="M4789">
        <v>22942606521</v>
      </c>
      <c r="N4789">
        <v>28148226953</v>
      </c>
      <c r="O4789">
        <v>30429623113</v>
      </c>
      <c r="P4789">
        <v>47</v>
      </c>
      <c r="Q4789" t="s">
        <v>9925</v>
      </c>
    </row>
    <row r="4790" spans="1:17" x14ac:dyDescent="0.3">
      <c r="A4790" t="s">
        <v>17</v>
      </c>
      <c r="B4790" t="str">
        <f>"603393"</f>
        <v>603393</v>
      </c>
      <c r="C4790" t="s">
        <v>9926</v>
      </c>
      <c r="D4790" t="s">
        <v>476</v>
      </c>
      <c r="F4790">
        <v>9469363598</v>
      </c>
      <c r="G4790">
        <v>8573207487</v>
      </c>
      <c r="H4790">
        <v>7943093467</v>
      </c>
      <c r="I4790">
        <v>2316372816</v>
      </c>
      <c r="J4790">
        <v>2128912753</v>
      </c>
      <c r="P4790">
        <v>498</v>
      </c>
      <c r="Q4790" t="s">
        <v>9927</v>
      </c>
    </row>
    <row r="4791" spans="1:17" x14ac:dyDescent="0.3">
      <c r="A4791" t="s">
        <v>17</v>
      </c>
      <c r="B4791" t="str">
        <f>"688213"</f>
        <v>688213</v>
      </c>
      <c r="C4791" t="s">
        <v>9928</v>
      </c>
      <c r="F4791">
        <v>2859450425</v>
      </c>
      <c r="Q4791" t="s">
        <v>9929</v>
      </c>
    </row>
    <row r="4792" spans="1:17" x14ac:dyDescent="0.3">
      <c r="A4792" t="s">
        <v>17</v>
      </c>
      <c r="B4792" t="str">
        <f>"688981"</f>
        <v>688981</v>
      </c>
      <c r="C4792" t="s">
        <v>9930</v>
      </c>
      <c r="D4792" t="s">
        <v>1560</v>
      </c>
      <c r="F4792">
        <v>202225416000</v>
      </c>
      <c r="G4792">
        <v>125655718676</v>
      </c>
      <c r="P4792">
        <v>1041</v>
      </c>
      <c r="Q4792" t="s">
        <v>9931</v>
      </c>
    </row>
    <row r="4793" spans="1:17" x14ac:dyDescent="0.3">
      <c r="A4793" t="s">
        <v>17</v>
      </c>
      <c r="B4793" t="str">
        <f>"900901"</f>
        <v>900901</v>
      </c>
      <c r="C4793" t="s">
        <v>9932</v>
      </c>
      <c r="F4793">
        <v>947281411.91040003</v>
      </c>
      <c r="G4793">
        <v>806565737.52390003</v>
      </c>
      <c r="H4793">
        <v>812234099.48300004</v>
      </c>
      <c r="I4793">
        <v>839191280.43019998</v>
      </c>
      <c r="J4793">
        <v>716867545.52160001</v>
      </c>
      <c r="K4793">
        <v>696363300.88269997</v>
      </c>
      <c r="L4793">
        <v>510556829.47509998</v>
      </c>
      <c r="M4793">
        <v>478101528.81120002</v>
      </c>
      <c r="N4793">
        <v>446564548.85000002</v>
      </c>
      <c r="O4793">
        <v>441074862.34680003</v>
      </c>
      <c r="P4793">
        <v>7</v>
      </c>
      <c r="Q4793" t="s">
        <v>9933</v>
      </c>
    </row>
    <row r="4794" spans="1:17" x14ac:dyDescent="0.3">
      <c r="A4794" t="s">
        <v>17</v>
      </c>
      <c r="B4794" t="str">
        <f>"900902"</f>
        <v>900902</v>
      </c>
      <c r="C4794" t="s">
        <v>9934</v>
      </c>
      <c r="F4794">
        <v>2934406306.9439998</v>
      </c>
      <c r="G4794">
        <v>2748187989.8185</v>
      </c>
      <c r="H4794">
        <v>2393427717.0809999</v>
      </c>
      <c r="I4794">
        <v>1908547179.6268001</v>
      </c>
      <c r="J4794">
        <v>1815957527.4984</v>
      </c>
      <c r="K4794">
        <v>1465089479.2837</v>
      </c>
      <c r="L4794">
        <v>628675566.9806</v>
      </c>
      <c r="M4794">
        <v>354281393.67839998</v>
      </c>
      <c r="N4794">
        <v>243875549.204</v>
      </c>
      <c r="O4794">
        <v>130560931.3856</v>
      </c>
      <c r="P4794">
        <v>10</v>
      </c>
      <c r="Q4794" t="s">
        <v>9935</v>
      </c>
    </row>
    <row r="4795" spans="1:17" x14ac:dyDescent="0.3">
      <c r="A4795" t="s">
        <v>17</v>
      </c>
      <c r="B4795" t="str">
        <f>"900903"</f>
        <v>900903</v>
      </c>
      <c r="C4795" t="s">
        <v>9936</v>
      </c>
      <c r="F4795">
        <v>2699788546.0560002</v>
      </c>
      <c r="G4795">
        <v>2281171319.0173998</v>
      </c>
      <c r="H4795">
        <v>2483897203.0229998</v>
      </c>
      <c r="I4795">
        <v>2511617790.1546001</v>
      </c>
      <c r="J4795">
        <v>2305778339.7528</v>
      </c>
      <c r="K4795">
        <v>2352481161.5707002</v>
      </c>
      <c r="L4795">
        <v>1895628949.4614999</v>
      </c>
      <c r="M4795">
        <v>1627774926.5592</v>
      </c>
      <c r="N4795">
        <v>1561956233.4319999</v>
      </c>
      <c r="O4795">
        <v>1540851836.7892001</v>
      </c>
      <c r="P4795">
        <v>32</v>
      </c>
      <c r="Q4795" t="s">
        <v>9937</v>
      </c>
    </row>
    <row r="4796" spans="1:17" x14ac:dyDescent="0.3">
      <c r="A4796" t="s">
        <v>17</v>
      </c>
      <c r="B4796" t="str">
        <f>"900904"</f>
        <v>900904</v>
      </c>
      <c r="C4796" t="s">
        <v>9938</v>
      </c>
      <c r="F4796">
        <v>482240466.35280001</v>
      </c>
      <c r="G4796">
        <v>508054123.61970001</v>
      </c>
      <c r="H4796">
        <v>490039739.04100001</v>
      </c>
      <c r="I4796">
        <v>506788336.28219998</v>
      </c>
      <c r="J4796">
        <v>452408321.3628</v>
      </c>
      <c r="K4796">
        <v>409517881.23040003</v>
      </c>
      <c r="L4796">
        <v>405623980.81739998</v>
      </c>
      <c r="M4796">
        <v>342960145.54079998</v>
      </c>
      <c r="N4796">
        <v>42118952.239</v>
      </c>
      <c r="O4796">
        <v>38029047.8028</v>
      </c>
      <c r="P4796">
        <v>8</v>
      </c>
      <c r="Q4796" t="s">
        <v>9939</v>
      </c>
    </row>
    <row r="4797" spans="1:17" x14ac:dyDescent="0.3">
      <c r="A4797" t="s">
        <v>17</v>
      </c>
      <c r="B4797" t="str">
        <f>"900905"</f>
        <v>900905</v>
      </c>
      <c r="C4797" t="s">
        <v>9940</v>
      </c>
      <c r="F4797">
        <v>3328006001.1756001</v>
      </c>
      <c r="G4797">
        <v>2725251503.1666999</v>
      </c>
      <c r="H4797">
        <v>2679214914.2010002</v>
      </c>
      <c r="I4797">
        <v>2338084012.9236002</v>
      </c>
      <c r="J4797">
        <v>2031131481.8255999</v>
      </c>
      <c r="K4797">
        <v>1895669888.4788001</v>
      </c>
      <c r="L4797">
        <v>2025076117.4384999</v>
      </c>
      <c r="M4797">
        <v>1743058106.2368</v>
      </c>
      <c r="N4797">
        <v>1334799956.0769999</v>
      </c>
      <c r="O4797">
        <v>1255136094.4544001</v>
      </c>
      <c r="P4797">
        <v>473</v>
      </c>
      <c r="Q4797" t="s">
        <v>9941</v>
      </c>
    </row>
    <row r="4798" spans="1:17" x14ac:dyDescent="0.3">
      <c r="A4798" t="s">
        <v>17</v>
      </c>
      <c r="B4798" t="str">
        <f>"900906"</f>
        <v>900906</v>
      </c>
      <c r="C4798" t="s">
        <v>9942</v>
      </c>
      <c r="F4798">
        <v>208706527.26480001</v>
      </c>
      <c r="G4798">
        <v>180981402.74250001</v>
      </c>
      <c r="H4798">
        <v>3911169.838</v>
      </c>
      <c r="I4798">
        <v>69017205.989800006</v>
      </c>
      <c r="J4798">
        <v>250670412.4452</v>
      </c>
      <c r="K4798">
        <v>190336016.66460001</v>
      </c>
      <c r="L4798">
        <v>182473509.85049999</v>
      </c>
      <c r="M4798">
        <v>54559225.332000002</v>
      </c>
      <c r="N4798">
        <v>59778869.163999997</v>
      </c>
      <c r="O4798">
        <v>59805243.845200002</v>
      </c>
      <c r="P4798">
        <v>4</v>
      </c>
      <c r="Q4798" t="s">
        <v>9943</v>
      </c>
    </row>
    <row r="4799" spans="1:17" x14ac:dyDescent="0.3">
      <c r="A4799" t="s">
        <v>17</v>
      </c>
      <c r="B4799" t="str">
        <f>"900907"</f>
        <v>900907</v>
      </c>
      <c r="C4799" t="s">
        <v>9944</v>
      </c>
      <c r="F4799">
        <v>378993203.81040001</v>
      </c>
      <c r="G4799">
        <v>663867394.42859995</v>
      </c>
      <c r="H4799">
        <v>751297501.68799996</v>
      </c>
      <c r="I4799">
        <v>1395699179.3394001</v>
      </c>
      <c r="J4799">
        <v>1197157751.8296001</v>
      </c>
      <c r="K4799">
        <v>1308238050.0130999</v>
      </c>
      <c r="L4799">
        <v>1010435444.1022</v>
      </c>
      <c r="M4799">
        <v>449708220.24959999</v>
      </c>
      <c r="N4799">
        <v>434808589.99199998</v>
      </c>
      <c r="O4799">
        <v>389319348.98400003</v>
      </c>
      <c r="P4799">
        <v>4</v>
      </c>
      <c r="Q4799" t="s">
        <v>9945</v>
      </c>
    </row>
    <row r="4800" spans="1:17" x14ac:dyDescent="0.3">
      <c r="A4800" t="s">
        <v>17</v>
      </c>
      <c r="B4800" t="str">
        <f>"900908"</f>
        <v>900908</v>
      </c>
      <c r="C4800" t="s">
        <v>9946</v>
      </c>
      <c r="F4800">
        <v>1054378495.8108</v>
      </c>
      <c r="G4800">
        <v>855561301.20019996</v>
      </c>
      <c r="H4800">
        <v>831916507.33599997</v>
      </c>
      <c r="I4800">
        <v>756951762.19000006</v>
      </c>
      <c r="J4800">
        <v>693466807.44000006</v>
      </c>
      <c r="K4800">
        <v>761817610.05429995</v>
      </c>
      <c r="L4800">
        <v>947041589.24749994</v>
      </c>
      <c r="M4800">
        <v>951307989.0072</v>
      </c>
      <c r="N4800">
        <v>1000837012.238</v>
      </c>
      <c r="O4800">
        <v>973209945.79159999</v>
      </c>
      <c r="P4800">
        <v>50</v>
      </c>
      <c r="Q4800" t="s">
        <v>9947</v>
      </c>
    </row>
    <row r="4801" spans="1:17" x14ac:dyDescent="0.3">
      <c r="A4801" t="s">
        <v>17</v>
      </c>
      <c r="B4801" t="str">
        <f>"900909"</f>
        <v>900909</v>
      </c>
      <c r="C4801" t="s">
        <v>9948</v>
      </c>
      <c r="F4801">
        <v>7315944322.0572004</v>
      </c>
      <c r="G4801">
        <v>6676476143.0008001</v>
      </c>
      <c r="H4801">
        <v>6789031242.2810001</v>
      </c>
      <c r="I4801">
        <v>6283165414.1772003</v>
      </c>
      <c r="J4801">
        <v>5589509042.8584003</v>
      </c>
      <c r="K4801">
        <v>5063062385.0091</v>
      </c>
      <c r="L4801">
        <v>2235304104.5545001</v>
      </c>
      <c r="M4801">
        <v>2324017424.7048001</v>
      </c>
      <c r="N4801">
        <v>1933073880.6259999</v>
      </c>
      <c r="O4801">
        <v>1707099426.2556</v>
      </c>
      <c r="P4801">
        <v>24</v>
      </c>
      <c r="Q4801" t="s">
        <v>9949</v>
      </c>
    </row>
    <row r="4802" spans="1:17" x14ac:dyDescent="0.3">
      <c r="A4802" t="s">
        <v>17</v>
      </c>
      <c r="B4802" t="str">
        <f>"900910"</f>
        <v>900910</v>
      </c>
      <c r="C4802" t="s">
        <v>9950</v>
      </c>
      <c r="F4802">
        <v>2860977789.9456</v>
      </c>
      <c r="G4802">
        <v>1988947498.2853999</v>
      </c>
      <c r="H4802">
        <v>2148614935.7319999</v>
      </c>
      <c r="I4802">
        <v>2240877770.8396001</v>
      </c>
      <c r="J4802">
        <v>1779961568.4576001</v>
      </c>
      <c r="K4802">
        <v>1705087018.5272</v>
      </c>
      <c r="L4802">
        <v>1383375152.0453999</v>
      </c>
      <c r="M4802">
        <v>1453212670.2623999</v>
      </c>
      <c r="N4802">
        <v>1323014625.506</v>
      </c>
      <c r="O4802">
        <v>1147570546.1112001</v>
      </c>
      <c r="P4802">
        <v>13</v>
      </c>
      <c r="Q4802" t="s">
        <v>9951</v>
      </c>
    </row>
    <row r="4803" spans="1:17" x14ac:dyDescent="0.3">
      <c r="A4803" t="s">
        <v>17</v>
      </c>
      <c r="B4803" t="str">
        <f>"900911"</f>
        <v>900911</v>
      </c>
      <c r="C4803" t="s">
        <v>9952</v>
      </c>
      <c r="F4803">
        <v>4438045240.8336</v>
      </c>
      <c r="G4803">
        <v>3420930322.5625</v>
      </c>
      <c r="H4803">
        <v>3105680470.8569999</v>
      </c>
      <c r="I4803">
        <v>3296079137.1718001</v>
      </c>
      <c r="J4803">
        <v>2555903212.4208002</v>
      </c>
      <c r="K4803">
        <v>2694423388.5078001</v>
      </c>
      <c r="L4803">
        <v>2281612903.2382998</v>
      </c>
      <c r="M4803">
        <v>1657149701.7191999</v>
      </c>
      <c r="N4803">
        <v>1546174626.388</v>
      </c>
      <c r="O4803">
        <v>1460025724.6552</v>
      </c>
      <c r="P4803">
        <v>73</v>
      </c>
      <c r="Q4803" t="s">
        <v>9953</v>
      </c>
    </row>
    <row r="4804" spans="1:17" x14ac:dyDescent="0.3">
      <c r="A4804" t="s">
        <v>17</v>
      </c>
      <c r="B4804" t="str">
        <f>"900912"</f>
        <v>900912</v>
      </c>
      <c r="C4804" t="s">
        <v>9954</v>
      </c>
      <c r="F4804">
        <v>5779583187.1655998</v>
      </c>
      <c r="G4804">
        <v>4744804170.5403996</v>
      </c>
      <c r="H4804">
        <v>4358540151.276</v>
      </c>
      <c r="I4804">
        <v>4996994677.7754002</v>
      </c>
      <c r="J4804">
        <v>4251462516.1403999</v>
      </c>
      <c r="K4804">
        <v>4320454181.7083998</v>
      </c>
      <c r="L4804">
        <v>4148866571.2528</v>
      </c>
      <c r="M4804">
        <v>3967447115.1816001</v>
      </c>
      <c r="N4804">
        <v>4037859198.961</v>
      </c>
      <c r="O4804">
        <v>3624362365.0567999</v>
      </c>
      <c r="P4804">
        <v>18</v>
      </c>
      <c r="Q4804" t="s">
        <v>9955</v>
      </c>
    </row>
    <row r="4805" spans="1:17" x14ac:dyDescent="0.3">
      <c r="A4805" t="s">
        <v>17</v>
      </c>
      <c r="B4805" t="str">
        <f>"900913"</f>
        <v>900913</v>
      </c>
      <c r="C4805" t="s">
        <v>9956</v>
      </c>
      <c r="F4805">
        <v>4252041966.816</v>
      </c>
      <c r="G4805">
        <v>4376956736.8063002</v>
      </c>
      <c r="H4805">
        <v>4399215755.1459999</v>
      </c>
      <c r="I4805">
        <v>4338262005.6725998</v>
      </c>
      <c r="J4805">
        <v>3407825603.5956001</v>
      </c>
      <c r="K4805">
        <v>2839331743.382</v>
      </c>
      <c r="L4805">
        <v>2403548640.0725999</v>
      </c>
      <c r="M4805">
        <v>2014388422.3872001</v>
      </c>
      <c r="N4805">
        <v>3333300.2080000001</v>
      </c>
      <c r="O4805">
        <v>1528052.0471999999</v>
      </c>
      <c r="P4805">
        <v>7</v>
      </c>
      <c r="Q4805" t="s">
        <v>9957</v>
      </c>
    </row>
    <row r="4806" spans="1:17" x14ac:dyDescent="0.3">
      <c r="A4806" t="s">
        <v>17</v>
      </c>
      <c r="B4806" t="str">
        <f>"900914"</f>
        <v>900914</v>
      </c>
      <c r="C4806" t="s">
        <v>9958</v>
      </c>
      <c r="F4806">
        <v>805105218.79320002</v>
      </c>
      <c r="G4806">
        <v>654939755.33109999</v>
      </c>
      <c r="H4806">
        <v>719973882.37100005</v>
      </c>
      <c r="I4806">
        <v>712647281.84819996</v>
      </c>
      <c r="J4806">
        <v>654365363.94239998</v>
      </c>
      <c r="K4806">
        <v>723852193.49409997</v>
      </c>
      <c r="L4806">
        <v>558387773.1918</v>
      </c>
      <c r="M4806">
        <v>545413529.42639995</v>
      </c>
      <c r="N4806">
        <v>500401496.63</v>
      </c>
      <c r="O4806">
        <v>487528832.62800002</v>
      </c>
      <c r="P4806">
        <v>20</v>
      </c>
      <c r="Q4806" t="s">
        <v>9959</v>
      </c>
    </row>
    <row r="4807" spans="1:17" x14ac:dyDescent="0.3">
      <c r="A4807" t="s">
        <v>17</v>
      </c>
      <c r="B4807" t="str">
        <f>"900915"</f>
        <v>900915</v>
      </c>
      <c r="C4807" t="s">
        <v>9960</v>
      </c>
      <c r="F4807">
        <v>141148463.6004</v>
      </c>
      <c r="G4807">
        <v>131728207.9781</v>
      </c>
      <c r="H4807">
        <v>150791458.43900001</v>
      </c>
      <c r="I4807">
        <v>156661633.12900001</v>
      </c>
      <c r="J4807">
        <v>156364797.96959999</v>
      </c>
      <c r="K4807">
        <v>139098984.3448</v>
      </c>
      <c r="L4807">
        <v>131936538.1367</v>
      </c>
      <c r="M4807">
        <v>105372661.7784</v>
      </c>
      <c r="N4807">
        <v>117462250.073</v>
      </c>
      <c r="O4807">
        <v>116435804.77760001</v>
      </c>
      <c r="P4807">
        <v>6</v>
      </c>
      <c r="Q4807" t="s">
        <v>9961</v>
      </c>
    </row>
    <row r="4808" spans="1:17" x14ac:dyDescent="0.3">
      <c r="A4808" t="s">
        <v>17</v>
      </c>
      <c r="B4808" t="str">
        <f>"900916"</f>
        <v>900916</v>
      </c>
      <c r="C4808" t="s">
        <v>9962</v>
      </c>
      <c r="F4808">
        <v>468730500.18000001</v>
      </c>
      <c r="G4808">
        <v>258530669.57030001</v>
      </c>
      <c r="H4808">
        <v>267021922.26199999</v>
      </c>
      <c r="I4808">
        <v>284057161.4946</v>
      </c>
      <c r="J4808">
        <v>263957154.21239999</v>
      </c>
      <c r="K4808">
        <v>262174068.81850001</v>
      </c>
      <c r="L4808">
        <v>197096984.14179999</v>
      </c>
      <c r="M4808">
        <v>180949455.1656</v>
      </c>
      <c r="N4808">
        <v>193059286.80500001</v>
      </c>
      <c r="O4808">
        <v>183018299.46039999</v>
      </c>
      <c r="P4808">
        <v>7</v>
      </c>
      <c r="Q4808" t="s">
        <v>9963</v>
      </c>
    </row>
    <row r="4809" spans="1:17" x14ac:dyDescent="0.3">
      <c r="A4809" t="s">
        <v>17</v>
      </c>
      <c r="B4809" t="str">
        <f>"900917"</f>
        <v>900917</v>
      </c>
      <c r="C4809" t="s">
        <v>9964</v>
      </c>
      <c r="F4809">
        <v>808026428.54639995</v>
      </c>
      <c r="G4809">
        <v>697442418.07340002</v>
      </c>
      <c r="H4809">
        <v>763219750.84300005</v>
      </c>
      <c r="I4809">
        <v>765923495.07179999</v>
      </c>
      <c r="J4809">
        <v>771351893.88839996</v>
      </c>
      <c r="K4809">
        <v>857761800.91040003</v>
      </c>
      <c r="L4809">
        <v>1126921463.6505001</v>
      </c>
      <c r="M4809">
        <v>638349050.24160004</v>
      </c>
      <c r="N4809">
        <v>663547786.18099999</v>
      </c>
      <c r="O4809">
        <v>667816535.75759995</v>
      </c>
      <c r="P4809">
        <v>12</v>
      </c>
      <c r="Q4809" t="s">
        <v>9965</v>
      </c>
    </row>
    <row r="4810" spans="1:17" x14ac:dyDescent="0.3">
      <c r="A4810" t="s">
        <v>17</v>
      </c>
      <c r="B4810" t="str">
        <f>"900918"</f>
        <v>900918</v>
      </c>
      <c r="C4810" t="s">
        <v>9966</v>
      </c>
      <c r="F4810">
        <v>1043143223.2344</v>
      </c>
      <c r="G4810">
        <v>932341821.93570006</v>
      </c>
      <c r="H4810">
        <v>1102643896.2939999</v>
      </c>
      <c r="I4810">
        <v>1139088467.8388</v>
      </c>
      <c r="J4810">
        <v>1070306905.6812</v>
      </c>
      <c r="K4810">
        <v>1358867635.9418001</v>
      </c>
      <c r="L4810">
        <v>1361217734.293</v>
      </c>
      <c r="M4810">
        <v>1156774827.1224</v>
      </c>
      <c r="N4810">
        <v>1019438184.107</v>
      </c>
      <c r="O4810">
        <v>1034784818.7248</v>
      </c>
      <c r="P4810">
        <v>10</v>
      </c>
      <c r="Q4810" t="s">
        <v>9967</v>
      </c>
    </row>
    <row r="4811" spans="1:17" x14ac:dyDescent="0.3">
      <c r="A4811" t="s">
        <v>17</v>
      </c>
      <c r="B4811" t="str">
        <f>"900919"</f>
        <v>900919</v>
      </c>
      <c r="C4811" t="s">
        <v>9968</v>
      </c>
      <c r="F4811">
        <v>136336209.72479999</v>
      </c>
      <c r="G4811">
        <v>111183812.3891</v>
      </c>
      <c r="H4811">
        <v>135800111.60499999</v>
      </c>
      <c r="I4811">
        <v>162066499.94639999</v>
      </c>
      <c r="J4811">
        <v>194775402.6636</v>
      </c>
      <c r="K4811">
        <v>182055099.0661</v>
      </c>
      <c r="L4811">
        <v>209441070.38769999</v>
      </c>
      <c r="M4811">
        <v>65562138.995999999</v>
      </c>
      <c r="N4811">
        <v>98223587.916999996</v>
      </c>
      <c r="O4811">
        <v>97237808.199599996</v>
      </c>
      <c r="P4811">
        <v>5</v>
      </c>
      <c r="Q4811" t="s">
        <v>9969</v>
      </c>
    </row>
    <row r="4812" spans="1:17" x14ac:dyDescent="0.3">
      <c r="A4812" t="s">
        <v>17</v>
      </c>
      <c r="B4812" t="str">
        <f>"900920"</f>
        <v>900920</v>
      </c>
      <c r="C4812" t="s">
        <v>9970</v>
      </c>
      <c r="F4812">
        <v>1477572079.4447999</v>
      </c>
      <c r="G4812">
        <v>1052035933.1578</v>
      </c>
      <c r="H4812">
        <v>1050285630.65</v>
      </c>
      <c r="I4812">
        <v>1095872657.2981999</v>
      </c>
      <c r="J4812">
        <v>856454515.87080002</v>
      </c>
      <c r="K4812">
        <v>848471089.12759995</v>
      </c>
      <c r="L4812">
        <v>868556653.17579997</v>
      </c>
      <c r="M4812">
        <v>904589061.49199998</v>
      </c>
      <c r="N4812">
        <v>827416150.42799997</v>
      </c>
      <c r="O4812">
        <v>809393725.97479999</v>
      </c>
      <c r="P4812">
        <v>12</v>
      </c>
      <c r="Q4812" t="s">
        <v>9971</v>
      </c>
    </row>
    <row r="4813" spans="1:17" x14ac:dyDescent="0.3">
      <c r="A4813" t="s">
        <v>17</v>
      </c>
      <c r="B4813" t="str">
        <f>"900921"</f>
        <v>900921</v>
      </c>
      <c r="C4813" t="s">
        <v>9972</v>
      </c>
      <c r="F4813">
        <v>375735027.44639999</v>
      </c>
      <c r="G4813">
        <v>463218642.39050001</v>
      </c>
      <c r="H4813">
        <v>501889328.79299998</v>
      </c>
      <c r="I4813">
        <v>560256703.01779997</v>
      </c>
      <c r="J4813">
        <v>498140148.32999998</v>
      </c>
      <c r="K4813">
        <v>485691854.83969998</v>
      </c>
      <c r="L4813">
        <v>542514268.58060002</v>
      </c>
      <c r="M4813">
        <v>563287476.93840003</v>
      </c>
      <c r="N4813">
        <v>584559679.38199997</v>
      </c>
      <c r="O4813">
        <v>676664499.68920004</v>
      </c>
      <c r="P4813">
        <v>6</v>
      </c>
      <c r="Q4813" t="s">
        <v>9973</v>
      </c>
    </row>
    <row r="4814" spans="1:17" x14ac:dyDescent="0.3">
      <c r="A4814" t="s">
        <v>17</v>
      </c>
      <c r="B4814" t="str">
        <f>"900922"</f>
        <v>900922</v>
      </c>
      <c r="C4814" t="s">
        <v>9974</v>
      </c>
      <c r="F4814">
        <v>110927186.06999999</v>
      </c>
      <c r="G4814">
        <v>101354715.022</v>
      </c>
      <c r="H4814">
        <v>104190718.33400001</v>
      </c>
      <c r="I4814">
        <v>114614545.77940001</v>
      </c>
      <c r="J4814">
        <v>112172090.1312</v>
      </c>
      <c r="K4814">
        <v>123014188.4818</v>
      </c>
      <c r="L4814">
        <v>122805748.0641</v>
      </c>
      <c r="M4814">
        <v>143149844.28</v>
      </c>
      <c r="N4814">
        <v>189013858.803</v>
      </c>
      <c r="O4814">
        <v>175713701.77160001</v>
      </c>
      <c r="P4814">
        <v>9</v>
      </c>
      <c r="Q4814" t="s">
        <v>9975</v>
      </c>
    </row>
    <row r="4815" spans="1:17" x14ac:dyDescent="0.3">
      <c r="A4815" t="s">
        <v>17</v>
      </c>
      <c r="B4815" t="str">
        <f>"900923"</f>
        <v>900923</v>
      </c>
      <c r="C4815" t="s">
        <v>9976</v>
      </c>
      <c r="F4815">
        <v>8729259644.316</v>
      </c>
      <c r="G4815">
        <v>7134443582.9182997</v>
      </c>
      <c r="H4815">
        <v>6895288975.7799997</v>
      </c>
      <c r="I4815">
        <v>7089996988.915</v>
      </c>
      <c r="J4815">
        <v>6536036991.7788</v>
      </c>
      <c r="K4815">
        <v>6450513518.7495003</v>
      </c>
      <c r="L4815">
        <v>7087613479.5207005</v>
      </c>
      <c r="M4815">
        <v>6247903461.1415997</v>
      </c>
      <c r="N4815">
        <v>6459903493.4630003</v>
      </c>
      <c r="O4815">
        <v>5833185192.8355999</v>
      </c>
      <c r="P4815">
        <v>26</v>
      </c>
      <c r="Q4815" t="s">
        <v>9977</v>
      </c>
    </row>
    <row r="4816" spans="1:17" x14ac:dyDescent="0.3">
      <c r="A4816" t="s">
        <v>17</v>
      </c>
      <c r="B4816" t="str">
        <f>"900924"</f>
        <v>900924</v>
      </c>
      <c r="C4816" t="s">
        <v>9978</v>
      </c>
      <c r="F4816">
        <v>723369238.65359998</v>
      </c>
      <c r="G4816">
        <v>619871982.95169997</v>
      </c>
      <c r="H4816">
        <v>620489979.42200005</v>
      </c>
      <c r="I4816">
        <v>590034265.95360005</v>
      </c>
      <c r="J4816">
        <v>509455151.19840002</v>
      </c>
      <c r="K4816">
        <v>514339013.44029999</v>
      </c>
      <c r="L4816">
        <v>434299055.25089997</v>
      </c>
      <c r="M4816">
        <v>427584817.08719999</v>
      </c>
      <c r="N4816">
        <v>257138904.05000001</v>
      </c>
      <c r="O4816">
        <v>252049265.7588</v>
      </c>
      <c r="P4816">
        <v>11</v>
      </c>
      <c r="Q4816" t="s">
        <v>9979</v>
      </c>
    </row>
    <row r="4817" spans="1:17" x14ac:dyDescent="0.3">
      <c r="A4817" t="s">
        <v>17</v>
      </c>
      <c r="B4817" t="str">
        <f>"900925"</f>
        <v>900925</v>
      </c>
      <c r="C4817" t="s">
        <v>9980</v>
      </c>
      <c r="F4817">
        <v>5568818343.5195999</v>
      </c>
      <c r="G4817">
        <v>4774649739.9226999</v>
      </c>
      <c r="H4817">
        <v>5004876201.8830004</v>
      </c>
      <c r="I4817">
        <v>5381326742.0808001</v>
      </c>
      <c r="J4817">
        <v>4761998525.1035995</v>
      </c>
      <c r="K4817">
        <v>4716487803.5572004</v>
      </c>
      <c r="L4817">
        <v>4834722620.4694004</v>
      </c>
      <c r="M4817">
        <v>4521404041.8719997</v>
      </c>
      <c r="N4817">
        <v>3958468784.7179999</v>
      </c>
      <c r="O4817">
        <v>2894755156.8527999</v>
      </c>
      <c r="P4817">
        <v>83</v>
      </c>
      <c r="Q4817" t="s">
        <v>9981</v>
      </c>
    </row>
    <row r="4818" spans="1:17" x14ac:dyDescent="0.3">
      <c r="A4818" t="s">
        <v>17</v>
      </c>
      <c r="B4818" t="str">
        <f>"900926"</f>
        <v>900926</v>
      </c>
      <c r="C4818" t="s">
        <v>9982</v>
      </c>
      <c r="F4818">
        <v>2207483593.3044</v>
      </c>
      <c r="G4818">
        <v>1809981014.2723</v>
      </c>
      <c r="H4818">
        <v>1433998392.4649999</v>
      </c>
      <c r="I4818">
        <v>1403943930.1057999</v>
      </c>
      <c r="J4818">
        <v>976204207.62479997</v>
      </c>
      <c r="K4818">
        <v>977162389.09730005</v>
      </c>
      <c r="L4818">
        <v>844358156.1918</v>
      </c>
      <c r="M4818">
        <v>750287609.05439997</v>
      </c>
      <c r="N4818">
        <v>540051976.26100004</v>
      </c>
      <c r="O4818">
        <v>463110515.83359998</v>
      </c>
      <c r="P4818">
        <v>63</v>
      </c>
      <c r="Q4818" t="s">
        <v>9983</v>
      </c>
    </row>
    <row r="4819" spans="1:17" x14ac:dyDescent="0.3">
      <c r="A4819" t="s">
        <v>17</v>
      </c>
      <c r="B4819" t="str">
        <f>"900927"</f>
        <v>900927</v>
      </c>
      <c r="C4819" t="s">
        <v>9984</v>
      </c>
      <c r="F4819">
        <v>270510536.44800001</v>
      </c>
      <c r="G4819">
        <v>245019932.83230001</v>
      </c>
      <c r="H4819">
        <v>257969504.891</v>
      </c>
      <c r="I4819">
        <v>339819210.86400002</v>
      </c>
      <c r="J4819">
        <v>287888497.23479998</v>
      </c>
      <c r="K4819">
        <v>715282261.77170002</v>
      </c>
      <c r="L4819">
        <v>1511251182.2114</v>
      </c>
      <c r="M4819">
        <v>1852782383.9256001</v>
      </c>
      <c r="N4819">
        <v>2128757581.2579999</v>
      </c>
      <c r="O4819">
        <v>1965604034.9256001</v>
      </c>
      <c r="P4819">
        <v>5</v>
      </c>
      <c r="Q4819" t="s">
        <v>9985</v>
      </c>
    </row>
    <row r="4820" spans="1:17" x14ac:dyDescent="0.3">
      <c r="A4820" t="s">
        <v>17</v>
      </c>
      <c r="B4820" t="str">
        <f>"900928"</f>
        <v>900928</v>
      </c>
      <c r="C4820" t="s">
        <v>9986</v>
      </c>
      <c r="F4820">
        <v>7028794441.0368004</v>
      </c>
      <c r="G4820">
        <v>5238388759.1420002</v>
      </c>
      <c r="H4820">
        <v>2428759082.8210001</v>
      </c>
      <c r="I4820">
        <v>2226451286.9103999</v>
      </c>
      <c r="J4820">
        <v>1795964346.2112</v>
      </c>
      <c r="K4820">
        <v>1086369693.5618</v>
      </c>
      <c r="L4820">
        <v>281209755.44400001</v>
      </c>
      <c r="M4820">
        <v>296595716.9016</v>
      </c>
      <c r="N4820">
        <v>277805162.222</v>
      </c>
      <c r="O4820">
        <v>236234006.93079999</v>
      </c>
      <c r="P4820">
        <v>14</v>
      </c>
      <c r="Q4820" t="s">
        <v>9987</v>
      </c>
    </row>
    <row r="4821" spans="1:17" x14ac:dyDescent="0.3">
      <c r="A4821" t="s">
        <v>17</v>
      </c>
      <c r="B4821" t="str">
        <f>"900930"</f>
        <v>900930</v>
      </c>
      <c r="C4821" t="s">
        <v>9988</v>
      </c>
      <c r="G4821">
        <v>214283557.33559999</v>
      </c>
      <c r="H4821">
        <v>267509025.463</v>
      </c>
      <c r="I4821">
        <v>326143345.36040002</v>
      </c>
      <c r="J4821">
        <v>402741609.0984</v>
      </c>
      <c r="K4821">
        <v>494520538.82249999</v>
      </c>
      <c r="L4821">
        <v>520782776.958</v>
      </c>
      <c r="M4821">
        <v>451514676.7827</v>
      </c>
      <c r="N4821">
        <v>388578751.51410002</v>
      </c>
      <c r="O4821">
        <v>368379634.91750002</v>
      </c>
      <c r="P4821">
        <v>1</v>
      </c>
      <c r="Q4821" t="s">
        <v>9989</v>
      </c>
    </row>
    <row r="4822" spans="1:17" x14ac:dyDescent="0.3">
      <c r="A4822" t="s">
        <v>17</v>
      </c>
      <c r="B4822" t="str">
        <f>"900931"</f>
        <v>900931</v>
      </c>
      <c r="C4822" t="s">
        <v>9990</v>
      </c>
      <c r="J4822">
        <v>4797791.8464000002</v>
      </c>
      <c r="K4822">
        <v>5906629.9144000001</v>
      </c>
      <c r="L4822">
        <v>7172897.6705999998</v>
      </c>
      <c r="M4822">
        <v>11209989.365</v>
      </c>
      <c r="N4822">
        <v>4422558.7988999998</v>
      </c>
      <c r="O4822">
        <v>3835681.9720999999</v>
      </c>
      <c r="P4822">
        <v>1</v>
      </c>
      <c r="Q4822" t="s">
        <v>9991</v>
      </c>
    </row>
    <row r="4823" spans="1:17" x14ac:dyDescent="0.3">
      <c r="A4823" t="s">
        <v>17</v>
      </c>
      <c r="B4823" t="str">
        <f>"900932"</f>
        <v>900932</v>
      </c>
      <c r="C4823" t="s">
        <v>9992</v>
      </c>
      <c r="F4823">
        <v>16133150314.330799</v>
      </c>
      <c r="G4823">
        <v>13331684627.4757</v>
      </c>
      <c r="H4823">
        <v>12366514643.525999</v>
      </c>
      <c r="I4823">
        <v>12650396633.360399</v>
      </c>
      <c r="J4823">
        <v>11829184346.245199</v>
      </c>
      <c r="K4823">
        <v>8272951533.2748003</v>
      </c>
      <c r="L4823">
        <v>7399394717.3694</v>
      </c>
      <c r="M4823">
        <v>6222451970.4096003</v>
      </c>
      <c r="N4823">
        <v>5171763352.6230001</v>
      </c>
      <c r="O4823">
        <v>4319234337.2723999</v>
      </c>
      <c r="P4823">
        <v>138</v>
      </c>
      <c r="Q4823" t="s">
        <v>9993</v>
      </c>
    </row>
    <row r="4824" spans="1:17" x14ac:dyDescent="0.3">
      <c r="A4824" t="s">
        <v>17</v>
      </c>
      <c r="B4824" t="str">
        <f>"900933"</f>
        <v>900933</v>
      </c>
      <c r="C4824" t="s">
        <v>9994</v>
      </c>
      <c r="F4824">
        <v>6754540571.9687996</v>
      </c>
      <c r="G4824">
        <v>5121512079.0054998</v>
      </c>
      <c r="H4824">
        <v>4998876059.6440001</v>
      </c>
      <c r="I4824">
        <v>4734015465.2477999</v>
      </c>
      <c r="J4824">
        <v>4372832046.8976002</v>
      </c>
      <c r="K4824">
        <v>3917224127.5215001</v>
      </c>
      <c r="L4824">
        <v>4254011199.0681</v>
      </c>
      <c r="M4824">
        <v>4149423069.7895999</v>
      </c>
      <c r="N4824">
        <v>3887232325.1160002</v>
      </c>
      <c r="O4824">
        <v>3388433406.7328</v>
      </c>
      <c r="P4824">
        <v>142</v>
      </c>
      <c r="Q4824" t="s">
        <v>9995</v>
      </c>
    </row>
    <row r="4825" spans="1:17" x14ac:dyDescent="0.3">
      <c r="A4825" t="s">
        <v>17</v>
      </c>
      <c r="B4825" t="str">
        <f>"900934"</f>
        <v>900934</v>
      </c>
      <c r="C4825" t="s">
        <v>9996</v>
      </c>
      <c r="F4825">
        <v>7955524508.7312002</v>
      </c>
      <c r="G4825">
        <v>5355783537.9323997</v>
      </c>
      <c r="H4825">
        <v>5900557058.665</v>
      </c>
      <c r="I4825">
        <v>6782209004.4972</v>
      </c>
      <c r="J4825">
        <v>6385020677.7720003</v>
      </c>
      <c r="K4825">
        <v>6326734441.9675999</v>
      </c>
      <c r="L4825">
        <v>4262542273.4825001</v>
      </c>
      <c r="M4825">
        <v>1098411731.7839999</v>
      </c>
      <c r="N4825">
        <v>859018544.671</v>
      </c>
      <c r="O4825">
        <v>827829816.19159997</v>
      </c>
      <c r="P4825">
        <v>47</v>
      </c>
      <c r="Q4825" t="s">
        <v>9997</v>
      </c>
    </row>
    <row r="4826" spans="1:17" x14ac:dyDescent="0.3">
      <c r="A4826" t="s">
        <v>17</v>
      </c>
      <c r="B4826" t="str">
        <f>"900935"</f>
        <v>900935</v>
      </c>
      <c r="C4826" t="s">
        <v>9998</v>
      </c>
      <c r="K4826">
        <v>282749317.83429998</v>
      </c>
      <c r="L4826">
        <v>306311058.80930001</v>
      </c>
      <c r="M4826">
        <v>315653566.62959999</v>
      </c>
      <c r="N4826">
        <v>329143427.25580001</v>
      </c>
      <c r="O4826">
        <v>342435611.62970001</v>
      </c>
      <c r="P4826">
        <v>1</v>
      </c>
      <c r="Q4826" t="s">
        <v>9999</v>
      </c>
    </row>
    <row r="4827" spans="1:17" x14ac:dyDescent="0.3">
      <c r="A4827" t="s">
        <v>17</v>
      </c>
      <c r="B4827" t="str">
        <f>"900936"</f>
        <v>900936</v>
      </c>
      <c r="C4827" t="s">
        <v>10000</v>
      </c>
      <c r="F4827">
        <v>7051844968.7735996</v>
      </c>
      <c r="G4827">
        <v>6980815995.2875996</v>
      </c>
      <c r="H4827">
        <v>7462957568.9499998</v>
      </c>
      <c r="I4827">
        <v>8008278407.9737997</v>
      </c>
      <c r="J4827">
        <v>6717496331.1323996</v>
      </c>
      <c r="K4827">
        <v>6888239745.4685001</v>
      </c>
      <c r="L4827">
        <v>7280238747.6337004</v>
      </c>
      <c r="M4827">
        <v>6637378171.5480003</v>
      </c>
      <c r="N4827">
        <v>5844156295.4250002</v>
      </c>
      <c r="O4827">
        <v>5103442368.9552002</v>
      </c>
      <c r="P4827">
        <v>53</v>
      </c>
      <c r="Q4827" t="s">
        <v>10001</v>
      </c>
    </row>
    <row r="4828" spans="1:17" x14ac:dyDescent="0.3">
      <c r="A4828" t="s">
        <v>17</v>
      </c>
      <c r="B4828" t="str">
        <f>"900937"</f>
        <v>900937</v>
      </c>
      <c r="C4828" t="s">
        <v>10002</v>
      </c>
      <c r="F4828">
        <v>3327376002.5879998</v>
      </c>
      <c r="G4828">
        <v>3283689890.0483999</v>
      </c>
      <c r="H4828">
        <v>3612933227.4899998</v>
      </c>
      <c r="I4828">
        <v>4028236652.7282</v>
      </c>
      <c r="J4828">
        <v>3646957333.8792</v>
      </c>
      <c r="K4828">
        <v>3774265314.6163001</v>
      </c>
      <c r="L4828">
        <v>3837845676.1187</v>
      </c>
      <c r="M4828">
        <v>3876591776.9735999</v>
      </c>
      <c r="N4828">
        <v>3676306882.1570001</v>
      </c>
      <c r="O4828">
        <v>3554846615.0711999</v>
      </c>
      <c r="P4828">
        <v>10</v>
      </c>
      <c r="Q4828" t="s">
        <v>10003</v>
      </c>
    </row>
    <row r="4829" spans="1:17" x14ac:dyDescent="0.3">
      <c r="A4829" t="s">
        <v>17</v>
      </c>
      <c r="B4829" t="str">
        <f>"900938"</f>
        <v>900938</v>
      </c>
      <c r="C4829" t="s">
        <v>10004</v>
      </c>
      <c r="F4829">
        <v>18409993914</v>
      </c>
      <c r="G4829">
        <v>17587592297.75</v>
      </c>
      <c r="H4829">
        <v>17732762670</v>
      </c>
      <c r="I4829">
        <v>17921429191.799999</v>
      </c>
      <c r="J4829">
        <v>15977441660.4</v>
      </c>
      <c r="K4829">
        <v>1978072719.7859001</v>
      </c>
      <c r="L4829">
        <v>2024191190.9590001</v>
      </c>
      <c r="M4829">
        <v>106278609.46080001</v>
      </c>
      <c r="N4829">
        <v>101175076.303</v>
      </c>
      <c r="O4829">
        <v>84050603.460800007</v>
      </c>
      <c r="P4829">
        <v>12</v>
      </c>
      <c r="Q4829" t="s">
        <v>10005</v>
      </c>
    </row>
    <row r="4830" spans="1:17" x14ac:dyDescent="0.3">
      <c r="A4830" t="s">
        <v>17</v>
      </c>
      <c r="B4830" t="str">
        <f>"900940"</f>
        <v>900940</v>
      </c>
      <c r="C4830" t="s">
        <v>10006</v>
      </c>
      <c r="F4830">
        <v>5611713377.2620001</v>
      </c>
      <c r="G4830">
        <v>6022243419.2272997</v>
      </c>
      <c r="H4830">
        <v>7103199235.4099998</v>
      </c>
      <c r="I4830">
        <v>9161294397.4136009</v>
      </c>
      <c r="J4830">
        <v>8017975781.2307997</v>
      </c>
      <c r="K4830">
        <v>6089964990.2224998</v>
      </c>
      <c r="L4830">
        <v>3630259617.1862998</v>
      </c>
      <c r="M4830">
        <v>2601768320.6784</v>
      </c>
      <c r="N4830">
        <v>1845893654.78</v>
      </c>
      <c r="O4830">
        <v>1216106759.4172001</v>
      </c>
      <c r="P4830">
        <v>15</v>
      </c>
      <c r="Q4830" t="s">
        <v>10007</v>
      </c>
    </row>
    <row r="4831" spans="1:17" x14ac:dyDescent="0.3">
      <c r="A4831" t="s">
        <v>17</v>
      </c>
      <c r="B4831" t="str">
        <f>"900941"</f>
        <v>900941</v>
      </c>
      <c r="C4831" t="s">
        <v>10008</v>
      </c>
      <c r="F4831">
        <v>589268195.75639999</v>
      </c>
      <c r="G4831">
        <v>540745680.13479996</v>
      </c>
      <c r="H4831">
        <v>557947089.95799994</v>
      </c>
      <c r="I4831">
        <v>590272636.85800004</v>
      </c>
      <c r="J4831">
        <v>543443504.03639996</v>
      </c>
      <c r="K4831">
        <v>577816778.93959999</v>
      </c>
      <c r="L4831">
        <v>572108633.81340003</v>
      </c>
      <c r="M4831">
        <v>565254438.97920001</v>
      </c>
      <c r="N4831">
        <v>549274098.28199995</v>
      </c>
      <c r="O4831">
        <v>519402570.42839998</v>
      </c>
      <c r="P4831">
        <v>8</v>
      </c>
      <c r="Q4831" t="s">
        <v>10009</v>
      </c>
    </row>
    <row r="4832" spans="1:17" x14ac:dyDescent="0.3">
      <c r="A4832" t="s">
        <v>17</v>
      </c>
      <c r="B4832" t="str">
        <f>"900942"</f>
        <v>900942</v>
      </c>
      <c r="C4832" t="s">
        <v>10010</v>
      </c>
      <c r="F4832">
        <v>770350057.11240005</v>
      </c>
      <c r="G4832">
        <v>675619427.68260002</v>
      </c>
      <c r="H4832">
        <v>697244437.03400004</v>
      </c>
      <c r="I4832">
        <v>747898035.70159996</v>
      </c>
      <c r="J4832">
        <v>733092268.59000003</v>
      </c>
      <c r="K4832">
        <v>611633340.57840002</v>
      </c>
      <c r="L4832">
        <v>540071517.34689999</v>
      </c>
      <c r="M4832">
        <v>518882417.20319998</v>
      </c>
      <c r="N4832">
        <v>538432350.71500003</v>
      </c>
      <c r="O4832">
        <v>504641561.7744</v>
      </c>
      <c r="P4832">
        <v>55</v>
      </c>
      <c r="Q4832" t="s">
        <v>10011</v>
      </c>
    </row>
    <row r="4833" spans="1:17" x14ac:dyDescent="0.3">
      <c r="A4833" t="s">
        <v>17</v>
      </c>
      <c r="B4833" t="str">
        <f>"900943"</f>
        <v>900943</v>
      </c>
      <c r="C4833" t="s">
        <v>10012</v>
      </c>
      <c r="F4833">
        <v>157241067.53400001</v>
      </c>
      <c r="G4833">
        <v>140083590.63940001</v>
      </c>
      <c r="H4833">
        <v>155013872.58899999</v>
      </c>
      <c r="I4833">
        <v>160840114.92120001</v>
      </c>
      <c r="J4833">
        <v>146127448.01159999</v>
      </c>
      <c r="K4833">
        <v>160744722.8917</v>
      </c>
      <c r="L4833">
        <v>154428019.80270001</v>
      </c>
      <c r="M4833">
        <v>168570434.71919999</v>
      </c>
      <c r="N4833">
        <v>158569634.48199999</v>
      </c>
      <c r="O4833">
        <v>158913464.3468</v>
      </c>
      <c r="P4833">
        <v>3</v>
      </c>
      <c r="Q4833" t="s">
        <v>10013</v>
      </c>
    </row>
    <row r="4834" spans="1:17" x14ac:dyDescent="0.3">
      <c r="A4834" t="s">
        <v>17</v>
      </c>
      <c r="B4834" t="str">
        <f>"900945"</f>
        <v>900945</v>
      </c>
      <c r="C4834" t="s">
        <v>10014</v>
      </c>
      <c r="F4834">
        <v>34154899533.599998</v>
      </c>
      <c r="G4834">
        <v>26828126018.349998</v>
      </c>
      <c r="H4834">
        <v>30308036509</v>
      </c>
      <c r="I4834">
        <v>29728749555</v>
      </c>
      <c r="J4834">
        <v>26593821117.599998</v>
      </c>
      <c r="K4834">
        <v>20186193451.799999</v>
      </c>
      <c r="L4834">
        <v>19636355852.599998</v>
      </c>
      <c r="M4834">
        <v>18008247672</v>
      </c>
      <c r="N4834">
        <v>15351845558</v>
      </c>
      <c r="O4834">
        <v>12894698156</v>
      </c>
      <c r="P4834">
        <v>7</v>
      </c>
      <c r="Q4834" t="s">
        <v>10015</v>
      </c>
    </row>
    <row r="4835" spans="1:17" x14ac:dyDescent="0.3">
      <c r="A4835" t="s">
        <v>17</v>
      </c>
      <c r="B4835" t="str">
        <f>"900946"</f>
        <v>900946</v>
      </c>
      <c r="C4835" t="s">
        <v>10016</v>
      </c>
      <c r="F4835">
        <v>188865408.04440001</v>
      </c>
      <c r="G4835">
        <v>174958041.49590001</v>
      </c>
      <c r="H4835">
        <v>172963594.15900001</v>
      </c>
      <c r="I4835">
        <v>205954486.57859999</v>
      </c>
      <c r="J4835">
        <v>208254328.8276</v>
      </c>
      <c r="K4835">
        <v>170579632.45249999</v>
      </c>
      <c r="L4835">
        <v>175532973.1207</v>
      </c>
      <c r="M4835">
        <v>170293103.28960001</v>
      </c>
      <c r="N4835">
        <v>163092610.21900001</v>
      </c>
      <c r="O4835">
        <v>168861488.91760001</v>
      </c>
      <c r="P4835">
        <v>3</v>
      </c>
      <c r="Q4835" t="s">
        <v>10017</v>
      </c>
    </row>
    <row r="4836" spans="1:17" x14ac:dyDescent="0.3">
      <c r="A4836" t="s">
        <v>17</v>
      </c>
      <c r="B4836" t="str">
        <f>"900947"</f>
        <v>900947</v>
      </c>
      <c r="C4836" t="s">
        <v>10018</v>
      </c>
      <c r="F4836">
        <v>12448872294.2808</v>
      </c>
      <c r="G4836">
        <v>11382717895.3634</v>
      </c>
      <c r="H4836">
        <v>10768321642.747999</v>
      </c>
      <c r="I4836">
        <v>10532213766.818001</v>
      </c>
      <c r="J4836">
        <v>8757513527.0436001</v>
      </c>
      <c r="K4836">
        <v>8986649513.1637001</v>
      </c>
      <c r="L4836">
        <v>8396146335.0073996</v>
      </c>
      <c r="M4836">
        <v>8684419316.4911995</v>
      </c>
      <c r="N4836">
        <v>7979066874.7019997</v>
      </c>
      <c r="O4836">
        <v>7018113030.0368004</v>
      </c>
      <c r="P4836">
        <v>18</v>
      </c>
      <c r="Q4836" t="s">
        <v>10019</v>
      </c>
    </row>
    <row r="4837" spans="1:17" x14ac:dyDescent="0.3">
      <c r="A4837" t="s">
        <v>17</v>
      </c>
      <c r="B4837" t="str">
        <f>"900949"</f>
        <v>900949</v>
      </c>
      <c r="C4837" t="s">
        <v>10020</v>
      </c>
      <c r="N4837">
        <v>2557907120.6094999</v>
      </c>
      <c r="O4837">
        <v>2346194509.5496001</v>
      </c>
      <c r="P4837">
        <v>2</v>
      </c>
      <c r="Q4837" t="s">
        <v>10021</v>
      </c>
    </row>
    <row r="4838" spans="1:17" x14ac:dyDescent="0.3">
      <c r="A4838" t="s">
        <v>17</v>
      </c>
      <c r="B4838" t="str">
        <f>"900950"</f>
        <v>900950</v>
      </c>
      <c r="C4838" t="s">
        <v>10022</v>
      </c>
      <c r="L4838">
        <v>5767028496.3093996</v>
      </c>
      <c r="M4838">
        <v>5598395151.8141003</v>
      </c>
      <c r="N4838">
        <v>4804146773.9257002</v>
      </c>
      <c r="O4838">
        <v>4663431303.7573996</v>
      </c>
      <c r="P4838">
        <v>7</v>
      </c>
      <c r="Q4838" t="s">
        <v>10023</v>
      </c>
    </row>
    <row r="4839" spans="1:17" x14ac:dyDescent="0.3">
      <c r="A4839" t="s">
        <v>17</v>
      </c>
      <c r="B4839" t="str">
        <f>"900951"</f>
        <v>900951</v>
      </c>
      <c r="C4839" t="s">
        <v>10024</v>
      </c>
      <c r="G4839">
        <v>82609399.313099995</v>
      </c>
      <c r="H4839">
        <v>111775564.675</v>
      </c>
      <c r="I4839">
        <v>131186014.13959999</v>
      </c>
      <c r="J4839">
        <v>131005721.7876</v>
      </c>
      <c r="K4839">
        <v>135931038.40709999</v>
      </c>
      <c r="L4839">
        <v>155808032.6582</v>
      </c>
      <c r="M4839">
        <v>209557385.90239999</v>
      </c>
      <c r="N4839">
        <v>166690052.0196</v>
      </c>
      <c r="O4839">
        <v>157388485.73859999</v>
      </c>
      <c r="P4839">
        <v>2</v>
      </c>
      <c r="Q4839" t="s">
        <v>10025</v>
      </c>
    </row>
    <row r="4840" spans="1:17" x14ac:dyDescent="0.3">
      <c r="A4840" t="s">
        <v>17</v>
      </c>
      <c r="B4840" t="str">
        <f>"900952"</f>
        <v>900952</v>
      </c>
      <c r="C4840" t="s">
        <v>10026</v>
      </c>
      <c r="F4840">
        <v>2754506580.5363998</v>
      </c>
      <c r="G4840">
        <v>2555535781.3337998</v>
      </c>
      <c r="H4840">
        <v>2588337763.8119998</v>
      </c>
      <c r="I4840">
        <v>2497611024.2782001</v>
      </c>
      <c r="J4840">
        <v>2678956813.2887998</v>
      </c>
      <c r="K4840">
        <v>1804561446.3706999</v>
      </c>
      <c r="L4840">
        <v>1949956265.3564999</v>
      </c>
      <c r="M4840">
        <v>1804278863.76</v>
      </c>
      <c r="N4840">
        <v>1655482399.697</v>
      </c>
      <c r="O4840">
        <v>1349053760.0527999</v>
      </c>
      <c r="P4840">
        <v>8</v>
      </c>
      <c r="Q4840" t="s">
        <v>10027</v>
      </c>
    </row>
    <row r="4841" spans="1:17" x14ac:dyDescent="0.3">
      <c r="A4841" t="s">
        <v>17</v>
      </c>
      <c r="B4841" t="str">
        <f>"900955"</f>
        <v>900955</v>
      </c>
      <c r="C4841" t="s">
        <v>10028</v>
      </c>
      <c r="F4841">
        <v>306684469.73879999</v>
      </c>
      <c r="G4841">
        <v>302140682.30790001</v>
      </c>
      <c r="H4841">
        <v>354423442.92500001</v>
      </c>
      <c r="I4841">
        <v>493898120.38279998</v>
      </c>
      <c r="J4841">
        <v>515116469.28719997</v>
      </c>
      <c r="K4841">
        <v>584515937.9763</v>
      </c>
      <c r="L4841">
        <v>520129339.92030001</v>
      </c>
      <c r="M4841">
        <v>447049909.54320002</v>
      </c>
      <c r="N4841">
        <v>463493937.13</v>
      </c>
      <c r="O4841">
        <v>464255600.87800002</v>
      </c>
      <c r="P4841">
        <v>4</v>
      </c>
      <c r="Q4841" t="s">
        <v>10029</v>
      </c>
    </row>
    <row r="4842" spans="1:17" x14ac:dyDescent="0.3">
      <c r="A4842" t="s">
        <v>17</v>
      </c>
      <c r="B4842" t="str">
        <f>"900956"</f>
        <v>900956</v>
      </c>
      <c r="C4842" t="s">
        <v>10030</v>
      </c>
      <c r="G4842">
        <v>674042784.38030005</v>
      </c>
      <c r="H4842">
        <v>723894074.15900004</v>
      </c>
      <c r="I4842">
        <v>735755799.20140004</v>
      </c>
      <c r="J4842">
        <v>610947939.45239997</v>
      </c>
      <c r="K4842">
        <v>654140835.92719996</v>
      </c>
      <c r="L4842">
        <v>651878667.32179999</v>
      </c>
      <c r="M4842">
        <v>636700345.99530005</v>
      </c>
      <c r="N4842">
        <v>601642211.09379995</v>
      </c>
      <c r="O4842">
        <v>594070826.15120006</v>
      </c>
      <c r="P4842">
        <v>10</v>
      </c>
      <c r="Q4842" t="s">
        <v>10031</v>
      </c>
    </row>
    <row r="4843" spans="1:17" x14ac:dyDescent="0.3">
      <c r="A4843" t="s">
        <v>47</v>
      </c>
      <c r="B4843" t="str">
        <f>"000015"</f>
        <v>000015</v>
      </c>
      <c r="C4843" t="s">
        <v>10032</v>
      </c>
      <c r="J4843">
        <v>2369571494.9200001</v>
      </c>
      <c r="K4843">
        <v>2299327729.79</v>
      </c>
      <c r="L4843">
        <v>23571.49</v>
      </c>
      <c r="M4843">
        <v>123413376.87</v>
      </c>
      <c r="N4843">
        <v>124761980.43000001</v>
      </c>
      <c r="O4843">
        <v>126110583.98999999</v>
      </c>
      <c r="P4843">
        <v>13</v>
      </c>
      <c r="Q4843" t="s">
        <v>10033</v>
      </c>
    </row>
    <row r="4844" spans="1:17" x14ac:dyDescent="0.3">
      <c r="A4844" t="s">
        <v>47</v>
      </c>
      <c r="B4844" t="str">
        <f>"000018"</f>
        <v>000018</v>
      </c>
      <c r="C4844" t="s">
        <v>10034</v>
      </c>
      <c r="G4844">
        <v>3491318615</v>
      </c>
      <c r="H4844">
        <v>9364866922</v>
      </c>
      <c r="I4844">
        <v>11806550835</v>
      </c>
      <c r="J4844">
        <v>8342651309</v>
      </c>
      <c r="K4844">
        <v>4487124028</v>
      </c>
      <c r="L4844">
        <v>185076629</v>
      </c>
      <c r="M4844">
        <v>170821000</v>
      </c>
      <c r="N4844">
        <v>159829127</v>
      </c>
      <c r="O4844">
        <v>172828660</v>
      </c>
      <c r="P4844">
        <v>99</v>
      </c>
      <c r="Q4844" t="s">
        <v>10035</v>
      </c>
    </row>
    <row r="4845" spans="1:17" x14ac:dyDescent="0.3">
      <c r="A4845" t="s">
        <v>47</v>
      </c>
      <c r="B4845" t="str">
        <f>"000022"</f>
        <v>000022</v>
      </c>
      <c r="C4845" t="s">
        <v>10036</v>
      </c>
      <c r="I4845">
        <v>8147257791</v>
      </c>
      <c r="J4845">
        <v>6853772593</v>
      </c>
      <c r="K4845">
        <v>6908633505.0900002</v>
      </c>
      <c r="L4845">
        <v>6970995664.04</v>
      </c>
      <c r="M4845">
        <v>7437143338.04</v>
      </c>
      <c r="N4845">
        <v>7066707546</v>
      </c>
      <c r="O4845">
        <v>6643366506</v>
      </c>
      <c r="P4845">
        <v>83</v>
      </c>
      <c r="Q4845" t="s">
        <v>10037</v>
      </c>
    </row>
    <row r="4846" spans="1:17" x14ac:dyDescent="0.3">
      <c r="A4846" t="s">
        <v>47</v>
      </c>
      <c r="B4846" t="str">
        <f>"000024"</f>
        <v>000024</v>
      </c>
      <c r="C4846" t="s">
        <v>10038</v>
      </c>
      <c r="L4846">
        <v>161577057955.12</v>
      </c>
      <c r="M4846">
        <v>134967470187.77</v>
      </c>
      <c r="N4846">
        <v>115341843833.75999</v>
      </c>
      <c r="O4846">
        <v>84043438505</v>
      </c>
      <c r="P4846">
        <v>36</v>
      </c>
      <c r="Q4846" t="s">
        <v>10039</v>
      </c>
    </row>
    <row r="4847" spans="1:17" x14ac:dyDescent="0.3">
      <c r="A4847" t="s">
        <v>47</v>
      </c>
      <c r="B4847" t="str">
        <f>"000033"</f>
        <v>000033</v>
      </c>
      <c r="C4847" t="s">
        <v>10040</v>
      </c>
      <c r="J4847">
        <v>312393980.76999998</v>
      </c>
      <c r="K4847">
        <v>395176116.57999998</v>
      </c>
      <c r="L4847">
        <v>423354456.66000003</v>
      </c>
      <c r="M4847">
        <v>552076677.67999995</v>
      </c>
      <c r="N4847">
        <v>459740114.92000002</v>
      </c>
      <c r="O4847">
        <v>504193701.39999998</v>
      </c>
      <c r="P4847">
        <v>7</v>
      </c>
      <c r="Q4847" t="s">
        <v>10041</v>
      </c>
    </row>
    <row r="4848" spans="1:17" x14ac:dyDescent="0.3">
      <c r="A4848" t="s">
        <v>47</v>
      </c>
      <c r="B4848" t="str">
        <f>"000043"</f>
        <v>000043</v>
      </c>
      <c r="C4848" t="s">
        <v>10042</v>
      </c>
      <c r="G4848">
        <v>15979936819</v>
      </c>
      <c r="H4848">
        <v>12202389968</v>
      </c>
      <c r="I4848">
        <v>19133923757</v>
      </c>
      <c r="J4848">
        <v>19805695493</v>
      </c>
      <c r="K4848">
        <v>23978670198</v>
      </c>
      <c r="L4848">
        <v>21544098411</v>
      </c>
      <c r="M4848">
        <v>19392982840</v>
      </c>
      <c r="N4848">
        <v>15210492164</v>
      </c>
      <c r="O4848">
        <v>11774708278</v>
      </c>
      <c r="P4848">
        <v>73</v>
      </c>
      <c r="Q4848" t="s">
        <v>10043</v>
      </c>
    </row>
    <row r="4849" spans="1:17" x14ac:dyDescent="0.3">
      <c r="A4849" t="s">
        <v>47</v>
      </c>
      <c r="B4849" t="str">
        <f>"000047"</f>
        <v>000047</v>
      </c>
      <c r="C4849" t="s">
        <v>10044</v>
      </c>
      <c r="J4849">
        <v>20526537.309999999</v>
      </c>
      <c r="K4849">
        <v>17996702.82</v>
      </c>
      <c r="L4849">
        <v>146379403.71000001</v>
      </c>
      <c r="M4849">
        <v>150629887</v>
      </c>
      <c r="N4849">
        <v>157391334.13999999</v>
      </c>
      <c r="O4849">
        <v>162473529.41999999</v>
      </c>
      <c r="P4849">
        <v>6</v>
      </c>
      <c r="Q4849" t="s">
        <v>10045</v>
      </c>
    </row>
    <row r="4850" spans="1:17" x14ac:dyDescent="0.3">
      <c r="A4850" t="s">
        <v>47</v>
      </c>
      <c r="B4850" t="str">
        <f>"000418"</f>
        <v>000418</v>
      </c>
      <c r="C4850" t="s">
        <v>10046</v>
      </c>
      <c r="H4850">
        <v>23438092672</v>
      </c>
      <c r="I4850">
        <v>20206161603</v>
      </c>
      <c r="J4850">
        <v>18402498665</v>
      </c>
      <c r="K4850">
        <v>14927470103.940001</v>
      </c>
      <c r="L4850">
        <v>11622314983.41</v>
      </c>
      <c r="M4850">
        <v>9185771871.6399994</v>
      </c>
      <c r="N4850">
        <v>8656718506.3400002</v>
      </c>
      <c r="O4850">
        <v>7724987853.7600002</v>
      </c>
      <c r="P4850">
        <v>653</v>
      </c>
      <c r="Q4850" t="s">
        <v>10047</v>
      </c>
    </row>
    <row r="4851" spans="1:17" x14ac:dyDescent="0.3">
      <c r="A4851" t="s">
        <v>47</v>
      </c>
      <c r="B4851" t="str">
        <f>"000420"</f>
        <v>000420</v>
      </c>
      <c r="C4851" t="s">
        <v>10048</v>
      </c>
      <c r="D4851" t="s">
        <v>1438</v>
      </c>
      <c r="F4851">
        <v>8704962592</v>
      </c>
      <c r="G4851">
        <v>8855751408</v>
      </c>
      <c r="H4851">
        <v>7539091898</v>
      </c>
      <c r="I4851">
        <v>6696445084</v>
      </c>
      <c r="J4851">
        <v>4724592850</v>
      </c>
      <c r="K4851">
        <v>2821668806</v>
      </c>
      <c r="L4851">
        <v>3117496174</v>
      </c>
      <c r="M4851">
        <v>3047814460</v>
      </c>
      <c r="N4851">
        <v>3716999423</v>
      </c>
      <c r="O4851">
        <v>3091147530</v>
      </c>
      <c r="P4851">
        <v>101</v>
      </c>
      <c r="Q4851" t="s">
        <v>10049</v>
      </c>
    </row>
    <row r="4852" spans="1:17" x14ac:dyDescent="0.3">
      <c r="A4852" t="s">
        <v>47</v>
      </c>
      <c r="B4852" t="str">
        <f>"000511"</f>
        <v>000511</v>
      </c>
      <c r="C4852" t="s">
        <v>10050</v>
      </c>
      <c r="I4852">
        <v>3433227608</v>
      </c>
      <c r="J4852">
        <v>3709117790</v>
      </c>
      <c r="K4852">
        <v>3571707200.6799998</v>
      </c>
      <c r="L4852">
        <v>3787950165.0100002</v>
      </c>
      <c r="M4852">
        <v>3408636654.29</v>
      </c>
      <c r="N4852">
        <v>3826871122.52</v>
      </c>
      <c r="O4852">
        <v>3471804420.0100002</v>
      </c>
      <c r="P4852">
        <v>14</v>
      </c>
      <c r="Q4852" t="s">
        <v>10051</v>
      </c>
    </row>
    <row r="4853" spans="1:17" x14ac:dyDescent="0.3">
      <c r="A4853" t="s">
        <v>47</v>
      </c>
      <c r="B4853" t="str">
        <f>"000522"</f>
        <v>000522</v>
      </c>
      <c r="C4853" t="s">
        <v>10052</v>
      </c>
      <c r="M4853">
        <v>13020371153.629999</v>
      </c>
      <c r="O4853">
        <v>3367765749.21</v>
      </c>
      <c r="P4853">
        <v>63</v>
      </c>
      <c r="Q4853" t="s">
        <v>10053</v>
      </c>
    </row>
    <row r="4854" spans="1:17" x14ac:dyDescent="0.3">
      <c r="A4854" t="s">
        <v>47</v>
      </c>
      <c r="B4854" t="str">
        <f>"000527"</f>
        <v>000527</v>
      </c>
      <c r="C4854" t="s">
        <v>10054</v>
      </c>
      <c r="N4854">
        <v>69996639830</v>
      </c>
      <c r="O4854">
        <v>62955484240</v>
      </c>
      <c r="P4854">
        <v>296</v>
      </c>
      <c r="Q4854" t="s">
        <v>10055</v>
      </c>
    </row>
    <row r="4855" spans="1:17" x14ac:dyDescent="0.3">
      <c r="A4855" t="s">
        <v>47</v>
      </c>
      <c r="B4855" t="str">
        <f>"000556"</f>
        <v>000556</v>
      </c>
      <c r="C4855" t="s">
        <v>10056</v>
      </c>
      <c r="J4855">
        <v>105030115.28</v>
      </c>
      <c r="K4855">
        <v>68763785.409999996</v>
      </c>
      <c r="L4855">
        <v>48246044.43</v>
      </c>
      <c r="M4855">
        <v>44680606.759999998</v>
      </c>
      <c r="N4855">
        <v>54673783.090000004</v>
      </c>
      <c r="O4855">
        <v>3583020.7</v>
      </c>
      <c r="P4855">
        <v>4</v>
      </c>
      <c r="Q4855" t="s">
        <v>10057</v>
      </c>
    </row>
    <row r="4856" spans="1:17" x14ac:dyDescent="0.3">
      <c r="A4856" t="s">
        <v>47</v>
      </c>
      <c r="B4856" t="str">
        <f>"000562"</f>
        <v>000562</v>
      </c>
      <c r="C4856" t="s">
        <v>10058</v>
      </c>
      <c r="M4856">
        <v>37808239542.959999</v>
      </c>
      <c r="N4856">
        <v>34375440493.080002</v>
      </c>
      <c r="O4856">
        <v>23322454826.189999</v>
      </c>
      <c r="P4856">
        <v>18</v>
      </c>
      <c r="Q4856" t="s">
        <v>10059</v>
      </c>
    </row>
    <row r="4857" spans="1:17" x14ac:dyDescent="0.3">
      <c r="A4857" t="s">
        <v>47</v>
      </c>
      <c r="B4857" t="str">
        <f>"000578"</f>
        <v>000578</v>
      </c>
      <c r="C4857" t="s">
        <v>10060</v>
      </c>
      <c r="M4857">
        <v>55113174162.18</v>
      </c>
      <c r="N4857">
        <v>46749785182.790001</v>
      </c>
      <c r="O4857">
        <v>31120330210.529999</v>
      </c>
      <c r="P4857">
        <v>12</v>
      </c>
      <c r="Q4857" t="s">
        <v>10061</v>
      </c>
    </row>
    <row r="4858" spans="1:17" x14ac:dyDescent="0.3">
      <c r="A4858" t="s">
        <v>47</v>
      </c>
      <c r="B4858" t="str">
        <f>"000583"</f>
        <v>000583</v>
      </c>
      <c r="C4858" t="s">
        <v>10062</v>
      </c>
      <c r="J4858">
        <v>1039105.3</v>
      </c>
      <c r="K4858">
        <v>1038966.92</v>
      </c>
      <c r="L4858">
        <v>5396005.9500000002</v>
      </c>
      <c r="M4858">
        <v>5396230.9800000004</v>
      </c>
      <c r="N4858">
        <v>5082630.8899999997</v>
      </c>
      <c r="O4858">
        <v>5272634.12</v>
      </c>
      <c r="P4858">
        <v>3</v>
      </c>
      <c r="Q4858" t="s">
        <v>10063</v>
      </c>
    </row>
    <row r="4859" spans="1:17" x14ac:dyDescent="0.3">
      <c r="A4859" t="s">
        <v>47</v>
      </c>
      <c r="B4859" t="str">
        <f>"000588"</f>
        <v>000588</v>
      </c>
      <c r="C4859" t="s">
        <v>10064</v>
      </c>
      <c r="J4859">
        <v>379505491.31999999</v>
      </c>
      <c r="K4859">
        <v>326578272.14999998</v>
      </c>
      <c r="L4859">
        <v>349223079.94</v>
      </c>
      <c r="P4859">
        <v>5</v>
      </c>
      <c r="Q4859" t="s">
        <v>10065</v>
      </c>
    </row>
    <row r="4860" spans="1:17" x14ac:dyDescent="0.3">
      <c r="A4860" t="s">
        <v>47</v>
      </c>
      <c r="B4860" t="str">
        <f>"000594"</f>
        <v>000594</v>
      </c>
      <c r="C4860" t="s">
        <v>10066</v>
      </c>
      <c r="K4860">
        <v>2475588852.27</v>
      </c>
      <c r="L4860">
        <v>4253866485.52</v>
      </c>
      <c r="M4860">
        <v>4218647687.8800001</v>
      </c>
      <c r="N4860">
        <v>4209252257.2199998</v>
      </c>
      <c r="O4860">
        <v>4481741993.5500002</v>
      </c>
      <c r="P4860">
        <v>3</v>
      </c>
      <c r="Q4860" t="s">
        <v>10067</v>
      </c>
    </row>
    <row r="4861" spans="1:17" x14ac:dyDescent="0.3">
      <c r="A4861" t="s">
        <v>47</v>
      </c>
      <c r="B4861" t="str">
        <f>"000602"</f>
        <v>000602</v>
      </c>
      <c r="C4861" t="s">
        <v>10068</v>
      </c>
      <c r="N4861">
        <v>12718508891.59</v>
      </c>
      <c r="O4861">
        <v>13880858241.030001</v>
      </c>
      <c r="P4861">
        <v>5</v>
      </c>
      <c r="Q4861" t="s">
        <v>10069</v>
      </c>
    </row>
    <row r="4862" spans="1:17" x14ac:dyDescent="0.3">
      <c r="A4862" t="s">
        <v>47</v>
      </c>
      <c r="B4862" t="str">
        <f>"000658"</f>
        <v>000658</v>
      </c>
      <c r="C4862" t="s">
        <v>10070</v>
      </c>
      <c r="J4862">
        <v>72128878.400000006</v>
      </c>
      <c r="K4862">
        <v>3171042.26</v>
      </c>
      <c r="L4862">
        <v>3301812.67</v>
      </c>
      <c r="M4862">
        <v>23349155.809999999</v>
      </c>
      <c r="N4862">
        <v>23424613.969999999</v>
      </c>
      <c r="O4862">
        <v>23628996.079999998</v>
      </c>
      <c r="P4862">
        <v>5</v>
      </c>
      <c r="Q4862" t="s">
        <v>10071</v>
      </c>
    </row>
    <row r="4863" spans="1:17" x14ac:dyDescent="0.3">
      <c r="A4863" t="s">
        <v>47</v>
      </c>
      <c r="B4863" t="str">
        <f>"000660"</f>
        <v>000660</v>
      </c>
      <c r="C4863" t="s">
        <v>10072</v>
      </c>
      <c r="M4863">
        <v>42878975.990000002</v>
      </c>
      <c r="O4863">
        <v>43905653.640000001</v>
      </c>
      <c r="P4863">
        <v>6</v>
      </c>
      <c r="Q4863" t="s">
        <v>10073</v>
      </c>
    </row>
    <row r="4864" spans="1:17" x14ac:dyDescent="0.3">
      <c r="A4864" t="s">
        <v>47</v>
      </c>
      <c r="B4864" t="str">
        <f>"000662"</f>
        <v>000662</v>
      </c>
      <c r="C4864" t="s">
        <v>10074</v>
      </c>
      <c r="G4864">
        <v>3961558616</v>
      </c>
      <c r="H4864">
        <v>7354985199</v>
      </c>
      <c r="I4864">
        <v>7339571656</v>
      </c>
      <c r="J4864">
        <v>5664450421</v>
      </c>
      <c r="K4864">
        <v>4852616280</v>
      </c>
      <c r="L4864">
        <v>763840112</v>
      </c>
      <c r="M4864">
        <v>940539951</v>
      </c>
      <c r="N4864">
        <v>919325560</v>
      </c>
      <c r="O4864">
        <v>1210180046</v>
      </c>
      <c r="P4864">
        <v>146</v>
      </c>
      <c r="Q4864" t="s">
        <v>10075</v>
      </c>
    </row>
    <row r="4865" spans="1:17" x14ac:dyDescent="0.3">
      <c r="A4865" t="s">
        <v>47</v>
      </c>
      <c r="B4865" t="str">
        <f>"000675"</f>
        <v>000675</v>
      </c>
      <c r="C4865" t="s">
        <v>10076</v>
      </c>
      <c r="J4865">
        <v>46937625.630000003</v>
      </c>
      <c r="L4865">
        <v>76366351.459999993</v>
      </c>
      <c r="M4865">
        <v>84185044.540000007</v>
      </c>
      <c r="N4865">
        <v>98012709.829999998</v>
      </c>
      <c r="O4865">
        <v>108038634.31999999</v>
      </c>
      <c r="P4865">
        <v>5</v>
      </c>
      <c r="Q4865" t="s">
        <v>10077</v>
      </c>
    </row>
    <row r="4866" spans="1:17" x14ac:dyDescent="0.3">
      <c r="A4866" t="s">
        <v>47</v>
      </c>
      <c r="B4866" t="str">
        <f>"000689"</f>
        <v>000689</v>
      </c>
      <c r="C4866" t="s">
        <v>10078</v>
      </c>
      <c r="J4866">
        <v>21437452.539999999</v>
      </c>
      <c r="K4866">
        <v>21449263.670000002</v>
      </c>
      <c r="L4866">
        <v>21521539.66</v>
      </c>
      <c r="M4866">
        <v>21537406.420000002</v>
      </c>
      <c r="N4866">
        <v>21550082.079999998</v>
      </c>
      <c r="O4866">
        <v>21590449.07</v>
      </c>
      <c r="P4866">
        <v>5</v>
      </c>
      <c r="Q4866" t="s">
        <v>10079</v>
      </c>
    </row>
    <row r="4867" spans="1:17" x14ac:dyDescent="0.3">
      <c r="A4867" t="s">
        <v>47</v>
      </c>
      <c r="B4867" t="str">
        <f>"000693"</f>
        <v>000693</v>
      </c>
      <c r="C4867" t="s">
        <v>10080</v>
      </c>
      <c r="I4867">
        <v>1746166150</v>
      </c>
      <c r="J4867">
        <v>3830554185</v>
      </c>
      <c r="K4867">
        <v>5398918316</v>
      </c>
      <c r="L4867">
        <v>4880506817.7600002</v>
      </c>
      <c r="M4867">
        <v>3995074760.29</v>
      </c>
      <c r="N4867">
        <v>150187709.41999999</v>
      </c>
      <c r="O4867">
        <v>185574248.83000001</v>
      </c>
      <c r="P4867">
        <v>17</v>
      </c>
      <c r="Q4867" t="s">
        <v>10081</v>
      </c>
    </row>
    <row r="4868" spans="1:17" x14ac:dyDescent="0.3">
      <c r="A4868" t="s">
        <v>47</v>
      </c>
      <c r="B4868" t="str">
        <f>"000730"</f>
        <v>000730</v>
      </c>
      <c r="C4868" t="s">
        <v>10082</v>
      </c>
      <c r="J4868">
        <v>304856285.29000002</v>
      </c>
      <c r="K4868">
        <v>314922155.44</v>
      </c>
      <c r="P4868">
        <v>4</v>
      </c>
      <c r="Q4868" t="s">
        <v>10083</v>
      </c>
    </row>
    <row r="4869" spans="1:17" x14ac:dyDescent="0.3">
      <c r="A4869" t="s">
        <v>47</v>
      </c>
      <c r="B4869" t="str">
        <f>"000748"</f>
        <v>000748</v>
      </c>
      <c r="C4869" t="s">
        <v>10084</v>
      </c>
      <c r="K4869">
        <v>6517210048.7299995</v>
      </c>
      <c r="L4869">
        <v>4115776662.1100001</v>
      </c>
      <c r="M4869">
        <v>2896048232.2399998</v>
      </c>
      <c r="N4869">
        <v>2278741705.1700001</v>
      </c>
      <c r="O4869">
        <v>2006255640.25</v>
      </c>
      <c r="P4869">
        <v>8</v>
      </c>
      <c r="Q4869" t="s">
        <v>10085</v>
      </c>
    </row>
    <row r="4870" spans="1:17" x14ac:dyDescent="0.3">
      <c r="A4870" t="s">
        <v>47</v>
      </c>
      <c r="B4870" t="str">
        <f>"000760"</f>
        <v>000760</v>
      </c>
      <c r="C4870" t="s">
        <v>10086</v>
      </c>
      <c r="F4870">
        <v>515625539</v>
      </c>
      <c r="G4870">
        <v>647401589</v>
      </c>
      <c r="H4870">
        <v>793733050</v>
      </c>
      <c r="I4870">
        <v>2378878701</v>
      </c>
      <c r="J4870">
        <v>2878070872</v>
      </c>
      <c r="K4870">
        <v>1925856273</v>
      </c>
      <c r="L4870">
        <v>2387988803</v>
      </c>
      <c r="M4870">
        <v>2384591785</v>
      </c>
      <c r="N4870">
        <v>852768328</v>
      </c>
      <c r="O4870">
        <v>738828633</v>
      </c>
      <c r="P4870">
        <v>59</v>
      </c>
      <c r="Q4870" t="s">
        <v>10087</v>
      </c>
    </row>
    <row r="4871" spans="1:17" x14ac:dyDescent="0.3">
      <c r="A4871" t="s">
        <v>47</v>
      </c>
      <c r="B4871" t="str">
        <f>"000765"</f>
        <v>000765</v>
      </c>
      <c r="C4871" t="s">
        <v>10088</v>
      </c>
      <c r="J4871">
        <v>1511523629.71</v>
      </c>
      <c r="K4871">
        <v>1404833201.03</v>
      </c>
      <c r="L4871">
        <v>111764299.68000001</v>
      </c>
      <c r="M4871">
        <v>175780456.18000001</v>
      </c>
      <c r="N4871">
        <v>180952345.18000001</v>
      </c>
      <c r="O4871">
        <v>186218264.77000001</v>
      </c>
      <c r="P4871">
        <v>4</v>
      </c>
      <c r="Q4871" t="s">
        <v>10089</v>
      </c>
    </row>
    <row r="4872" spans="1:17" x14ac:dyDescent="0.3">
      <c r="A4872" t="s">
        <v>47</v>
      </c>
      <c r="B4872" t="str">
        <f>"000780"</f>
        <v>000780</v>
      </c>
      <c r="C4872" t="s">
        <v>10090</v>
      </c>
      <c r="D4872" t="s">
        <v>141</v>
      </c>
      <c r="F4872">
        <v>4360953077</v>
      </c>
      <c r="G4872">
        <v>4915312595</v>
      </c>
      <c r="H4872">
        <v>5284726283</v>
      </c>
      <c r="I4872">
        <v>5536376895</v>
      </c>
      <c r="J4872">
        <v>5075450475</v>
      </c>
      <c r="K4872">
        <v>5292905768</v>
      </c>
      <c r="L4872">
        <v>5812939256</v>
      </c>
      <c r="M4872">
        <v>5566815530</v>
      </c>
      <c r="N4872">
        <v>5628298567</v>
      </c>
      <c r="O4872">
        <v>5641296308</v>
      </c>
      <c r="P4872">
        <v>99</v>
      </c>
      <c r="Q4872" t="s">
        <v>10091</v>
      </c>
    </row>
    <row r="4873" spans="1:17" x14ac:dyDescent="0.3">
      <c r="A4873" t="s">
        <v>47</v>
      </c>
      <c r="B4873" t="str">
        <f>"000787"</f>
        <v>000787</v>
      </c>
      <c r="C4873" t="s">
        <v>10092</v>
      </c>
      <c r="J4873">
        <v>9051929414.9099998</v>
      </c>
      <c r="K4873">
        <v>6826577201.3199997</v>
      </c>
      <c r="L4873">
        <v>7803801054.4300003</v>
      </c>
      <c r="M4873">
        <v>46073028.049999997</v>
      </c>
      <c r="N4873">
        <v>43421438.229999997</v>
      </c>
      <c r="O4873">
        <v>83718757.900000006</v>
      </c>
      <c r="P4873">
        <v>3</v>
      </c>
      <c r="Q4873" t="s">
        <v>10093</v>
      </c>
    </row>
    <row r="4874" spans="1:17" x14ac:dyDescent="0.3">
      <c r="A4874" t="s">
        <v>47</v>
      </c>
      <c r="B4874" t="str">
        <f>"000805"</f>
        <v>000805</v>
      </c>
      <c r="C4874" t="s">
        <v>10094</v>
      </c>
      <c r="J4874">
        <v>412703975.14999998</v>
      </c>
      <c r="K4874">
        <v>153516153.94</v>
      </c>
      <c r="L4874">
        <v>36850979.140000001</v>
      </c>
      <c r="M4874">
        <v>30071634</v>
      </c>
      <c r="N4874">
        <v>31417020.129999999</v>
      </c>
      <c r="O4874">
        <v>36367860.210000001</v>
      </c>
      <c r="P4874">
        <v>3</v>
      </c>
      <c r="Q4874" t="s">
        <v>10095</v>
      </c>
    </row>
    <row r="4875" spans="1:17" x14ac:dyDescent="0.3">
      <c r="A4875" t="s">
        <v>47</v>
      </c>
      <c r="B4875" t="str">
        <f>"000832"</f>
        <v>000832</v>
      </c>
      <c r="C4875" t="s">
        <v>10096</v>
      </c>
      <c r="J4875">
        <v>7224164.2000000002</v>
      </c>
      <c r="K4875">
        <v>19660136.609999999</v>
      </c>
      <c r="L4875">
        <v>166199153.50999999</v>
      </c>
      <c r="M4875">
        <v>187673916.12</v>
      </c>
      <c r="N4875">
        <v>213526758.74000001</v>
      </c>
      <c r="O4875">
        <v>254425585.75999999</v>
      </c>
      <c r="P4875">
        <v>6</v>
      </c>
      <c r="Q4875" t="s">
        <v>10097</v>
      </c>
    </row>
    <row r="4876" spans="1:17" x14ac:dyDescent="0.3">
      <c r="A4876" t="s">
        <v>47</v>
      </c>
      <c r="B4876" t="str">
        <f>"000916"</f>
        <v>000916</v>
      </c>
      <c r="C4876" t="s">
        <v>10098</v>
      </c>
      <c r="J4876">
        <v>5907325843</v>
      </c>
      <c r="K4876">
        <v>6068024937.8800001</v>
      </c>
      <c r="L4876">
        <v>6414411444.4499998</v>
      </c>
      <c r="M4876">
        <v>4645504017.71</v>
      </c>
      <c r="N4876">
        <v>4188680516.2800002</v>
      </c>
      <c r="O4876">
        <v>4101581696.27</v>
      </c>
      <c r="P4876">
        <v>27</v>
      </c>
      <c r="Q4876" t="s">
        <v>10099</v>
      </c>
    </row>
    <row r="4877" spans="1:17" x14ac:dyDescent="0.3">
      <c r="A4877" t="s">
        <v>47</v>
      </c>
      <c r="B4877" t="str">
        <f>"000939"</f>
        <v>000939</v>
      </c>
      <c r="C4877" t="s">
        <v>10100</v>
      </c>
      <c r="G4877">
        <v>32202437579</v>
      </c>
      <c r="H4877">
        <v>32320537992</v>
      </c>
      <c r="I4877">
        <v>37712516458</v>
      </c>
      <c r="J4877">
        <v>39367429692</v>
      </c>
      <c r="K4877">
        <v>34534566806</v>
      </c>
      <c r="L4877">
        <v>14850871337</v>
      </c>
      <c r="M4877">
        <v>12326566599</v>
      </c>
      <c r="N4877">
        <v>11372891998</v>
      </c>
      <c r="O4877">
        <v>10609529124</v>
      </c>
      <c r="P4877">
        <v>61</v>
      </c>
      <c r="Q4877" t="s">
        <v>10101</v>
      </c>
    </row>
    <row r="4878" spans="1:17" x14ac:dyDescent="0.3">
      <c r="A4878" t="s">
        <v>47</v>
      </c>
      <c r="B4878" t="str">
        <f>"000971"</f>
        <v>000971</v>
      </c>
      <c r="C4878" t="s">
        <v>10102</v>
      </c>
      <c r="D4878" t="s">
        <v>3761</v>
      </c>
      <c r="F4878">
        <v>2131760276</v>
      </c>
      <c r="G4878">
        <v>2340351775</v>
      </c>
      <c r="H4878">
        <v>3341865421</v>
      </c>
      <c r="I4878">
        <v>3970159626</v>
      </c>
      <c r="J4878">
        <v>3826609676</v>
      </c>
      <c r="K4878">
        <v>1761480362</v>
      </c>
      <c r="L4878">
        <v>119356078</v>
      </c>
      <c r="M4878">
        <v>149289181</v>
      </c>
      <c r="N4878">
        <v>465350839</v>
      </c>
      <c r="O4878">
        <v>809811533</v>
      </c>
      <c r="P4878">
        <v>74</v>
      </c>
      <c r="Q4878" t="s">
        <v>10103</v>
      </c>
    </row>
    <row r="4879" spans="1:17" x14ac:dyDescent="0.3">
      <c r="A4879" t="s">
        <v>47</v>
      </c>
      <c r="B4879" t="str">
        <f>"000979"</f>
        <v>000979</v>
      </c>
      <c r="C4879" t="s">
        <v>10104</v>
      </c>
      <c r="I4879">
        <v>45684882038</v>
      </c>
      <c r="J4879">
        <v>33913178716</v>
      </c>
      <c r="K4879">
        <v>26972684740.889999</v>
      </c>
      <c r="L4879">
        <v>17892002358.650002</v>
      </c>
      <c r="M4879">
        <v>13147532963.27</v>
      </c>
      <c r="N4879">
        <v>9190786862.3600006</v>
      </c>
      <c r="O4879">
        <v>6517136433.2200003</v>
      </c>
      <c r="P4879">
        <v>30</v>
      </c>
      <c r="Q4879" t="s">
        <v>10105</v>
      </c>
    </row>
    <row r="4880" spans="1:17" x14ac:dyDescent="0.3">
      <c r="A4880" t="s">
        <v>47</v>
      </c>
      <c r="B4880" t="str">
        <f>"002018"</f>
        <v>002018</v>
      </c>
      <c r="C4880" t="s">
        <v>10106</v>
      </c>
      <c r="G4880">
        <v>547991306</v>
      </c>
      <c r="H4880">
        <v>673278022</v>
      </c>
      <c r="I4880">
        <v>6743987463</v>
      </c>
      <c r="J4880">
        <v>8174851462</v>
      </c>
      <c r="K4880">
        <v>5987106912</v>
      </c>
      <c r="L4880">
        <v>3598579484</v>
      </c>
      <c r="M4880">
        <v>2907286751</v>
      </c>
      <c r="N4880">
        <v>1480859532</v>
      </c>
      <c r="O4880">
        <v>1698368035</v>
      </c>
      <c r="P4880">
        <v>40</v>
      </c>
      <c r="Q4880" t="s">
        <v>10107</v>
      </c>
    </row>
    <row r="4881" spans="1:17" x14ac:dyDescent="0.3">
      <c r="A4881" t="s">
        <v>47</v>
      </c>
      <c r="B4881" t="str">
        <f>"002070"</f>
        <v>002070</v>
      </c>
      <c r="C4881" t="s">
        <v>10108</v>
      </c>
      <c r="H4881">
        <v>1581858090</v>
      </c>
      <c r="I4881">
        <v>1911512084</v>
      </c>
      <c r="J4881">
        <v>2724871240</v>
      </c>
      <c r="L4881">
        <v>2932954168.6999998</v>
      </c>
      <c r="M4881">
        <v>2886425873.3899999</v>
      </c>
      <c r="N4881">
        <v>3010867754.6500001</v>
      </c>
      <c r="O4881">
        <v>2162058860.5999999</v>
      </c>
      <c r="P4881">
        <v>27</v>
      </c>
      <c r="Q4881" t="s">
        <v>10109</v>
      </c>
    </row>
    <row r="4882" spans="1:17" x14ac:dyDescent="0.3">
      <c r="A4882" t="s">
        <v>47</v>
      </c>
      <c r="B4882" t="str">
        <f>"002071"</f>
        <v>002071</v>
      </c>
      <c r="C4882" t="s">
        <v>10110</v>
      </c>
      <c r="F4882">
        <v>1030625498</v>
      </c>
      <c r="G4882">
        <v>1377519825</v>
      </c>
      <c r="H4882">
        <v>2878048786</v>
      </c>
      <c r="I4882">
        <v>3724763001</v>
      </c>
      <c r="J4882">
        <v>2990181430</v>
      </c>
      <c r="K4882">
        <v>2965453352</v>
      </c>
      <c r="L4882">
        <v>1434594159</v>
      </c>
      <c r="M4882">
        <v>966795902</v>
      </c>
      <c r="N4882">
        <v>999089760</v>
      </c>
      <c r="O4882">
        <v>999423681</v>
      </c>
      <c r="P4882">
        <v>97</v>
      </c>
      <c r="Q4882" t="s">
        <v>10111</v>
      </c>
    </row>
    <row r="4883" spans="1:17" x14ac:dyDescent="0.3">
      <c r="A4883" t="s">
        <v>47</v>
      </c>
      <c r="B4883" t="str">
        <f>"002118"</f>
        <v>002118</v>
      </c>
      <c r="C4883" t="s">
        <v>10112</v>
      </c>
      <c r="D4883" t="s">
        <v>695</v>
      </c>
      <c r="F4883">
        <v>10457861546</v>
      </c>
      <c r="G4883">
        <v>10657446178</v>
      </c>
      <c r="H4883">
        <v>10574148346</v>
      </c>
      <c r="I4883">
        <v>8902124454</v>
      </c>
      <c r="J4883">
        <v>6825411989</v>
      </c>
      <c r="K4883">
        <v>5305586563</v>
      </c>
      <c r="L4883">
        <v>4050116464</v>
      </c>
      <c r="M4883">
        <v>3756305201</v>
      </c>
      <c r="N4883">
        <v>3002758459</v>
      </c>
      <c r="O4883">
        <v>2876346254</v>
      </c>
      <c r="P4883">
        <v>226</v>
      </c>
      <c r="Q4883" t="s">
        <v>10113</v>
      </c>
    </row>
    <row r="4884" spans="1:17" x14ac:dyDescent="0.3">
      <c r="A4884" t="s">
        <v>47</v>
      </c>
      <c r="B4884" t="str">
        <f>"002143"</f>
        <v>002143</v>
      </c>
      <c r="C4884" t="s">
        <v>10114</v>
      </c>
      <c r="H4884">
        <v>2888351594</v>
      </c>
      <c r="I4884">
        <v>4602308405</v>
      </c>
      <c r="J4884">
        <v>3963593977</v>
      </c>
      <c r="K4884">
        <v>2718339467</v>
      </c>
      <c r="L4884">
        <v>2069209294</v>
      </c>
      <c r="M4884">
        <v>1831462007</v>
      </c>
      <c r="N4884">
        <v>1926455367</v>
      </c>
      <c r="O4884">
        <v>1556745622</v>
      </c>
      <c r="P4884">
        <v>59</v>
      </c>
      <c r="Q4884" t="s">
        <v>10115</v>
      </c>
    </row>
    <row r="4885" spans="1:17" x14ac:dyDescent="0.3">
      <c r="A4885" t="s">
        <v>47</v>
      </c>
      <c r="B4885" t="str">
        <f>"002220"</f>
        <v>002220</v>
      </c>
      <c r="C4885" t="s">
        <v>10116</v>
      </c>
      <c r="G4885">
        <v>3181880376</v>
      </c>
      <c r="H4885">
        <v>4864488458</v>
      </c>
      <c r="I4885">
        <v>5123469667</v>
      </c>
      <c r="J4885">
        <v>5240014517</v>
      </c>
      <c r="K4885">
        <v>4857147024</v>
      </c>
      <c r="L4885">
        <v>4492598814</v>
      </c>
      <c r="M4885">
        <v>3768303041</v>
      </c>
      <c r="N4885">
        <v>2930927496</v>
      </c>
      <c r="O4885">
        <v>2348043760</v>
      </c>
      <c r="P4885">
        <v>51</v>
      </c>
      <c r="Q4885" t="s">
        <v>10117</v>
      </c>
    </row>
    <row r="4886" spans="1:17" x14ac:dyDescent="0.3">
      <c r="A4886" t="s">
        <v>47</v>
      </c>
      <c r="B4886" t="str">
        <f>"002359"</f>
        <v>002359</v>
      </c>
      <c r="C4886" t="s">
        <v>10118</v>
      </c>
      <c r="F4886">
        <v>13426263803</v>
      </c>
      <c r="G4886">
        <v>14088879079</v>
      </c>
      <c r="H4886">
        <v>18435451932</v>
      </c>
      <c r="I4886">
        <v>14436363140</v>
      </c>
      <c r="J4886">
        <v>1741219568</v>
      </c>
      <c r="K4886">
        <v>1382869435</v>
      </c>
      <c r="L4886">
        <v>1488292868</v>
      </c>
      <c r="M4886">
        <v>1553554134</v>
      </c>
      <c r="N4886">
        <v>1734746081</v>
      </c>
      <c r="O4886">
        <v>1030967721</v>
      </c>
      <c r="P4886">
        <v>68</v>
      </c>
      <c r="Q4886" t="s">
        <v>10119</v>
      </c>
    </row>
    <row r="4887" spans="1:17" x14ac:dyDescent="0.3">
      <c r="A4887" t="s">
        <v>47</v>
      </c>
      <c r="B4887" t="str">
        <f>"002411"</f>
        <v>002411</v>
      </c>
      <c r="C4887" t="s">
        <v>10120</v>
      </c>
      <c r="D4887" t="s">
        <v>362</v>
      </c>
      <c r="F4887">
        <v>19552223912</v>
      </c>
      <c r="G4887">
        <v>22279872508</v>
      </c>
      <c r="H4887">
        <v>21697427126</v>
      </c>
      <c r="I4887">
        <v>19065627251</v>
      </c>
      <c r="J4887">
        <v>18381638486</v>
      </c>
      <c r="K4887">
        <v>13258733672</v>
      </c>
      <c r="L4887">
        <v>1619047299</v>
      </c>
      <c r="M4887">
        <v>1367031658</v>
      </c>
      <c r="N4887">
        <v>1291115574</v>
      </c>
      <c r="O4887">
        <v>1101642997</v>
      </c>
      <c r="P4887">
        <v>244</v>
      </c>
      <c r="Q4887" t="s">
        <v>10121</v>
      </c>
    </row>
    <row r="4888" spans="1:17" x14ac:dyDescent="0.3">
      <c r="A4888" t="s">
        <v>47</v>
      </c>
      <c r="B4888" t="str">
        <f>"002433"</f>
        <v>002433</v>
      </c>
      <c r="C4888" t="s">
        <v>10122</v>
      </c>
      <c r="D4888" t="s">
        <v>695</v>
      </c>
      <c r="F4888">
        <v>8877327762</v>
      </c>
      <c r="G4888">
        <v>9067501729</v>
      </c>
      <c r="H4888">
        <v>8783445945</v>
      </c>
      <c r="I4888">
        <v>8357309601</v>
      </c>
      <c r="J4888">
        <v>7172652903</v>
      </c>
      <c r="K4888">
        <v>6374045532</v>
      </c>
      <c r="L4888">
        <v>4556977741</v>
      </c>
      <c r="M4888">
        <v>2584094727</v>
      </c>
      <c r="N4888">
        <v>2206274321</v>
      </c>
      <c r="O4888">
        <v>1389141464</v>
      </c>
      <c r="P4888">
        <v>235</v>
      </c>
      <c r="Q4888" t="s">
        <v>10123</v>
      </c>
    </row>
    <row r="4889" spans="1:17" x14ac:dyDescent="0.3">
      <c r="A4889" t="s">
        <v>47</v>
      </c>
      <c r="B4889" t="str">
        <f>"002450"</f>
        <v>002450</v>
      </c>
      <c r="C4889" t="s">
        <v>10124</v>
      </c>
      <c r="F4889">
        <v>8062735721</v>
      </c>
      <c r="G4889">
        <v>26795237279</v>
      </c>
      <c r="H4889">
        <v>33123123608</v>
      </c>
      <c r="I4889">
        <v>35677602886</v>
      </c>
      <c r="J4889">
        <v>28260520067</v>
      </c>
      <c r="K4889">
        <v>19325356460</v>
      </c>
      <c r="L4889">
        <v>10893467972</v>
      </c>
      <c r="M4889">
        <v>8087730913</v>
      </c>
      <c r="N4889">
        <v>5783553553</v>
      </c>
      <c r="O4889">
        <v>2058391893</v>
      </c>
      <c r="P4889">
        <v>1520</v>
      </c>
      <c r="Q4889" t="s">
        <v>10125</v>
      </c>
    </row>
    <row r="4890" spans="1:17" x14ac:dyDescent="0.3">
      <c r="A4890" t="s">
        <v>47</v>
      </c>
      <c r="B4890" t="str">
        <f>"002464"</f>
        <v>002464</v>
      </c>
      <c r="C4890" t="s">
        <v>10126</v>
      </c>
      <c r="D4890" t="s">
        <v>1032</v>
      </c>
      <c r="F4890">
        <v>1517021180</v>
      </c>
      <c r="G4890">
        <v>1978121586</v>
      </c>
      <c r="H4890">
        <v>3188268372</v>
      </c>
      <c r="I4890">
        <v>3286137913</v>
      </c>
      <c r="J4890">
        <v>2087755251</v>
      </c>
      <c r="K4890">
        <v>2415434589</v>
      </c>
      <c r="L4890">
        <v>872954397</v>
      </c>
      <c r="M4890">
        <v>1001783823</v>
      </c>
      <c r="N4890">
        <v>1025279177</v>
      </c>
      <c r="O4890">
        <v>811910798</v>
      </c>
      <c r="P4890">
        <v>110</v>
      </c>
      <c r="Q4890" t="s">
        <v>10127</v>
      </c>
    </row>
    <row r="4891" spans="1:17" x14ac:dyDescent="0.3">
      <c r="A4891" t="s">
        <v>47</v>
      </c>
      <c r="B4891" t="str">
        <f>"002477"</f>
        <v>002477</v>
      </c>
      <c r="C4891" t="s">
        <v>10128</v>
      </c>
      <c r="H4891">
        <v>19636749063</v>
      </c>
      <c r="I4891">
        <v>24247319517</v>
      </c>
      <c r="J4891">
        <v>18762443777</v>
      </c>
      <c r="K4891">
        <v>11220692138</v>
      </c>
      <c r="L4891">
        <v>7593422352</v>
      </c>
      <c r="M4891">
        <v>6552372487</v>
      </c>
      <c r="N4891">
        <v>4913132143</v>
      </c>
      <c r="O4891">
        <v>2734155390</v>
      </c>
      <c r="P4891">
        <v>126</v>
      </c>
      <c r="Q4891" t="s">
        <v>10129</v>
      </c>
    </row>
    <row r="4892" spans="1:17" x14ac:dyDescent="0.3">
      <c r="A4892" t="s">
        <v>47</v>
      </c>
      <c r="B4892" t="str">
        <f>"002509"</f>
        <v>002509</v>
      </c>
      <c r="C4892" t="s">
        <v>10130</v>
      </c>
      <c r="G4892">
        <v>5990189326</v>
      </c>
      <c r="H4892">
        <v>8817989823</v>
      </c>
      <c r="I4892">
        <v>8707738058</v>
      </c>
      <c r="J4892">
        <v>7465480741</v>
      </c>
      <c r="K4892">
        <v>5091239173</v>
      </c>
      <c r="L4892">
        <v>1843962725</v>
      </c>
      <c r="M4892">
        <v>1044349626</v>
      </c>
      <c r="N4892">
        <v>922498915</v>
      </c>
      <c r="O4892">
        <v>778259217</v>
      </c>
      <c r="P4892">
        <v>60</v>
      </c>
      <c r="Q4892" t="s">
        <v>10131</v>
      </c>
    </row>
    <row r="4893" spans="1:17" x14ac:dyDescent="0.3">
      <c r="A4893" t="s">
        <v>47</v>
      </c>
      <c r="B4893" t="str">
        <f>"002604"</f>
        <v>002604</v>
      </c>
      <c r="C4893" t="s">
        <v>10132</v>
      </c>
      <c r="G4893">
        <v>1108256746</v>
      </c>
      <c r="H4893">
        <v>1467061577</v>
      </c>
      <c r="I4893">
        <v>4035835010</v>
      </c>
      <c r="J4893">
        <v>4402169682</v>
      </c>
      <c r="K4893">
        <v>2718938917</v>
      </c>
      <c r="L4893">
        <v>2734741948</v>
      </c>
      <c r="M4893">
        <v>2632031521</v>
      </c>
      <c r="N4893">
        <v>2574627529</v>
      </c>
      <c r="O4893">
        <v>2069474379</v>
      </c>
      <c r="P4893">
        <v>49</v>
      </c>
      <c r="Q4893" t="s">
        <v>10133</v>
      </c>
    </row>
    <row r="4894" spans="1:17" x14ac:dyDescent="0.3">
      <c r="A4894" t="s">
        <v>47</v>
      </c>
      <c r="B4894" t="str">
        <f>"002619"</f>
        <v>002619</v>
      </c>
      <c r="C4894" t="s">
        <v>10134</v>
      </c>
      <c r="D4894" t="s">
        <v>1032</v>
      </c>
      <c r="F4894">
        <v>2283730932</v>
      </c>
      <c r="G4894">
        <v>3606388114</v>
      </c>
      <c r="H4894">
        <v>7249722033</v>
      </c>
      <c r="I4894">
        <v>7421363280</v>
      </c>
      <c r="J4894">
        <v>3964514189</v>
      </c>
      <c r="K4894">
        <v>3702310523</v>
      </c>
      <c r="L4894">
        <v>3608394472</v>
      </c>
      <c r="M4894">
        <v>1005216872</v>
      </c>
      <c r="N4894">
        <v>891870489</v>
      </c>
      <c r="O4894">
        <v>788963239</v>
      </c>
      <c r="P4894">
        <v>124</v>
      </c>
      <c r="Q4894" t="s">
        <v>10135</v>
      </c>
    </row>
    <row r="4895" spans="1:17" x14ac:dyDescent="0.3">
      <c r="A4895" t="s">
        <v>47</v>
      </c>
      <c r="B4895" t="str">
        <f>"002680"</f>
        <v>002680</v>
      </c>
      <c r="C4895" t="s">
        <v>10136</v>
      </c>
      <c r="I4895">
        <v>4684167306</v>
      </c>
      <c r="J4895">
        <v>4118848359</v>
      </c>
      <c r="K4895">
        <v>3730917600</v>
      </c>
      <c r="L4895">
        <v>799391892</v>
      </c>
      <c r="M4895">
        <v>780112093</v>
      </c>
      <c r="N4895">
        <v>792997365</v>
      </c>
      <c r="O4895">
        <v>421257046</v>
      </c>
      <c r="P4895">
        <v>221</v>
      </c>
      <c r="Q4895" t="s">
        <v>10137</v>
      </c>
    </row>
    <row r="4896" spans="1:17" x14ac:dyDescent="0.3">
      <c r="A4896" t="s">
        <v>47</v>
      </c>
      <c r="B4896" t="str">
        <f>"002711"</f>
        <v>002711</v>
      </c>
      <c r="C4896" t="s">
        <v>10138</v>
      </c>
      <c r="F4896">
        <v>474501999</v>
      </c>
      <c r="G4896">
        <v>713690360</v>
      </c>
      <c r="H4896">
        <v>730861645</v>
      </c>
      <c r="I4896">
        <v>3553365346</v>
      </c>
      <c r="J4896">
        <v>3128004777</v>
      </c>
      <c r="K4896">
        <v>2889825719</v>
      </c>
      <c r="L4896">
        <v>1900773878</v>
      </c>
      <c r="M4896">
        <v>1576888372</v>
      </c>
      <c r="P4896">
        <v>74</v>
      </c>
      <c r="Q4896" t="s">
        <v>10139</v>
      </c>
    </row>
    <row r="4897" spans="1:17" x14ac:dyDescent="0.3">
      <c r="A4897" t="s">
        <v>47</v>
      </c>
      <c r="B4897" t="str">
        <f>"002776"</f>
        <v>002776</v>
      </c>
      <c r="C4897" t="s">
        <v>10140</v>
      </c>
      <c r="D4897" t="s">
        <v>628</v>
      </c>
      <c r="F4897">
        <v>3056526306</v>
      </c>
      <c r="G4897">
        <v>3309854328</v>
      </c>
      <c r="H4897">
        <v>2990298178</v>
      </c>
      <c r="I4897">
        <v>2791295824</v>
      </c>
      <c r="J4897">
        <v>2247465078</v>
      </c>
      <c r="K4897">
        <v>1370022542</v>
      </c>
      <c r="L4897">
        <v>536294549</v>
      </c>
      <c r="P4897">
        <v>125</v>
      </c>
      <c r="Q4897" t="s">
        <v>10141</v>
      </c>
    </row>
    <row r="4898" spans="1:17" x14ac:dyDescent="0.3">
      <c r="A4898" t="s">
        <v>47</v>
      </c>
      <c r="B4898" t="str">
        <f>"200002"</f>
        <v>200002</v>
      </c>
      <c r="C4898" t="s">
        <v>10142</v>
      </c>
      <c r="J4898">
        <v>1000435315877.6899</v>
      </c>
      <c r="K4898">
        <v>791461462796.56201</v>
      </c>
      <c r="L4898">
        <v>657550551787.84998</v>
      </c>
      <c r="M4898">
        <v>618106531222.12</v>
      </c>
      <c r="N4898">
        <v>522284231193.83002</v>
      </c>
      <c r="O4898">
        <v>382768209829.32202</v>
      </c>
      <c r="P4898">
        <v>22</v>
      </c>
      <c r="Q4898" t="s">
        <v>10143</v>
      </c>
    </row>
    <row r="4899" spans="1:17" x14ac:dyDescent="0.3">
      <c r="A4899" t="s">
        <v>47</v>
      </c>
      <c r="B4899" t="str">
        <f>"200015"</f>
        <v>200015</v>
      </c>
      <c r="C4899" t="s">
        <v>10144</v>
      </c>
      <c r="J4899">
        <v>2673350560.5686998</v>
      </c>
      <c r="K4899">
        <v>2762182401.7967</v>
      </c>
      <c r="L4899">
        <v>29464.362499999999</v>
      </c>
      <c r="M4899">
        <v>154069259.68450001</v>
      </c>
      <c r="N4899">
        <v>155927523.14140001</v>
      </c>
      <c r="O4899">
        <v>155494350.05970001</v>
      </c>
      <c r="P4899">
        <v>0</v>
      </c>
      <c r="Q4899" t="s">
        <v>10145</v>
      </c>
    </row>
    <row r="4900" spans="1:17" x14ac:dyDescent="0.3">
      <c r="A4900" t="s">
        <v>47</v>
      </c>
      <c r="B4900" t="str">
        <f>"200018"</f>
        <v>200018</v>
      </c>
      <c r="C4900" t="s">
        <v>10146</v>
      </c>
      <c r="G4900">
        <v>3815662114.3334999</v>
      </c>
      <c r="H4900">
        <v>10948465918.510201</v>
      </c>
      <c r="I4900">
        <v>14764091819.1675</v>
      </c>
      <c r="J4900">
        <v>9412179206.8138008</v>
      </c>
      <c r="K4900">
        <v>5390382094.6082001</v>
      </c>
      <c r="L4900">
        <v>231345786.25</v>
      </c>
      <c r="M4900">
        <v>213252936.40000001</v>
      </c>
      <c r="N4900">
        <v>199754442.92460001</v>
      </c>
      <c r="O4900">
        <v>213097737.78</v>
      </c>
      <c r="P4900">
        <v>13</v>
      </c>
      <c r="Q4900" t="s">
        <v>10147</v>
      </c>
    </row>
    <row r="4901" spans="1:17" x14ac:dyDescent="0.3">
      <c r="A4901" t="s">
        <v>47</v>
      </c>
      <c r="B4901" t="str">
        <f>"200022"</f>
        <v>200022</v>
      </c>
      <c r="C4901" t="s">
        <v>10148</v>
      </c>
      <c r="I4901">
        <v>10188145867.6455</v>
      </c>
      <c r="J4901">
        <v>7732426239.4225998</v>
      </c>
      <c r="K4901">
        <v>8299341429.6646004</v>
      </c>
      <c r="L4901">
        <v>8713744580.0499992</v>
      </c>
      <c r="M4901">
        <v>9284529743.2091007</v>
      </c>
      <c r="N4901">
        <v>8831971090.9908009</v>
      </c>
      <c r="O4901">
        <v>8191270901.8979998</v>
      </c>
      <c r="P4901">
        <v>41</v>
      </c>
      <c r="Q4901" t="s">
        <v>10149</v>
      </c>
    </row>
    <row r="4902" spans="1:17" x14ac:dyDescent="0.3">
      <c r="A4902" t="s">
        <v>47</v>
      </c>
      <c r="B4902" t="str">
        <f>"200024"</f>
        <v>200024</v>
      </c>
      <c r="C4902" t="s">
        <v>10150</v>
      </c>
      <c r="L4902">
        <v>201971322443.89999</v>
      </c>
      <c r="M4902">
        <v>168493389782.41199</v>
      </c>
      <c r="N4902">
        <v>144154236423.43301</v>
      </c>
      <c r="O4902">
        <v>103625559676.66499</v>
      </c>
      <c r="P4902">
        <v>0</v>
      </c>
      <c r="Q4902" t="s">
        <v>10151</v>
      </c>
    </row>
    <row r="4903" spans="1:17" x14ac:dyDescent="0.3">
      <c r="A4903" t="s">
        <v>47</v>
      </c>
      <c r="B4903" t="str">
        <f>"200030"</f>
        <v>200030</v>
      </c>
      <c r="C4903" t="s">
        <v>10152</v>
      </c>
      <c r="F4903">
        <v>17803971186.158001</v>
      </c>
      <c r="G4903">
        <v>13763373572.7318</v>
      </c>
      <c r="H4903">
        <v>14076861305.2938</v>
      </c>
      <c r="I4903">
        <v>13440341578.286501</v>
      </c>
      <c r="J4903">
        <v>10622670879.7334</v>
      </c>
      <c r="K4903">
        <v>9943589284.8470993</v>
      </c>
      <c r="L4903">
        <v>9280790415</v>
      </c>
      <c r="M4903">
        <v>9013512590.9675999</v>
      </c>
      <c r="N4903">
        <v>8224695080.7011995</v>
      </c>
      <c r="O4903">
        <v>80692413.776999995</v>
      </c>
      <c r="P4903">
        <v>132</v>
      </c>
      <c r="Q4903" t="s">
        <v>10153</v>
      </c>
    </row>
    <row r="4904" spans="1:17" x14ac:dyDescent="0.3">
      <c r="A4904" t="s">
        <v>47</v>
      </c>
      <c r="B4904" t="str">
        <f>"200037"</f>
        <v>200037</v>
      </c>
      <c r="C4904" t="s">
        <v>10154</v>
      </c>
      <c r="F4904">
        <v>3274375732.8769999</v>
      </c>
      <c r="G4904">
        <v>3524554979.6150999</v>
      </c>
      <c r="H4904">
        <v>3696315286.5063</v>
      </c>
      <c r="I4904">
        <v>3966589522.6585002</v>
      </c>
      <c r="J4904">
        <v>3846458238.9938002</v>
      </c>
      <c r="K4904">
        <v>5656481403.1279001</v>
      </c>
      <c r="L4904">
        <v>6771971811.25</v>
      </c>
      <c r="M4904">
        <v>6784156221.8788004</v>
      </c>
      <c r="N4904">
        <v>7061958693.2939997</v>
      </c>
      <c r="O4904">
        <v>6523153028.9820004</v>
      </c>
      <c r="P4904">
        <v>9</v>
      </c>
      <c r="Q4904" t="s">
        <v>10155</v>
      </c>
    </row>
    <row r="4905" spans="1:17" x14ac:dyDescent="0.3">
      <c r="A4905" t="s">
        <v>47</v>
      </c>
      <c r="B4905" t="str">
        <f>"200039"</f>
        <v>200039</v>
      </c>
      <c r="C4905" t="s">
        <v>10156</v>
      </c>
      <c r="J4905">
        <v>145941650472</v>
      </c>
      <c r="K4905">
        <v>136020455230.8</v>
      </c>
      <c r="L4905">
        <v>116681660000</v>
      </c>
      <c r="M4905">
        <v>98373277074</v>
      </c>
      <c r="N4905">
        <v>82998768072</v>
      </c>
      <c r="O4905">
        <v>78137065665</v>
      </c>
      <c r="P4905">
        <v>0</v>
      </c>
      <c r="Q4905" t="s">
        <v>10157</v>
      </c>
    </row>
    <row r="4906" spans="1:17" x14ac:dyDescent="0.3">
      <c r="A4906" t="s">
        <v>47</v>
      </c>
      <c r="B4906" t="str">
        <f>"200053"</f>
        <v>200053</v>
      </c>
      <c r="C4906" t="s">
        <v>10158</v>
      </c>
      <c r="I4906">
        <v>11746727932.448</v>
      </c>
      <c r="J4906">
        <v>8649147220.7978001</v>
      </c>
      <c r="K4906">
        <v>7846461374.3945999</v>
      </c>
      <c r="L4906">
        <v>6790888595.3500004</v>
      </c>
      <c r="M4906">
        <v>5694297354.3424997</v>
      </c>
      <c r="N4906">
        <v>5644539509.0927</v>
      </c>
      <c r="O4906">
        <v>5135041629.8821001</v>
      </c>
      <c r="P4906">
        <v>15</v>
      </c>
      <c r="Q4906" t="s">
        <v>10159</v>
      </c>
    </row>
    <row r="4907" spans="1:17" x14ac:dyDescent="0.3">
      <c r="A4907" t="s">
        <v>47</v>
      </c>
      <c r="B4907" t="str">
        <f>"200055"</f>
        <v>200055</v>
      </c>
      <c r="C4907" t="s">
        <v>10160</v>
      </c>
      <c r="F4907">
        <v>13383266026.1905</v>
      </c>
      <c r="G4907">
        <v>12403992190.8699</v>
      </c>
      <c r="H4907">
        <v>12451607399.475</v>
      </c>
      <c r="I4907">
        <v>9456934223.6849995</v>
      </c>
      <c r="J4907">
        <v>7377906961.1375999</v>
      </c>
      <c r="K4907">
        <v>5557152074.8034</v>
      </c>
      <c r="L4907">
        <v>4564347393.75</v>
      </c>
      <c r="M4907">
        <v>3404409027.7620001</v>
      </c>
      <c r="N4907">
        <v>2834432303.2584</v>
      </c>
      <c r="O4907">
        <v>2580779909.5830002</v>
      </c>
      <c r="P4907">
        <v>71</v>
      </c>
      <c r="Q4907" t="s">
        <v>10161</v>
      </c>
    </row>
    <row r="4908" spans="1:17" x14ac:dyDescent="0.3">
      <c r="A4908" t="s">
        <v>47</v>
      </c>
      <c r="B4908" t="str">
        <f>"200056"</f>
        <v>200056</v>
      </c>
      <c r="C4908" t="s">
        <v>10162</v>
      </c>
      <c r="F4908">
        <v>14286617944.872999</v>
      </c>
      <c r="G4908">
        <v>13556284478.5236</v>
      </c>
      <c r="H4908">
        <v>15419594318.716801</v>
      </c>
      <c r="I4908">
        <v>17678762104.870998</v>
      </c>
      <c r="J4908">
        <v>12150031371.308001</v>
      </c>
      <c r="K4908">
        <v>10083350490.972601</v>
      </c>
      <c r="L4908">
        <v>9849592510</v>
      </c>
      <c r="M4908">
        <v>11302884690.216</v>
      </c>
      <c r="N4908">
        <v>2598606912.6090002</v>
      </c>
      <c r="O4908">
        <v>2188041219.5040002</v>
      </c>
      <c r="P4908">
        <v>13</v>
      </c>
      <c r="Q4908" t="s">
        <v>10163</v>
      </c>
    </row>
    <row r="4909" spans="1:17" x14ac:dyDescent="0.3">
      <c r="A4909" t="s">
        <v>47</v>
      </c>
      <c r="B4909" t="str">
        <f>"200160"</f>
        <v>200160</v>
      </c>
      <c r="C4909" t="s">
        <v>10164</v>
      </c>
      <c r="G4909">
        <v>750313427.18069994</v>
      </c>
      <c r="H4909">
        <v>785731067.36909997</v>
      </c>
      <c r="I4909">
        <v>589627320.37549996</v>
      </c>
      <c r="J4909">
        <v>626157295.35599995</v>
      </c>
      <c r="K4909">
        <v>1038966142.4236</v>
      </c>
      <c r="L4909">
        <v>843271063.6875</v>
      </c>
      <c r="M4909">
        <v>458670200.55739999</v>
      </c>
      <c r="N4909">
        <v>241780963.8427</v>
      </c>
      <c r="O4909">
        <v>273902881.80290002</v>
      </c>
      <c r="P4909">
        <v>3</v>
      </c>
      <c r="Q4909" t="s">
        <v>10165</v>
      </c>
    </row>
    <row r="4910" spans="1:17" x14ac:dyDescent="0.3">
      <c r="A4910" t="s">
        <v>47</v>
      </c>
      <c r="B4910" t="str">
        <f>"200168"</f>
        <v>200168</v>
      </c>
      <c r="C4910" t="s">
        <v>10166</v>
      </c>
      <c r="F4910">
        <v>546073681.79299998</v>
      </c>
      <c r="G4910">
        <v>546846560.95079994</v>
      </c>
      <c r="H4910">
        <v>635453191.53540003</v>
      </c>
      <c r="I4910">
        <v>734381496.39450002</v>
      </c>
      <c r="J4910">
        <v>646756898.33640003</v>
      </c>
      <c r="K4910">
        <v>566997526.60599995</v>
      </c>
      <c r="L4910">
        <v>602240028.75</v>
      </c>
      <c r="M4910">
        <v>559623301.61199999</v>
      </c>
      <c r="N4910">
        <v>620461387.79159999</v>
      </c>
      <c r="O4910">
        <v>666791393.15699995</v>
      </c>
      <c r="P4910">
        <v>3</v>
      </c>
      <c r="Q4910" t="s">
        <v>10167</v>
      </c>
    </row>
    <row r="4911" spans="1:17" x14ac:dyDescent="0.3">
      <c r="A4911" t="s">
        <v>47</v>
      </c>
      <c r="B4911" t="str">
        <f>"200413"</f>
        <v>200413</v>
      </c>
      <c r="C4911" t="s">
        <v>10168</v>
      </c>
      <c r="F4911">
        <v>75804242514.886002</v>
      </c>
      <c r="G4911">
        <v>76735426871.414703</v>
      </c>
      <c r="H4911">
        <v>84446912333.752197</v>
      </c>
      <c r="I4911">
        <v>86031636597.580994</v>
      </c>
      <c r="J4911">
        <v>53760268953.927803</v>
      </c>
      <c r="K4911">
        <v>34364978135.638199</v>
      </c>
      <c r="L4911">
        <v>17562259837.5</v>
      </c>
      <c r="M4911">
        <v>12511189606.4492</v>
      </c>
      <c r="N4911">
        <v>3886586516.6448002</v>
      </c>
      <c r="O4911">
        <v>733635528.95700002</v>
      </c>
      <c r="P4911">
        <v>44</v>
      </c>
      <c r="Q4911" t="s">
        <v>10169</v>
      </c>
    </row>
    <row r="4912" spans="1:17" x14ac:dyDescent="0.3">
      <c r="A4912" t="s">
        <v>47</v>
      </c>
      <c r="B4912" t="str">
        <f>"200418"</f>
        <v>200418</v>
      </c>
      <c r="C4912" t="s">
        <v>10170</v>
      </c>
      <c r="H4912">
        <v>27401474142.835201</v>
      </c>
      <c r="I4912">
        <v>25267805084.551498</v>
      </c>
      <c r="J4912">
        <v>20761698993.853001</v>
      </c>
      <c r="K4912">
        <v>17932369835.863098</v>
      </c>
      <c r="L4912">
        <v>14527893729.262501</v>
      </c>
      <c r="M4912">
        <v>11467517604.555401</v>
      </c>
      <c r="N4912">
        <v>10819166789.2237</v>
      </c>
      <c r="O4912">
        <v>9524910023.6861</v>
      </c>
      <c r="P4912">
        <v>89</v>
      </c>
      <c r="Q4912" t="s">
        <v>10171</v>
      </c>
    </row>
    <row r="4913" spans="1:17" x14ac:dyDescent="0.3">
      <c r="A4913" t="s">
        <v>47</v>
      </c>
      <c r="B4913" t="str">
        <f>"200429"</f>
        <v>200429</v>
      </c>
      <c r="C4913" t="s">
        <v>10172</v>
      </c>
      <c r="F4913">
        <v>23499534822.302502</v>
      </c>
      <c r="G4913">
        <v>19414940545.4967</v>
      </c>
      <c r="H4913">
        <v>20183702721.296398</v>
      </c>
      <c r="I4913">
        <v>21095585770.363998</v>
      </c>
      <c r="J4913">
        <v>18470317233.784801</v>
      </c>
      <c r="K4913">
        <v>14573996940.590401</v>
      </c>
      <c r="L4913">
        <v>15486058761.25</v>
      </c>
      <c r="M4913">
        <v>15676268183.559601</v>
      </c>
      <c r="N4913">
        <v>17015567348.556</v>
      </c>
      <c r="O4913">
        <v>15378855397.794001</v>
      </c>
      <c r="P4913">
        <v>453</v>
      </c>
      <c r="Q4913" t="s">
        <v>10173</v>
      </c>
    </row>
    <row r="4914" spans="1:17" x14ac:dyDescent="0.3">
      <c r="A4914" t="s">
        <v>47</v>
      </c>
      <c r="B4914" t="str">
        <f>"200488"</f>
        <v>200488</v>
      </c>
      <c r="C4914" t="s">
        <v>10174</v>
      </c>
      <c r="F4914">
        <v>107700178224.282</v>
      </c>
      <c r="G4914">
        <v>105846272319.672</v>
      </c>
      <c r="H4914">
        <v>123971684263.254</v>
      </c>
      <c r="I4914">
        <v>133904502170.964</v>
      </c>
      <c r="J4914">
        <v>98521654700.3638</v>
      </c>
      <c r="K4914">
        <v>100833721389.992</v>
      </c>
      <c r="L4914">
        <v>74541024006.25</v>
      </c>
      <c r="M4914">
        <v>60278442308.320396</v>
      </c>
      <c r="N4914">
        <v>59900464771.939201</v>
      </c>
      <c r="O4914">
        <v>57014007496.146004</v>
      </c>
      <c r="P4914">
        <v>268</v>
      </c>
      <c r="Q4914" t="s">
        <v>10175</v>
      </c>
    </row>
    <row r="4915" spans="1:17" x14ac:dyDescent="0.3">
      <c r="A4915" t="s">
        <v>47</v>
      </c>
      <c r="B4915" t="str">
        <f>"200513"</f>
        <v>200513</v>
      </c>
      <c r="C4915" t="s">
        <v>10176</v>
      </c>
      <c r="J4915">
        <v>12787324813.9044</v>
      </c>
      <c r="K4915">
        <v>9892916326.4922009</v>
      </c>
      <c r="L4915">
        <v>9601310216.3624992</v>
      </c>
      <c r="M4915">
        <v>8903530087.3484993</v>
      </c>
      <c r="N4915">
        <v>7447669799.0163002</v>
      </c>
      <c r="O4915">
        <v>5616164912.8900995</v>
      </c>
      <c r="P4915">
        <v>1</v>
      </c>
      <c r="Q4915" t="s">
        <v>10177</v>
      </c>
    </row>
    <row r="4916" spans="1:17" x14ac:dyDescent="0.3">
      <c r="A4916" t="s">
        <v>47</v>
      </c>
      <c r="B4916" t="str">
        <f>"200539"</f>
        <v>200539</v>
      </c>
      <c r="C4916" t="s">
        <v>10178</v>
      </c>
      <c r="F4916">
        <v>105176167344.23</v>
      </c>
      <c r="G4916">
        <v>83452600237.176895</v>
      </c>
      <c r="H4916">
        <v>84213316977.486298</v>
      </c>
      <c r="I4916">
        <v>88600459962.329498</v>
      </c>
      <c r="J4916">
        <v>78733333275.1754</v>
      </c>
      <c r="K4916">
        <v>85855902042.545593</v>
      </c>
      <c r="L4916">
        <v>87967466942.5</v>
      </c>
      <c r="M4916">
        <v>83810654146.328003</v>
      </c>
      <c r="N4916">
        <v>85384168083.172195</v>
      </c>
      <c r="O4916">
        <v>49151345612.822998</v>
      </c>
      <c r="P4916">
        <v>185</v>
      </c>
      <c r="Q4916" t="s">
        <v>10179</v>
      </c>
    </row>
    <row r="4917" spans="1:17" x14ac:dyDescent="0.3">
      <c r="A4917" t="s">
        <v>47</v>
      </c>
      <c r="B4917" t="str">
        <f>"200550"</f>
        <v>200550</v>
      </c>
      <c r="C4917" t="s">
        <v>10180</v>
      </c>
      <c r="F4917">
        <v>32022260477.421501</v>
      </c>
      <c r="G4917">
        <v>24406097007.9258</v>
      </c>
      <c r="H4917">
        <v>25908662558.239201</v>
      </c>
      <c r="I4917">
        <v>28426308054.331001</v>
      </c>
      <c r="J4917">
        <v>27552110348.616798</v>
      </c>
      <c r="K4917">
        <v>24451873118.8769</v>
      </c>
      <c r="L4917">
        <v>24336424542.5</v>
      </c>
      <c r="M4917">
        <v>21351397711.464802</v>
      </c>
      <c r="N4917">
        <v>17070172156.638599</v>
      </c>
      <c r="O4917">
        <v>15698908756.368</v>
      </c>
      <c r="P4917">
        <v>154</v>
      </c>
      <c r="Q4917" t="s">
        <v>10181</v>
      </c>
    </row>
    <row r="4918" spans="1:17" x14ac:dyDescent="0.3">
      <c r="A4918" t="s">
        <v>47</v>
      </c>
      <c r="B4918" t="str">
        <f>"200581"</f>
        <v>200581</v>
      </c>
      <c r="C4918" t="s">
        <v>10182</v>
      </c>
      <c r="F4918">
        <v>33899885395.893002</v>
      </c>
      <c r="G4918">
        <v>26022918231.807598</v>
      </c>
      <c r="H4918">
        <v>25959455758.5084</v>
      </c>
      <c r="I4918">
        <v>26546722889.628502</v>
      </c>
      <c r="J4918">
        <v>20476453196.994801</v>
      </c>
      <c r="K4918">
        <v>19290999972.872299</v>
      </c>
      <c r="L4918">
        <v>19063727140</v>
      </c>
      <c r="M4918">
        <v>17287725753.024799</v>
      </c>
      <c r="N4918">
        <v>14759124363.4578</v>
      </c>
      <c r="O4918">
        <v>12951860233.23</v>
      </c>
      <c r="P4918">
        <v>448</v>
      </c>
      <c r="Q4918" t="s">
        <v>10183</v>
      </c>
    </row>
    <row r="4919" spans="1:17" x14ac:dyDescent="0.3">
      <c r="A4919" t="s">
        <v>47</v>
      </c>
      <c r="B4919" t="str">
        <f>"200770"</f>
        <v>200770</v>
      </c>
      <c r="C4919" t="s">
        <v>10184</v>
      </c>
      <c r="J4919">
        <v>1463320407.7451999</v>
      </c>
      <c r="K4919">
        <v>1858489180.1752999</v>
      </c>
      <c r="L4919">
        <v>1773382264.675</v>
      </c>
      <c r="M4919">
        <v>1594955766.3943</v>
      </c>
      <c r="N4919">
        <v>1664180679.5439</v>
      </c>
      <c r="O4919">
        <v>1986752997.0246</v>
      </c>
      <c r="P4919">
        <v>0</v>
      </c>
      <c r="Q4919" t="s">
        <v>10185</v>
      </c>
    </row>
    <row r="4920" spans="1:17" x14ac:dyDescent="0.3">
      <c r="A4920" t="s">
        <v>47</v>
      </c>
      <c r="B4920" t="str">
        <f>"200986"</f>
        <v>200986</v>
      </c>
      <c r="C4920" t="s">
        <v>10186</v>
      </c>
      <c r="F4920">
        <v>7125917756.1049995</v>
      </c>
      <c r="G4920">
        <v>6307609956.3389997</v>
      </c>
      <c r="H4920">
        <v>6538643208.4869003</v>
      </c>
      <c r="I4920">
        <v>6887562712.2655001</v>
      </c>
      <c r="J4920">
        <v>7638282466.7354002</v>
      </c>
      <c r="K4920">
        <v>7446116339.8467999</v>
      </c>
      <c r="L4920">
        <v>8360158245</v>
      </c>
      <c r="M4920">
        <v>8011715283.7192001</v>
      </c>
      <c r="N4920">
        <v>7804044080.6316004</v>
      </c>
      <c r="O4920">
        <v>8271336923.316</v>
      </c>
      <c r="P4920">
        <v>8</v>
      </c>
      <c r="Q4920" t="s">
        <v>10187</v>
      </c>
    </row>
    <row r="4921" spans="1:17" x14ac:dyDescent="0.3">
      <c r="A4921" t="s">
        <v>47</v>
      </c>
      <c r="B4921" t="str">
        <f>"300028"</f>
        <v>300028</v>
      </c>
      <c r="C4921" t="s">
        <v>10188</v>
      </c>
      <c r="G4921">
        <v>197274773</v>
      </c>
      <c r="H4921">
        <v>212879011</v>
      </c>
      <c r="I4921">
        <v>288229600</v>
      </c>
      <c r="J4921">
        <v>475169442</v>
      </c>
      <c r="K4921">
        <v>695188327</v>
      </c>
      <c r="L4921">
        <v>1057742693</v>
      </c>
      <c r="M4921">
        <v>1272622962</v>
      </c>
      <c r="N4921">
        <v>1317940402</v>
      </c>
      <c r="O4921">
        <v>891842398</v>
      </c>
      <c r="P4921">
        <v>31</v>
      </c>
      <c r="Q4921" t="s">
        <v>10189</v>
      </c>
    </row>
    <row r="4922" spans="1:17" x14ac:dyDescent="0.3">
      <c r="A4922" t="s">
        <v>47</v>
      </c>
      <c r="B4922" t="str">
        <f>"300090"</f>
        <v>300090</v>
      </c>
      <c r="C4922" t="s">
        <v>10190</v>
      </c>
      <c r="G4922">
        <v>8375897980</v>
      </c>
      <c r="H4922">
        <v>9720606960</v>
      </c>
      <c r="I4922">
        <v>14216100298</v>
      </c>
      <c r="J4922">
        <v>12369722585</v>
      </c>
      <c r="K4922">
        <v>11061165807</v>
      </c>
      <c r="L4922">
        <v>6056604988</v>
      </c>
      <c r="M4922">
        <v>4919269711</v>
      </c>
      <c r="N4922">
        <v>3214375654</v>
      </c>
      <c r="O4922">
        <v>2060725178</v>
      </c>
      <c r="P4922">
        <v>72</v>
      </c>
      <c r="Q4922" t="s">
        <v>10191</v>
      </c>
    </row>
    <row r="4923" spans="1:17" x14ac:dyDescent="0.3">
      <c r="A4923" t="s">
        <v>47</v>
      </c>
      <c r="B4923" t="str">
        <f>"300104"</f>
        <v>300104</v>
      </c>
      <c r="C4923" t="s">
        <v>10192</v>
      </c>
      <c r="G4923">
        <v>5826889711</v>
      </c>
      <c r="H4923">
        <v>8186181650</v>
      </c>
      <c r="I4923">
        <v>17451632757</v>
      </c>
      <c r="J4923">
        <v>33582885585</v>
      </c>
      <c r="K4923">
        <v>17847182730.279999</v>
      </c>
      <c r="L4923">
        <v>9996961126.7800007</v>
      </c>
      <c r="M4923">
        <v>5955262878.0699997</v>
      </c>
      <c r="N4923">
        <v>3411896211.27</v>
      </c>
      <c r="O4923">
        <v>2019350379.1300001</v>
      </c>
      <c r="P4923">
        <v>205</v>
      </c>
      <c r="Q4923" t="s">
        <v>10193</v>
      </c>
    </row>
    <row r="4924" spans="1:17" x14ac:dyDescent="0.3">
      <c r="A4924" t="s">
        <v>47</v>
      </c>
      <c r="B4924" t="str">
        <f>"300108"</f>
        <v>300108</v>
      </c>
      <c r="C4924" t="s">
        <v>10194</v>
      </c>
      <c r="D4924" t="s">
        <v>695</v>
      </c>
      <c r="F4924">
        <v>2700314202</v>
      </c>
      <c r="G4924">
        <v>3268534184</v>
      </c>
      <c r="H4924">
        <v>5062902145</v>
      </c>
      <c r="I4924">
        <v>3481419946</v>
      </c>
      <c r="J4924">
        <v>2694468792</v>
      </c>
      <c r="K4924">
        <v>2341320265</v>
      </c>
      <c r="L4924">
        <v>2206102177</v>
      </c>
      <c r="M4924">
        <v>473054405</v>
      </c>
      <c r="N4924">
        <v>426012245</v>
      </c>
      <c r="O4924">
        <v>392402292</v>
      </c>
      <c r="P4924">
        <v>121</v>
      </c>
      <c r="Q4924" t="s">
        <v>10195</v>
      </c>
    </row>
    <row r="4925" spans="1:17" x14ac:dyDescent="0.3">
      <c r="A4925" t="s">
        <v>47</v>
      </c>
      <c r="B4925" t="str">
        <f>"300156"</f>
        <v>300156</v>
      </c>
      <c r="C4925" t="s">
        <v>10196</v>
      </c>
      <c r="H4925">
        <v>5654994943</v>
      </c>
      <c r="I4925">
        <v>6960832736</v>
      </c>
      <c r="J4925">
        <v>5622812067</v>
      </c>
      <c r="K4925">
        <v>4263008257</v>
      </c>
      <c r="L4925">
        <v>2529499463</v>
      </c>
      <c r="M4925">
        <v>2591384211</v>
      </c>
      <c r="N4925">
        <v>2797265576</v>
      </c>
      <c r="O4925">
        <v>2040622685</v>
      </c>
      <c r="P4925">
        <v>300</v>
      </c>
      <c r="Q4925" t="s">
        <v>10197</v>
      </c>
    </row>
    <row r="4926" spans="1:17" x14ac:dyDescent="0.3">
      <c r="A4926" t="s">
        <v>47</v>
      </c>
      <c r="B4926" t="str">
        <f>"300186"</f>
        <v>300186</v>
      </c>
      <c r="C4926" t="s">
        <v>10198</v>
      </c>
      <c r="L4926">
        <v>2423962787.4099998</v>
      </c>
      <c r="M4926">
        <v>2408631194.0300002</v>
      </c>
      <c r="N4926">
        <v>2296158269.0500002</v>
      </c>
      <c r="O4926">
        <v>2180171121.02</v>
      </c>
      <c r="P4926">
        <v>5</v>
      </c>
      <c r="Q4926" t="s">
        <v>10199</v>
      </c>
    </row>
    <row r="4927" spans="1:17" x14ac:dyDescent="0.3">
      <c r="A4927" t="s">
        <v>47</v>
      </c>
      <c r="B4927" t="str">
        <f>"300201"</f>
        <v>300201</v>
      </c>
      <c r="C4927" t="s">
        <v>10200</v>
      </c>
      <c r="D4927" t="s">
        <v>429</v>
      </c>
      <c r="F4927">
        <v>2491170925</v>
      </c>
      <c r="G4927">
        <v>3473903829</v>
      </c>
      <c r="H4927">
        <v>3062623366</v>
      </c>
      <c r="I4927">
        <v>2713022042</v>
      </c>
      <c r="J4927">
        <v>2302116775</v>
      </c>
      <c r="K4927">
        <v>1723812970</v>
      </c>
      <c r="L4927">
        <v>1252794203</v>
      </c>
      <c r="M4927">
        <v>994509560</v>
      </c>
      <c r="N4927">
        <v>862571393</v>
      </c>
      <c r="O4927">
        <v>746488970</v>
      </c>
      <c r="P4927">
        <v>77</v>
      </c>
      <c r="Q4927" t="s">
        <v>10201</v>
      </c>
    </row>
    <row r="4928" spans="1:17" x14ac:dyDescent="0.3">
      <c r="A4928" t="s">
        <v>47</v>
      </c>
      <c r="B4928" t="str">
        <f>"300216"</f>
        <v>300216</v>
      </c>
      <c r="C4928" t="s">
        <v>10202</v>
      </c>
      <c r="G4928">
        <v>2210276226</v>
      </c>
      <c r="H4928">
        <v>2491933008</v>
      </c>
      <c r="I4928">
        <v>4422044754</v>
      </c>
      <c r="J4928">
        <v>4490353382</v>
      </c>
      <c r="K4928">
        <v>3116178750</v>
      </c>
      <c r="L4928">
        <v>1659294935</v>
      </c>
      <c r="M4928">
        <v>1291224394</v>
      </c>
      <c r="N4928">
        <v>1028332578</v>
      </c>
      <c r="O4928">
        <v>824612772</v>
      </c>
      <c r="P4928">
        <v>53</v>
      </c>
      <c r="Q4928" t="s">
        <v>10203</v>
      </c>
    </row>
    <row r="4929" spans="1:17" x14ac:dyDescent="0.3">
      <c r="A4929" t="s">
        <v>47</v>
      </c>
      <c r="B4929" t="str">
        <f>"300312"</f>
        <v>300312</v>
      </c>
      <c r="C4929" t="s">
        <v>10204</v>
      </c>
      <c r="D4929" t="s">
        <v>367</v>
      </c>
      <c r="F4929">
        <v>347516854</v>
      </c>
      <c r="G4929">
        <v>514186154</v>
      </c>
      <c r="H4929">
        <v>702842579</v>
      </c>
      <c r="I4929">
        <v>1119099014</v>
      </c>
      <c r="J4929">
        <v>1495977116</v>
      </c>
      <c r="K4929">
        <v>1613544668</v>
      </c>
      <c r="L4929">
        <v>1534783592</v>
      </c>
      <c r="M4929">
        <v>1253002351</v>
      </c>
      <c r="N4929">
        <v>1238073692</v>
      </c>
      <c r="O4929">
        <v>631754076</v>
      </c>
      <c r="P4929">
        <v>134</v>
      </c>
      <c r="Q4929" t="s">
        <v>10205</v>
      </c>
    </row>
    <row r="4930" spans="1:17" x14ac:dyDescent="0.3">
      <c r="A4930" t="s">
        <v>47</v>
      </c>
      <c r="B4930" t="str">
        <f>"300362"</f>
        <v>300362</v>
      </c>
      <c r="C4930" t="s">
        <v>10206</v>
      </c>
      <c r="F4930">
        <v>4310236560</v>
      </c>
      <c r="G4930">
        <v>4212977601</v>
      </c>
      <c r="H4930">
        <v>5046052861</v>
      </c>
      <c r="I4930">
        <v>5371519623</v>
      </c>
      <c r="J4930">
        <v>4571295172</v>
      </c>
      <c r="K4930">
        <v>3956001109</v>
      </c>
      <c r="L4930">
        <v>1591387912</v>
      </c>
      <c r="M4930">
        <v>1367955482</v>
      </c>
      <c r="N4930">
        <v>1224108001.8299999</v>
      </c>
      <c r="O4930">
        <v>1055363896.5599999</v>
      </c>
      <c r="P4930">
        <v>87</v>
      </c>
      <c r="Q4930" t="s">
        <v>10207</v>
      </c>
    </row>
    <row r="4931" spans="1:17" x14ac:dyDescent="0.3">
      <c r="A4931" t="s">
        <v>47</v>
      </c>
      <c r="B4931" t="str">
        <f>"300372"</f>
        <v>300372</v>
      </c>
      <c r="C4931" t="s">
        <v>10208</v>
      </c>
      <c r="J4931">
        <v>915189700</v>
      </c>
      <c r="K4931">
        <v>1256023773.97</v>
      </c>
      <c r="L4931">
        <v>1122901778.0899999</v>
      </c>
      <c r="M4931">
        <v>981034549.88999999</v>
      </c>
      <c r="P4931">
        <v>5</v>
      </c>
      <c r="Q4931" t="s">
        <v>10209</v>
      </c>
    </row>
    <row r="4932" spans="1:17" x14ac:dyDescent="0.3">
      <c r="A4932" t="s">
        <v>47</v>
      </c>
      <c r="B4932" t="str">
        <f>"300431"</f>
        <v>300431</v>
      </c>
      <c r="C4932" t="s">
        <v>10210</v>
      </c>
      <c r="H4932">
        <v>1216658944</v>
      </c>
      <c r="I4932">
        <v>3079336119</v>
      </c>
      <c r="J4932">
        <v>2285814823</v>
      </c>
      <c r="K4932">
        <v>1391815038</v>
      </c>
      <c r="L4932">
        <v>609886831</v>
      </c>
      <c r="P4932">
        <v>145</v>
      </c>
      <c r="Q4932" t="s">
        <v>10211</v>
      </c>
    </row>
    <row r="4933" spans="1:17" x14ac:dyDescent="0.3">
      <c r="A4933" t="s">
        <v>47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筛选器_大陆_20220502_030947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2022-05-01T19:10:04Z</dcterms:created>
  <dcterms:modified xsi:type="dcterms:W3CDTF">2022-05-01T19:10:04Z</dcterms:modified>
</cp:coreProperties>
</file>