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87C6B810-69D8-4957-A3CB-75F9327B61A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012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<sst xmlns="http://schemas.openxmlformats.org/spreadsheetml/2006/main" count="19434" uniqueCount="10215">
  <si>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</si>
  <si>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</si>
  <si>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</si>
  <si>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</si>
  <si>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销售商品、提供劳务收到的现金 累积 2022-03-31 (元)</t>
  </si>
  <si>
    <t>销售商品、提供劳务收到的现金 累积 2021-03-31 (元)</t>
  </si>
  <si>
    <t>销售商品、提供劳务收到的现金 累积 2020-03-31 (元)</t>
  </si>
  <si>
    <t>销售商品、提供劳务收到的现金 累积 2019-03-31 (元)</t>
  </si>
  <si>
    <t>销售商品、提供劳务收到的现金 累积 2018-03-31 (元)</t>
  </si>
  <si>
    <t>销售商品、提供劳务收到的现金 累积 2017-03-31 (元)</t>
  </si>
  <si>
    <t>销售商品、提供劳务收到的现金 累积 2016-03-31 (元)</t>
  </si>
  <si>
    <t>销售商品、提供劳务收到的现金 累积 2015-03-31 (元)</t>
  </si>
  <si>
    <t>销售商品、提供劳务收到的现金 累积 2014-03-31 (元)</t>
  </si>
  <si>
    <t>销售商品、提供劳务收到的现金 累积 2013-03-31 (元)</t>
  </si>
  <si>
    <t>销售商品、提供劳务收到的现金 累积 2012-03-31 (元)</t>
  </si>
  <si>
    <t>关注度</t>
  </si>
  <si>
    <t>理杏仁Url</t>
  </si>
  <si>
    <t>sh</t>
  </si>
  <si>
    <t>中国石油</t>
  </si>
  <si>
    <t>炼油化工</t>
  </si>
  <si>
    <t>www.lixinger.com/analytics/company/sh/601857/601857/detail</t>
  </si>
  <si>
    <t>中国石化</t>
  </si>
  <si>
    <t>www.lixinger.com/analytics/company/sh/600028/600028/detail</t>
  </si>
  <si>
    <t>中国建筑</t>
  </si>
  <si>
    <t>房屋建设</t>
  </si>
  <si>
    <t>www.lixinger.com/analytics/company/sh/601668/601668/detail</t>
  </si>
  <si>
    <t>中国中铁</t>
  </si>
  <si>
    <t>基建市政工程</t>
  </si>
  <si>
    <t>www.lixinger.com/analytics/company/sh/601390/601390/detail</t>
  </si>
  <si>
    <t>中国铁建</t>
  </si>
  <si>
    <t>www.lixinger.com/analytics/company/sh/601186/601186/detail</t>
  </si>
  <si>
    <t>中国移动</t>
  </si>
  <si>
    <t>电信运营商</t>
  </si>
  <si>
    <t>www.lixinger.com/analytics/company/sh/600941/600941/detail</t>
  </si>
  <si>
    <t>建发股份</t>
  </si>
  <si>
    <t>原材料供应链服务</t>
  </si>
  <si>
    <t>www.lixinger.com/analytics/company/sh/600153/600153/detail</t>
  </si>
  <si>
    <t>上汽集团</t>
  </si>
  <si>
    <t>综合乘用车</t>
  </si>
  <si>
    <t>www.lixinger.com/analytics/company/sh/600104/600104/detail</t>
  </si>
  <si>
    <t>中国交建</t>
  </si>
  <si>
    <t>www.lixinger.com/analytics/company/sh/601800/601800/detail</t>
  </si>
  <si>
    <t>物产中大</t>
  </si>
  <si>
    <t>www.lixinger.com/analytics/company/sh/600704/600704/detail</t>
  </si>
  <si>
    <t>江西铜业</t>
  </si>
  <si>
    <t>铜</t>
  </si>
  <si>
    <t>www.lixinger.com/analytics/company/sh/600362/600362/detail</t>
  </si>
  <si>
    <t>厦门国贸</t>
  </si>
  <si>
    <t>www.lixinger.com/analytics/company/sh/600755/600755/detail</t>
  </si>
  <si>
    <t>厦门象屿</t>
  </si>
  <si>
    <t>www.lixinger.com/analytics/company/sh/600057/600057/detail</t>
  </si>
  <si>
    <t>中国中冶</t>
  </si>
  <si>
    <t>其他专业工程</t>
  </si>
  <si>
    <t>www.lixinger.com/analytics/company/sh/601618/601618/detail</t>
  </si>
  <si>
    <t>工业富联</t>
  </si>
  <si>
    <t>消费电子零部件及组装</t>
  </si>
  <si>
    <t>www.lixinger.com/analytics/company/sh/601138/601138/detail</t>
  </si>
  <si>
    <t>中国电建</t>
  </si>
  <si>
    <t>www.lixinger.com/analytics/company/sh/601669/601669/detail</t>
  </si>
  <si>
    <t>中国电信</t>
  </si>
  <si>
    <t>www.lixinger.com/analytics/company/sh/601728/601728/detail</t>
  </si>
  <si>
    <t>中远海控</t>
  </si>
  <si>
    <t>航运</t>
  </si>
  <si>
    <t>www.lixinger.com/analytics/company/sh/601919/601919/detail</t>
  </si>
  <si>
    <t>绿地控股</t>
  </si>
  <si>
    <t>住宅开发</t>
  </si>
  <si>
    <t>www.lixinger.com/analytics/company/sh/600606/600606/detail</t>
  </si>
  <si>
    <t>宝钢股份</t>
  </si>
  <si>
    <t>板材</t>
  </si>
  <si>
    <t>www.lixinger.com/analytics/company/sh/600019/600019/detail</t>
  </si>
  <si>
    <t>中国神华</t>
  </si>
  <si>
    <t>动力煤</t>
  </si>
  <si>
    <t>www.lixinger.com/analytics/company/sh/601088/601088/detail</t>
  </si>
  <si>
    <t>中国海油</t>
  </si>
  <si>
    <t>www.lixinger.com/analytics/company/sh/600938/600938/detail</t>
  </si>
  <si>
    <t>sz</t>
  </si>
  <si>
    <t>荣盛石化</t>
  </si>
  <si>
    <t>www.lixinger.com/analytics/company/sz/002493/2493/detail</t>
  </si>
  <si>
    <t>上海建工</t>
  </si>
  <si>
    <t>www.lixinger.com/analytics/company/sh/600170/600170/detail</t>
  </si>
  <si>
    <t>万科Ａ</t>
  </si>
  <si>
    <t>www.lixinger.com/analytics/company/sz/000002/2/detail</t>
  </si>
  <si>
    <t>美的集团</t>
  </si>
  <si>
    <t>空调</t>
  </si>
  <si>
    <t>www.lixinger.com/analytics/company/sz/000333/333/detail</t>
  </si>
  <si>
    <t>中国联通</t>
  </si>
  <si>
    <t>www.lixinger.com/analytics/company/sh/600050/600050/detail</t>
  </si>
  <si>
    <t>华能国际</t>
  </si>
  <si>
    <t>火力发电</t>
  </si>
  <si>
    <t>www.lixinger.com/analytics/company/sh/600011/600011/detail</t>
  </si>
  <si>
    <t>紫金矿业</t>
  </si>
  <si>
    <t>www.lixinger.com/analytics/company/sh/601899/601899/detail</t>
  </si>
  <si>
    <t>顺丰控股</t>
  </si>
  <si>
    <t>快递</t>
  </si>
  <si>
    <t>www.lixinger.com/analytics/company/sz/002352/2352/detail</t>
  </si>
  <si>
    <t>中国铝业</t>
  </si>
  <si>
    <t>铝</t>
  </si>
  <si>
    <t>www.lixinger.com/analytics/company/sh/601600/601600/detail</t>
  </si>
  <si>
    <t>京东方Ｂ</t>
  </si>
  <si>
    <t>www.lixinger.com/analytics/company/sz/200725/200725/detail</t>
  </si>
  <si>
    <t>中煤能源</t>
  </si>
  <si>
    <t>www.lixinger.com/analytics/company/sh/601898/601898/detail</t>
  </si>
  <si>
    <t>比亚迪</t>
  </si>
  <si>
    <t>电动乘用车</t>
  </si>
  <si>
    <t>www.lixinger.com/analytics/company/sz/002594/2594/detail</t>
  </si>
  <si>
    <t>中国能建</t>
  </si>
  <si>
    <t>www.lixinger.com/analytics/company/sh/601868/601868/detail</t>
  </si>
  <si>
    <t>恒力石化</t>
  </si>
  <si>
    <t>www.lixinger.com/analytics/company/sh/600346/600346/detail</t>
  </si>
  <si>
    <t>海尔智家</t>
  </si>
  <si>
    <t>冰洗</t>
  </si>
  <si>
    <t>www.lixinger.com/analytics/company/sh/600690/600690/detail</t>
  </si>
  <si>
    <t>金龙鱼</t>
  </si>
  <si>
    <t>粮油加工</t>
  </si>
  <si>
    <t>www.lixinger.com/analytics/company/sz/300999/300999/detail</t>
  </si>
  <si>
    <t>上海钢联</t>
  </si>
  <si>
    <t>垂直应用软件</t>
  </si>
  <si>
    <t>www.lixinger.com/analytics/company/sz/300226/300226/detail</t>
  </si>
  <si>
    <t>立讯精密</t>
  </si>
  <si>
    <t>www.lixinger.com/analytics/company/sz/002475/2475/detail</t>
  </si>
  <si>
    <t>保利发展</t>
  </si>
  <si>
    <t>www.lixinger.com/analytics/company/sh/600048/600048/detail</t>
  </si>
  <si>
    <t>上海医药</t>
  </si>
  <si>
    <t>医药流通</t>
  </si>
  <si>
    <t>www.lixinger.com/analytics/company/sh/601607/601607/detail</t>
  </si>
  <si>
    <t>国电电力</t>
  </si>
  <si>
    <t>www.lixinger.com/analytics/company/sh/600795/600795/detail</t>
  </si>
  <si>
    <t>京东方Ａ</t>
  </si>
  <si>
    <t>面板</t>
  </si>
  <si>
    <t>www.lixinger.com/analytics/company/sz/000725/725/detail</t>
  </si>
  <si>
    <t>宁德时代</t>
  </si>
  <si>
    <t>锂电池</t>
  </si>
  <si>
    <t>www.lixinger.com/analytics/company/sz/300750/300750/detail</t>
  </si>
  <si>
    <t>万华化学</t>
  </si>
  <si>
    <t>聚氨酯</t>
  </si>
  <si>
    <t>www.lixinger.com/analytics/company/sh/600309/600309/detail</t>
  </si>
  <si>
    <t>陕西煤业</t>
  </si>
  <si>
    <t>www.lixinger.com/analytics/company/sh/601225/601225/detail</t>
  </si>
  <si>
    <t>洛阳钼业</t>
  </si>
  <si>
    <t>钼</t>
  </si>
  <si>
    <t>www.lixinger.com/analytics/company/sh/603993/603993/detail</t>
  </si>
  <si>
    <t>苏美达</t>
  </si>
  <si>
    <t>贸易</t>
  </si>
  <si>
    <t>www.lixinger.com/analytics/company/sh/600710/600710/detail</t>
  </si>
  <si>
    <t>兖矿能源</t>
  </si>
  <si>
    <t>www.lixinger.com/analytics/company/sh/600188/600188/detail</t>
  </si>
  <si>
    <t>新奥股份</t>
  </si>
  <si>
    <t>燃气</t>
  </si>
  <si>
    <t>www.lixinger.com/analytics/company/sh/600803/600803/detail</t>
  </si>
  <si>
    <t>广汇汽车</t>
  </si>
  <si>
    <t>汽车经销商</t>
  </si>
  <si>
    <t>www.lixinger.com/analytics/company/sh/600297/600297/detail</t>
  </si>
  <si>
    <t>中集集团</t>
  </si>
  <si>
    <t>金属制品</t>
  </si>
  <si>
    <t>www.lixinger.com/analytics/company/sz/000039/39/detail</t>
  </si>
  <si>
    <t>中国中车</t>
  </si>
  <si>
    <t>轨交设备</t>
  </si>
  <si>
    <t>www.lixinger.com/analytics/company/sh/601766/601766/detail</t>
  </si>
  <si>
    <t>浙商中拓</t>
  </si>
  <si>
    <t>www.lixinger.com/analytics/company/sz/000906/906/detail</t>
  </si>
  <si>
    <t>长安Ｂ</t>
  </si>
  <si>
    <t>www.lixinger.com/analytics/company/sz/200625/200625/detail</t>
  </si>
  <si>
    <t>长城汽车</t>
  </si>
  <si>
    <t>www.lixinger.com/analytics/company/sh/601633/601633/detail</t>
  </si>
  <si>
    <t>恒逸石化</t>
  </si>
  <si>
    <t>www.lixinger.com/analytics/company/sz/000703/703/detail</t>
  </si>
  <si>
    <t>华菱钢铁</t>
  </si>
  <si>
    <t>www.lixinger.com/analytics/company/sz/000932/932/detail</t>
  </si>
  <si>
    <t>中兴通讯</t>
  </si>
  <si>
    <t>通信网络设备及器件</t>
  </si>
  <si>
    <t>www.lixinger.com/analytics/company/sz/000063/63/detail</t>
  </si>
  <si>
    <t>潍柴动力</t>
  </si>
  <si>
    <t>底盘与发动机系统</t>
  </si>
  <si>
    <t>www.lixinger.com/analytics/company/sz/000338/338/detail</t>
  </si>
  <si>
    <t>格力电器</t>
  </si>
  <si>
    <t>www.lixinger.com/analytics/company/sz/000651/651/detail</t>
  </si>
  <si>
    <t>陕西建工</t>
  </si>
  <si>
    <t>www.lixinger.com/analytics/company/sh/600248/600248/detail</t>
  </si>
  <si>
    <t>招商蛇口</t>
  </si>
  <si>
    <t>商业地产</t>
  </si>
  <si>
    <t>www.lixinger.com/analytics/company/sz/001979/1979/detail</t>
  </si>
  <si>
    <t>鞍钢股份</t>
  </si>
  <si>
    <t>www.lixinger.com/analytics/company/sz/000898/898/detail</t>
  </si>
  <si>
    <t>中国化学</t>
  </si>
  <si>
    <t>化学工程</t>
  </si>
  <si>
    <t>www.lixinger.com/analytics/company/sh/601117/601117/detail</t>
  </si>
  <si>
    <t>TCL科技</t>
  </si>
  <si>
    <t>www.lixinger.com/analytics/company/sz/000100/100/detail</t>
  </si>
  <si>
    <t>大唐发电</t>
  </si>
  <si>
    <t>www.lixinger.com/analytics/company/sh/601991/601991/detail</t>
  </si>
  <si>
    <t>海螺水泥</t>
  </si>
  <si>
    <t>水泥制造</t>
  </si>
  <si>
    <t>www.lixinger.com/analytics/company/sh/600585/600585/detail</t>
  </si>
  <si>
    <t>华域汽车</t>
  </si>
  <si>
    <t>车身附件及饰件</t>
  </si>
  <si>
    <t>www.lixinger.com/analytics/company/sh/600741/600741/detail</t>
  </si>
  <si>
    <t>云南铜业</t>
  </si>
  <si>
    <t>www.lixinger.com/analytics/company/sz/000878/878/detail</t>
  </si>
  <si>
    <t>铜陵有色</t>
  </si>
  <si>
    <t>www.lixinger.com/analytics/company/sz/000630/630/detail</t>
  </si>
  <si>
    <t>贵州茅台</t>
  </si>
  <si>
    <t>白酒</t>
  </si>
  <si>
    <t>www.lixinger.com/analytics/company/sh/600519/600519/detail</t>
  </si>
  <si>
    <t>河钢股份</t>
  </si>
  <si>
    <t>www.lixinger.com/analytics/company/sz/000709/709/detail</t>
  </si>
  <si>
    <t>华电国际</t>
  </si>
  <si>
    <t>www.lixinger.com/analytics/company/sh/600027/600027/detail</t>
  </si>
  <si>
    <t>永辉超市</t>
  </si>
  <si>
    <t>超市</t>
  </si>
  <si>
    <t>www.lixinger.com/analytics/company/sh/601933/601933/detail</t>
  </si>
  <si>
    <t>广汽集团</t>
  </si>
  <si>
    <t>www.lixinger.com/analytics/company/sh/601238/601238/detail</t>
  </si>
  <si>
    <t>长安汽车</t>
  </si>
  <si>
    <t>www.lixinger.com/analytics/company/sz/000625/625/detail</t>
  </si>
  <si>
    <t>伊利股份</t>
  </si>
  <si>
    <t>乳品</t>
  </si>
  <si>
    <t>www.lixinger.com/analytics/company/sh/600887/600887/detail</t>
  </si>
  <si>
    <t>新希望</t>
  </si>
  <si>
    <t>生猪养殖</t>
  </si>
  <si>
    <t>www.lixinger.com/analytics/company/sz/000876/876/detail</t>
  </si>
  <si>
    <t>厦门信达</t>
  </si>
  <si>
    <t>其他电子</t>
  </si>
  <si>
    <t>www.lixinger.com/analytics/company/sz/000701/701/detail</t>
  </si>
  <si>
    <t>神州数码</t>
  </si>
  <si>
    <t>IT服务</t>
  </si>
  <si>
    <t>www.lixinger.com/analytics/company/sz/000034/34/detail</t>
  </si>
  <si>
    <t>九州通</t>
  </si>
  <si>
    <t>www.lixinger.com/analytics/company/sh/600998/600998/detail</t>
  </si>
  <si>
    <t>中国外运</t>
  </si>
  <si>
    <t>跨境物流</t>
  </si>
  <si>
    <t>www.lixinger.com/analytics/company/sh/601598/601598/detail</t>
  </si>
  <si>
    <t>天山股份</t>
  </si>
  <si>
    <t>www.lixinger.com/analytics/company/sz/000877/877/detail</t>
  </si>
  <si>
    <t>新城控股</t>
  </si>
  <si>
    <t>www.lixinger.com/analytics/company/sh/601155/601155/detail</t>
  </si>
  <si>
    <t>上海石化</t>
  </si>
  <si>
    <t>www.lixinger.com/analytics/company/sh/600688/600688/detail</t>
  </si>
  <si>
    <t>太钢不锈</t>
  </si>
  <si>
    <t>特钢</t>
  </si>
  <si>
    <t>www.lixinger.com/analytics/company/sz/000825/825/detail</t>
  </si>
  <si>
    <t>爱施德</t>
  </si>
  <si>
    <t>专业连锁</t>
  </si>
  <si>
    <t>www.lixinger.com/analytics/company/sz/002416/2416/detail</t>
  </si>
  <si>
    <t>浙江建投</t>
  </si>
  <si>
    <t>www.lixinger.com/analytics/company/sz/002761/2761/detail</t>
  </si>
  <si>
    <t>南方航空</t>
  </si>
  <si>
    <t>航空运输</t>
  </si>
  <si>
    <t>www.lixinger.com/analytics/company/sh/600029/600029/detail</t>
  </si>
  <si>
    <t>白银有色</t>
  </si>
  <si>
    <t>白银</t>
  </si>
  <si>
    <t>www.lixinger.com/analytics/company/sh/601212/601212/detail</t>
  </si>
  <si>
    <t>通威股份</t>
  </si>
  <si>
    <t>硅料硅片</t>
  </si>
  <si>
    <t>www.lixinger.com/analytics/company/sh/600438/600438/detail</t>
  </si>
  <si>
    <t>上海电气</t>
  </si>
  <si>
    <t>综合电力设备商</t>
  </si>
  <si>
    <t>www.lixinger.com/analytics/company/sh/601727/601727/detail</t>
  </si>
  <si>
    <t>歌尔股份</t>
  </si>
  <si>
    <t>www.lixinger.com/analytics/company/sz/002241/2241/detail</t>
  </si>
  <si>
    <t>金田铜业</t>
  </si>
  <si>
    <t>www.lixinger.com/analytics/company/sh/601609/601609/detail</t>
  </si>
  <si>
    <t>三一重工</t>
  </si>
  <si>
    <t>工程机械整机</t>
  </si>
  <si>
    <t>www.lixinger.com/analytics/company/sh/600031/600031/detail</t>
  </si>
  <si>
    <t>浙能电力</t>
  </si>
  <si>
    <t>www.lixinger.com/analytics/company/sh/600023/600023/detail</t>
  </si>
  <si>
    <t>海亮股份</t>
  </si>
  <si>
    <t>www.lixinger.com/analytics/company/sz/002203/2203/detail</t>
  </si>
  <si>
    <t>海大集团</t>
  </si>
  <si>
    <t>水产饲料</t>
  </si>
  <si>
    <t>www.lixinger.com/analytics/company/sz/002311/2311/detail</t>
  </si>
  <si>
    <t>一致Ｂ</t>
  </si>
  <si>
    <t>www.lixinger.com/analytics/company/sz/200028/200028/detail</t>
  </si>
  <si>
    <t>天音控股</t>
  </si>
  <si>
    <t>www.lixinger.com/analytics/company/sz/000829/829/detail</t>
  </si>
  <si>
    <t>金隅集团</t>
  </si>
  <si>
    <t>www.lixinger.com/analytics/company/sh/601992/601992/detail</t>
  </si>
  <si>
    <t>徐工机械</t>
  </si>
  <si>
    <t>www.lixinger.com/analytics/company/sz/000425/425/detail</t>
  </si>
  <si>
    <t>山东钢铁</t>
  </si>
  <si>
    <t>www.lixinger.com/analytics/company/sh/600022/600022/detail</t>
  </si>
  <si>
    <t>新钢股份</t>
  </si>
  <si>
    <t>www.lixinger.com/analytics/company/sh/600782/600782/detail</t>
  </si>
  <si>
    <t>中国广核</t>
  </si>
  <si>
    <t>核力发电</t>
  </si>
  <si>
    <t>www.lixinger.com/analytics/company/sz/003816/3816/detail</t>
  </si>
  <si>
    <t>四川长虹</t>
  </si>
  <si>
    <t>彩电</t>
  </si>
  <si>
    <t>www.lixinger.com/analytics/company/sh/600839/600839/detail</t>
  </si>
  <si>
    <t>四川路桥</t>
  </si>
  <si>
    <t>www.lixinger.com/analytics/company/sh/600039/600039/detail</t>
  </si>
  <si>
    <t>中化国际</t>
  </si>
  <si>
    <t>其他化学制品</t>
  </si>
  <si>
    <t>www.lixinger.com/analytics/company/sh/600500/600500/detail</t>
  </si>
  <si>
    <t>牧原股份</t>
  </si>
  <si>
    <t>www.lixinger.com/analytics/company/sz/002714/2714/detail</t>
  </si>
  <si>
    <t>紫光股份</t>
  </si>
  <si>
    <t>www.lixinger.com/analytics/company/sz/000938/938/detail</t>
  </si>
  <si>
    <t>苏宁易购</t>
  </si>
  <si>
    <t>综合电商</t>
  </si>
  <si>
    <t>www.lixinger.com/analytics/company/sz/002024/2024/detail</t>
  </si>
  <si>
    <t>中国核建</t>
  </si>
  <si>
    <t>www.lixinger.com/analytics/company/sh/601611/601611/detail</t>
  </si>
  <si>
    <t>南钢股份</t>
  </si>
  <si>
    <t>www.lixinger.com/analytics/company/sh/600282/600282/detail</t>
  </si>
  <si>
    <t>淮北矿业</t>
  </si>
  <si>
    <t>焦煤</t>
  </si>
  <si>
    <t>www.lixinger.com/analytics/company/sh/600985/600985/detail</t>
  </si>
  <si>
    <t>马钢股份</t>
  </si>
  <si>
    <t>www.lixinger.com/analytics/company/sh/600808/600808/detail</t>
  </si>
  <si>
    <t>中泰化学</t>
  </si>
  <si>
    <t>氯碱</t>
  </si>
  <si>
    <t>www.lixinger.com/analytics/company/sz/002092/2092/detail</t>
  </si>
  <si>
    <t>老凤祥</t>
  </si>
  <si>
    <t>钟表珠宝</t>
  </si>
  <si>
    <t>www.lixinger.com/analytics/company/sh/600612/600612/detail</t>
  </si>
  <si>
    <t>安徽建工</t>
  </si>
  <si>
    <t>www.lixinger.com/analytics/company/sh/600502/600502/detail</t>
  </si>
  <si>
    <t>远大控股</t>
  </si>
  <si>
    <t>www.lixinger.com/analytics/company/sz/000626/626/detail</t>
  </si>
  <si>
    <t>白云山</t>
  </si>
  <si>
    <t>中药</t>
  </si>
  <si>
    <t>www.lixinger.com/analytics/company/sh/600332/600332/detail</t>
  </si>
  <si>
    <t>友发集团</t>
  </si>
  <si>
    <t>钢铁管材</t>
  </si>
  <si>
    <t>www.lixinger.com/analytics/company/sh/601686/601686/detail</t>
  </si>
  <si>
    <t>金地集团</t>
  </si>
  <si>
    <t>www.lixinger.com/analytics/company/sh/600383/600383/detail</t>
  </si>
  <si>
    <t>冠捷科技</t>
  </si>
  <si>
    <t>www.lixinger.com/analytics/company/sz/000727/727/detail</t>
  </si>
  <si>
    <t>中储股份</t>
  </si>
  <si>
    <t>仓储物流</t>
  </si>
  <si>
    <t>www.lixinger.com/analytics/company/sh/600787/600787/detail</t>
  </si>
  <si>
    <t>九安医疗</t>
  </si>
  <si>
    <t>医疗设备</t>
  </si>
  <si>
    <t>www.lixinger.com/analytics/company/sz/002432/2432/detail</t>
  </si>
  <si>
    <t>海康威视</t>
  </si>
  <si>
    <t>安防设备</t>
  </si>
  <si>
    <t>www.lixinger.com/analytics/company/sz/002415/2415/detail</t>
  </si>
  <si>
    <t>中国核电</t>
  </si>
  <si>
    <t>www.lixinger.com/analytics/company/sh/601985/601985/detail</t>
  </si>
  <si>
    <t>中国中免</t>
  </si>
  <si>
    <t>旅游零售</t>
  </si>
  <si>
    <t>www.lixinger.com/analytics/company/sh/601888/601888/detail</t>
  </si>
  <si>
    <t>环旭电子</t>
  </si>
  <si>
    <t>www.lixinger.com/analytics/company/sh/601231/601231/detail</t>
  </si>
  <si>
    <t>特变电工</t>
  </si>
  <si>
    <t>输变电设备</t>
  </si>
  <si>
    <t>www.lixinger.com/analytics/company/sh/600089/600089/detail</t>
  </si>
  <si>
    <t>国药一致</t>
  </si>
  <si>
    <t>www.lixinger.com/analytics/company/sz/000028/28/detail</t>
  </si>
  <si>
    <t>本钢板Ｂ</t>
  </si>
  <si>
    <t>www.lixinger.com/analytics/company/sz/200761/200761/detail</t>
  </si>
  <si>
    <t>云天化</t>
  </si>
  <si>
    <t>磷肥及磷化工</t>
  </si>
  <si>
    <t>www.lixinger.com/analytics/company/sh/600096/600096/detail</t>
  </si>
  <si>
    <t>五矿发展</t>
  </si>
  <si>
    <t>www.lixinger.com/analytics/company/sh/600058/600058/detail</t>
  </si>
  <si>
    <t>百联股份</t>
  </si>
  <si>
    <t>多业态零售</t>
  </si>
  <si>
    <t>www.lixinger.com/analytics/company/sh/600827/600827/detail</t>
  </si>
  <si>
    <t>柳钢股份</t>
  </si>
  <si>
    <t>www.lixinger.com/analytics/company/sh/601003/601003/detail</t>
  </si>
  <si>
    <t>锡业股份</t>
  </si>
  <si>
    <t>其他小金属</t>
  </si>
  <si>
    <t>www.lixinger.com/analytics/company/sz/000960/960/detail</t>
  </si>
  <si>
    <t>怡亚通</t>
  </si>
  <si>
    <t>中间产品及消费品供应链服务</t>
  </si>
  <si>
    <t>www.lixinger.com/analytics/company/sz/002183/2183/detail</t>
  </si>
  <si>
    <t>中航产融</t>
  </si>
  <si>
    <t>金融控股</t>
  </si>
  <si>
    <t>www.lixinger.com/analytics/company/sh/600705/600705/detail</t>
  </si>
  <si>
    <t>中国黄金</t>
  </si>
  <si>
    <t>www.lixinger.com/analytics/company/sh/600916/600916/detail</t>
  </si>
  <si>
    <t>中金岭南</t>
  </si>
  <si>
    <t>铅锌</t>
  </si>
  <si>
    <t>www.lixinger.com/analytics/company/sz/000060/60/detail</t>
  </si>
  <si>
    <t>豫园股份</t>
  </si>
  <si>
    <t>商业物业经营</t>
  </si>
  <si>
    <t>www.lixinger.com/analytics/company/sh/600655/600655/detail</t>
  </si>
  <si>
    <t>重庆建工</t>
  </si>
  <si>
    <t>www.lixinger.com/analytics/company/sh/600939/600939/detail</t>
  </si>
  <si>
    <t>上港集团</t>
  </si>
  <si>
    <t>港口</t>
  </si>
  <si>
    <t>www.lixinger.com/analytics/company/sh/600018/600018/detail</t>
  </si>
  <si>
    <t>金科股份</t>
  </si>
  <si>
    <t>www.lixinger.com/analytics/company/sz/000656/656/detail</t>
  </si>
  <si>
    <t>重药控股</t>
  </si>
  <si>
    <t>www.lixinger.com/analytics/company/sz/000950/950/detail</t>
  </si>
  <si>
    <t>中金黄金</t>
  </si>
  <si>
    <t>黄金</t>
  </si>
  <si>
    <t>www.lixinger.com/analytics/company/sh/600489/600489/detail</t>
  </si>
  <si>
    <t>海信家电</t>
  </si>
  <si>
    <t>www.lixinger.com/analytics/company/sz/000921/921/detail</t>
  </si>
  <si>
    <t>华发股份</t>
  </si>
  <si>
    <t>www.lixinger.com/analytics/company/sh/600325/600325/detail</t>
  </si>
  <si>
    <t>中国国航</t>
  </si>
  <si>
    <t>www.lixinger.com/analytics/company/sh/601111/601111/detail</t>
  </si>
  <si>
    <t>双汇发展</t>
  </si>
  <si>
    <t>肉制品</t>
  </si>
  <si>
    <t>www.lixinger.com/analytics/company/sz/000895/895/detail</t>
  </si>
  <si>
    <t>中油工程</t>
  </si>
  <si>
    <t>油气及炼化工程</t>
  </si>
  <si>
    <t>www.lixinger.com/analytics/company/sh/600339/600339/detail</t>
  </si>
  <si>
    <t>闻泰科技</t>
  </si>
  <si>
    <t>www.lixinger.com/analytics/company/sh/600745/600745/detail</t>
  </si>
  <si>
    <t>中信特钢</t>
  </si>
  <si>
    <t>www.lixinger.com/analytics/company/sz/000708/708/detail</t>
  </si>
  <si>
    <t>隆基股份</t>
  </si>
  <si>
    <t>www.lixinger.com/analytics/company/sh/601012/601012/detail</t>
  </si>
  <si>
    <t>中南建设</t>
  </si>
  <si>
    <t>www.lixinger.com/analytics/company/sz/000961/961/detail</t>
  </si>
  <si>
    <t>山东黄金</t>
  </si>
  <si>
    <t>www.lixinger.com/analytics/company/sh/600547/600547/detail</t>
  </si>
  <si>
    <t>温氏股份</t>
  </si>
  <si>
    <t>www.lixinger.com/analytics/company/sz/300498/300498/detail</t>
  </si>
  <si>
    <t>天合光能</t>
  </si>
  <si>
    <t>光伏电池组件</t>
  </si>
  <si>
    <t>www.lixinger.com/analytics/company/sh/688599/688599/detail</t>
  </si>
  <si>
    <t>东方盛虹</t>
  </si>
  <si>
    <t>www.lixinger.com/analytics/company/sz/000301/301/detail</t>
  </si>
  <si>
    <t>桐昆股份</t>
  </si>
  <si>
    <t>其他石化</t>
  </si>
  <si>
    <t>www.lixinger.com/analytics/company/sh/601233/601233/detail</t>
  </si>
  <si>
    <t>国联股份</t>
  </si>
  <si>
    <t>www.lixinger.com/analytics/company/sh/603613/603613/detail</t>
  </si>
  <si>
    <t>蓝思科技</t>
  </si>
  <si>
    <t>www.lixinger.com/analytics/company/sz/300433/300433/detail</t>
  </si>
  <si>
    <t>五粮液</t>
  </si>
  <si>
    <t>www.lixinger.com/analytics/company/sz/000858/858/detail</t>
  </si>
  <si>
    <t>潞安环能</t>
  </si>
  <si>
    <t>www.lixinger.com/analytics/company/sh/601699/601699/detail</t>
  </si>
  <si>
    <t>均胜电子</t>
  </si>
  <si>
    <t>汽车电子电气系统</t>
  </si>
  <si>
    <t>www.lixinger.com/analytics/company/sh/600699/600699/detail</t>
  </si>
  <si>
    <t>华友钴业</t>
  </si>
  <si>
    <t>钴</t>
  </si>
  <si>
    <t>www.lixinger.com/analytics/company/sh/603799/603799/detail</t>
  </si>
  <si>
    <t>江苏国泰</t>
  </si>
  <si>
    <t>www.lixinger.com/analytics/company/sz/002091/2091/detail</t>
  </si>
  <si>
    <t>本钢板材</t>
  </si>
  <si>
    <t>www.lixinger.com/analytics/company/sz/000761/761/detail</t>
  </si>
  <si>
    <t>三钢闽光</t>
  </si>
  <si>
    <t>长材</t>
  </si>
  <si>
    <t>www.lixinger.com/analytics/company/sz/002110/2110/detail</t>
  </si>
  <si>
    <t>物产环能</t>
  </si>
  <si>
    <t>热力服务</t>
  </si>
  <si>
    <t>www.lixinger.com/analytics/company/sh/603071/603071/detail</t>
  </si>
  <si>
    <t>华锦股份</t>
  </si>
  <si>
    <t>www.lixinger.com/analytics/company/sz/000059/59/detail</t>
  </si>
  <si>
    <t>山煤国际</t>
  </si>
  <si>
    <t>www.lixinger.com/analytics/company/sh/600546/600546/detail</t>
  </si>
  <si>
    <t>圆通速递</t>
  </si>
  <si>
    <t>www.lixinger.com/analytics/company/sh/600233/600233/detail</t>
  </si>
  <si>
    <t>中国铁物</t>
  </si>
  <si>
    <t>www.lixinger.com/analytics/company/sz/000927/927/detail</t>
  </si>
  <si>
    <t>湖北能源</t>
  </si>
  <si>
    <t>电能综合服务</t>
  </si>
  <si>
    <t>www.lixinger.com/analytics/company/sz/000883/883/detail</t>
  </si>
  <si>
    <t>粤电力Ａ</t>
  </si>
  <si>
    <t>www.lixinger.com/analytics/company/sz/000539/539/detail</t>
  </si>
  <si>
    <t>海油发展</t>
  </si>
  <si>
    <t>油田服务</t>
  </si>
  <si>
    <t>www.lixinger.com/analytics/company/sh/600968/600968/detail</t>
  </si>
  <si>
    <t>中国船舶</t>
  </si>
  <si>
    <t>航海装备</t>
  </si>
  <si>
    <t>www.lixinger.com/analytics/company/sh/600150/600150/detail</t>
  </si>
  <si>
    <t>韵达股份</t>
  </si>
  <si>
    <t>www.lixinger.com/analytics/company/sz/002120/2120/detail</t>
  </si>
  <si>
    <t>恒邦股份</t>
  </si>
  <si>
    <t>www.lixinger.com/analytics/company/sz/002237/2237/detail</t>
  </si>
  <si>
    <t>中国东航</t>
  </si>
  <si>
    <t>www.lixinger.com/analytics/company/sh/600115/600115/detail</t>
  </si>
  <si>
    <t>石化油服</t>
  </si>
  <si>
    <t>www.lixinger.com/analytics/company/sh/600871/600871/detail</t>
  </si>
  <si>
    <t>东方创业</t>
  </si>
  <si>
    <t>www.lixinger.com/analytics/company/sh/600278/600278/detail</t>
  </si>
  <si>
    <t>包钢股份</t>
  </si>
  <si>
    <t>www.lixinger.com/analytics/company/sh/600010/600010/detail</t>
  </si>
  <si>
    <t>杭钢股份</t>
  </si>
  <si>
    <t>www.lixinger.com/analytics/company/sh/600126/600126/detail</t>
  </si>
  <si>
    <t>隧道股份</t>
  </si>
  <si>
    <t>www.lixinger.com/analytics/company/sh/600820/600820/detail</t>
  </si>
  <si>
    <t>欣旺达</t>
  </si>
  <si>
    <t>www.lixinger.com/analytics/company/sz/300207/300207/detail</t>
  </si>
  <si>
    <t>大秦铁路</t>
  </si>
  <si>
    <t>铁路运输</t>
  </si>
  <si>
    <t>www.lixinger.com/analytics/company/sh/601006/601006/detail</t>
  </si>
  <si>
    <t>晶科能源</t>
  </si>
  <si>
    <t>半导体材料</t>
  </si>
  <si>
    <t>www.lixinger.com/analytics/company/sh/688223/688223/detail</t>
  </si>
  <si>
    <t>中联重科</t>
  </si>
  <si>
    <t>www.lixinger.com/analytics/company/sz/000157/157/detail</t>
  </si>
  <si>
    <t>一汽解放</t>
  </si>
  <si>
    <t>商用载货车</t>
  </si>
  <si>
    <t>www.lixinger.com/analytics/company/sz/000800/800/detail</t>
  </si>
  <si>
    <t>山西焦煤</t>
  </si>
  <si>
    <t>www.lixinger.com/analytics/company/sz/000983/983/detail</t>
  </si>
  <si>
    <t>国药股份</t>
  </si>
  <si>
    <t>www.lixinger.com/analytics/company/sh/600511/600511/detail</t>
  </si>
  <si>
    <t>首钢股份</t>
  </si>
  <si>
    <t>www.lixinger.com/analytics/company/sz/000959/959/detail</t>
  </si>
  <si>
    <t>新兴铸管</t>
  </si>
  <si>
    <t>www.lixinger.com/analytics/company/sz/000778/778/detail</t>
  </si>
  <si>
    <t>传音控股</t>
  </si>
  <si>
    <t>品牌消费电子</t>
  </si>
  <si>
    <t>www.lixinger.com/analytics/company/sh/688036/688036/detail</t>
  </si>
  <si>
    <t>浪潮信息</t>
  </si>
  <si>
    <t>其他计算机设备</t>
  </si>
  <si>
    <t>www.lixinger.com/analytics/company/sz/000977/977/detail</t>
  </si>
  <si>
    <t>山东路桥</t>
  </si>
  <si>
    <t>www.lixinger.com/analytics/company/sz/000498/498/detail</t>
  </si>
  <si>
    <t>宁波港</t>
  </si>
  <si>
    <t>www.lixinger.com/analytics/company/sh/601018/601018/detail</t>
  </si>
  <si>
    <t>华侨城Ａ</t>
  </si>
  <si>
    <t>www.lixinger.com/analytics/company/sz/000069/69/detail</t>
  </si>
  <si>
    <t>海信视像</t>
  </si>
  <si>
    <t>www.lixinger.com/analytics/company/sh/600060/600060/detail</t>
  </si>
  <si>
    <t>新凤鸣</t>
  </si>
  <si>
    <t>涤纶</t>
  </si>
  <si>
    <t>www.lixinger.com/analytics/company/sh/603225/603225/detail</t>
  </si>
  <si>
    <t>浙农股份</t>
  </si>
  <si>
    <t>www.lixinger.com/analytics/company/sz/002758/2758/detail</t>
  </si>
  <si>
    <t>南京医药</t>
  </si>
  <si>
    <t>www.lixinger.com/analytics/company/sh/600713/600713/detail</t>
  </si>
  <si>
    <t>瑞茂通</t>
  </si>
  <si>
    <t>www.lixinger.com/analytics/company/sh/600180/600180/detail</t>
  </si>
  <si>
    <t>长江电力</t>
  </si>
  <si>
    <t>水力发电</t>
  </si>
  <si>
    <t>www.lixinger.com/analytics/company/sh/600900/600900/detail</t>
  </si>
  <si>
    <t>北方稀土</t>
  </si>
  <si>
    <t>稀土</t>
  </si>
  <si>
    <t>www.lixinger.com/analytics/company/sh/600111/600111/detail</t>
  </si>
  <si>
    <t>深康佳Ｂ</t>
  </si>
  <si>
    <t>www.lixinger.com/analytics/company/sz/200016/200016/detail</t>
  </si>
  <si>
    <t>国投电力</t>
  </si>
  <si>
    <t>www.lixinger.com/analytics/company/sh/600886/600886/detail</t>
  </si>
  <si>
    <t>滨江集团</t>
  </si>
  <si>
    <t>www.lixinger.com/analytics/company/sz/002244/2244/detail</t>
  </si>
  <si>
    <t>太阳纸业</t>
  </si>
  <si>
    <t>大宗用纸</t>
  </si>
  <si>
    <t>www.lixinger.com/analytics/company/sz/002078/2078/detail</t>
  </si>
  <si>
    <t>复星医药</t>
  </si>
  <si>
    <t>化学制剂</t>
  </si>
  <si>
    <t>www.lixinger.com/analytics/company/sh/600196/600196/detail</t>
  </si>
  <si>
    <t>正泰电器</t>
  </si>
  <si>
    <t>配电设备</t>
  </si>
  <si>
    <t>www.lixinger.com/analytics/company/sh/601877/601877/detail</t>
  </si>
  <si>
    <t>亨通光电</t>
  </si>
  <si>
    <t>通信线缆及配套</t>
  </si>
  <si>
    <t>www.lixinger.com/analytics/company/sh/600487/600487/detail</t>
  </si>
  <si>
    <t>安阳钢铁</t>
  </si>
  <si>
    <t>www.lixinger.com/analytics/company/sh/600569/600569/detail</t>
  </si>
  <si>
    <t>广州发展</t>
  </si>
  <si>
    <t>www.lixinger.com/analytics/company/sh/600098/600098/detail</t>
  </si>
  <si>
    <t>深桑达Ａ</t>
  </si>
  <si>
    <t>通信终端及配件</t>
  </si>
  <si>
    <t>www.lixinger.com/analytics/company/sz/000032/32/detail</t>
  </si>
  <si>
    <t>广汇能源</t>
  </si>
  <si>
    <t>油品石化贸易</t>
  </si>
  <si>
    <t>www.lixinger.com/analytics/company/sh/600256/600256/detail</t>
  </si>
  <si>
    <t>宝胜股份</t>
  </si>
  <si>
    <t>线缆部件及其他</t>
  </si>
  <si>
    <t>www.lixinger.com/analytics/company/sh/600973/600973/detail</t>
  </si>
  <si>
    <t>晶澳科技</t>
  </si>
  <si>
    <t>www.lixinger.com/analytics/company/sz/002459/2459/detail</t>
  </si>
  <si>
    <t>鹏鼎控股</t>
  </si>
  <si>
    <t>印制电路板</t>
  </si>
  <si>
    <t>www.lixinger.com/analytics/company/sz/002938/2938/detail</t>
  </si>
  <si>
    <t>浙江交科</t>
  </si>
  <si>
    <t>www.lixinger.com/analytics/company/sz/002061/2061/detail</t>
  </si>
  <si>
    <t>汇鸿集团</t>
  </si>
  <si>
    <t>www.lixinger.com/analytics/company/sh/600981/600981/detail</t>
  </si>
  <si>
    <t>荣盛发展</t>
  </si>
  <si>
    <t>www.lixinger.com/analytics/company/sz/002146/2146/detail</t>
  </si>
  <si>
    <t>楚江新材</t>
  </si>
  <si>
    <t>www.lixinger.com/analytics/company/sz/002171/2171/detail</t>
  </si>
  <si>
    <t>神火股份</t>
  </si>
  <si>
    <t>www.lixinger.com/analytics/company/sz/000933/933/detail</t>
  </si>
  <si>
    <t>西部矿业</t>
  </si>
  <si>
    <t>www.lixinger.com/analytics/company/sh/601168/601168/detail</t>
  </si>
  <si>
    <t>王府井</t>
  </si>
  <si>
    <t>百货</t>
  </si>
  <si>
    <t>www.lixinger.com/analytics/company/sh/600859/600859/detail</t>
  </si>
  <si>
    <t>江淮汽车</t>
  </si>
  <si>
    <t>www.lixinger.com/analytics/company/sh/600418/600418/detail</t>
  </si>
  <si>
    <t>福田汽车</t>
  </si>
  <si>
    <t>www.lixinger.com/analytics/company/sh/600166/600166/detail</t>
  </si>
  <si>
    <t>华谊集团</t>
  </si>
  <si>
    <t>煤化工</t>
  </si>
  <si>
    <t>www.lixinger.com/analytics/company/sh/600623/600623/detail</t>
  </si>
  <si>
    <t>冀中能源</t>
  </si>
  <si>
    <t>www.lixinger.com/analytics/company/sz/000937/937/detail</t>
  </si>
  <si>
    <t>平煤股份</t>
  </si>
  <si>
    <t>www.lixinger.com/analytics/company/sh/601666/601666/detail</t>
  </si>
  <si>
    <t>山西汾酒</t>
  </si>
  <si>
    <t>www.lixinger.com/analytics/company/sh/600809/600809/detail</t>
  </si>
  <si>
    <t>云南白药</t>
  </si>
  <si>
    <t>www.lixinger.com/analytics/company/sz/000538/538/detail</t>
  </si>
  <si>
    <t>永安期货</t>
  </si>
  <si>
    <t>期货</t>
  </si>
  <si>
    <t>www.lixinger.com/analytics/company/sh/600927/600927/detail</t>
  </si>
  <si>
    <t>云铝股份</t>
  </si>
  <si>
    <t>www.lixinger.com/analytics/company/sz/000807/807/detail</t>
  </si>
  <si>
    <t>天能股份</t>
  </si>
  <si>
    <t>蓄电池及其他电池</t>
  </si>
  <si>
    <t>www.lixinger.com/analytics/company/sh/688819/688819/detail</t>
  </si>
  <si>
    <t>传化智联</t>
  </si>
  <si>
    <t>公路货运</t>
  </si>
  <si>
    <t>www.lixinger.com/analytics/company/sz/002010/2010/detail</t>
  </si>
  <si>
    <t>深天马Ａ</t>
  </si>
  <si>
    <t>www.lixinger.com/analytics/company/sz/000050/50/detail</t>
  </si>
  <si>
    <t>长电科技</t>
  </si>
  <si>
    <t>集成电路封测</t>
  </si>
  <si>
    <t>www.lixinger.com/analytics/company/sh/600584/600584/detail</t>
  </si>
  <si>
    <t>海王生物</t>
  </si>
  <si>
    <t>www.lixinger.com/analytics/company/sz/000078/78/detail</t>
  </si>
  <si>
    <t>首开股份</t>
  </si>
  <si>
    <t>www.lixinger.com/analytics/company/sh/600376/600376/detail</t>
  </si>
  <si>
    <t>甬金股份</t>
  </si>
  <si>
    <t>www.lixinger.com/analytics/company/sh/603995/603995/detail</t>
  </si>
  <si>
    <t>蓝色光标</t>
  </si>
  <si>
    <t>营销代理</t>
  </si>
  <si>
    <t>www.lixinger.com/analytics/company/sz/300058/300058/detail</t>
  </si>
  <si>
    <t>光明乳业</t>
  </si>
  <si>
    <t>www.lixinger.com/analytics/company/sh/600597/600597/detail</t>
  </si>
  <si>
    <t>领益智造</t>
  </si>
  <si>
    <t>www.lixinger.com/analytics/company/sz/002600/2600/detail</t>
  </si>
  <si>
    <t>酒钢宏兴</t>
  </si>
  <si>
    <t>www.lixinger.com/analytics/company/sh/600307/600307/detail</t>
  </si>
  <si>
    <t>天山铝业</t>
  </si>
  <si>
    <t>www.lixinger.com/analytics/company/sz/002532/2532/detail</t>
  </si>
  <si>
    <t>龙源电力</t>
  </si>
  <si>
    <t>www.lixinger.com/analytics/company/sz/001289/1289/detail</t>
  </si>
  <si>
    <t>深康佳Ａ</t>
  </si>
  <si>
    <t>www.lixinger.com/analytics/company/sz/000016/16/detail</t>
  </si>
  <si>
    <t>中国重工</t>
  </si>
  <si>
    <t>www.lixinger.com/analytics/company/sh/601989/601989/detail</t>
  </si>
  <si>
    <t>金发科技</t>
  </si>
  <si>
    <t>改性塑料</t>
  </si>
  <si>
    <t>www.lixinger.com/analytics/company/sh/600143/600143/detail</t>
  </si>
  <si>
    <t>国机汽车</t>
  </si>
  <si>
    <t>www.lixinger.com/analytics/company/sh/600335/600335/detail</t>
  </si>
  <si>
    <t>晨鸣纸业</t>
  </si>
  <si>
    <t>www.lixinger.com/analytics/company/sz/000488/488/detail</t>
  </si>
  <si>
    <t>鲁西化工</t>
  </si>
  <si>
    <t>www.lixinger.com/analytics/company/sz/000830/830/detail</t>
  </si>
  <si>
    <t>重庆百货</t>
  </si>
  <si>
    <t>www.lixinger.com/analytics/company/sh/600729/600729/detail</t>
  </si>
  <si>
    <t>华阳股份</t>
  </si>
  <si>
    <t>www.lixinger.com/analytics/company/sh/600348/600348/detail</t>
  </si>
  <si>
    <t>中国通号</t>
  </si>
  <si>
    <t>www.lixinger.com/analytics/company/sh/688009/688009/detail</t>
  </si>
  <si>
    <t>京能电力</t>
  </si>
  <si>
    <t>www.lixinger.com/analytics/company/sh/600578/600578/detail</t>
  </si>
  <si>
    <t>盛屯矿业</t>
  </si>
  <si>
    <t>www.lixinger.com/analytics/company/sh/600711/600711/detail</t>
  </si>
  <si>
    <t>卫星化学</t>
  </si>
  <si>
    <t>www.lixinger.com/analytics/company/sz/002648/2648/detail</t>
  </si>
  <si>
    <t>金风科技</t>
  </si>
  <si>
    <t>风电整机</t>
  </si>
  <si>
    <t>www.lixinger.com/analytics/company/sz/002202/2202/detail</t>
  </si>
  <si>
    <t>齐翔腾达</t>
  </si>
  <si>
    <t>www.lixinger.com/analytics/company/sz/002408/2408/detail</t>
  </si>
  <si>
    <t>华东医药</t>
  </si>
  <si>
    <t>www.lixinger.com/analytics/company/sz/000963/963/detail</t>
  </si>
  <si>
    <t>江苏国信</t>
  </si>
  <si>
    <t>www.lixinger.com/analytics/company/sz/002608/2608/detail</t>
  </si>
  <si>
    <t>德邦股份</t>
  </si>
  <si>
    <t>www.lixinger.com/analytics/company/sh/603056/603056/detail</t>
  </si>
  <si>
    <t>青岛啤酒</t>
  </si>
  <si>
    <t>啤酒</t>
  </si>
  <si>
    <t>www.lixinger.com/analytics/company/sh/600600/600600/detail</t>
  </si>
  <si>
    <t>洋河股份</t>
  </si>
  <si>
    <t>www.lixinger.com/analytics/company/sz/002304/2304/detail</t>
  </si>
  <si>
    <t>方大特钢</t>
  </si>
  <si>
    <t>www.lixinger.com/analytics/company/sh/600507/600507/detail</t>
  </si>
  <si>
    <t>申通快递</t>
  </si>
  <si>
    <t>www.lixinger.com/analytics/company/sz/002468/2468/detail</t>
  </si>
  <si>
    <t>东方电气</t>
  </si>
  <si>
    <t>www.lixinger.com/analytics/company/sh/600875/600875/detail</t>
  </si>
  <si>
    <t>国电南瑞</t>
  </si>
  <si>
    <t>电网自动化设备</t>
  </si>
  <si>
    <t>www.lixinger.com/analytics/company/sh/600406/600406/detail</t>
  </si>
  <si>
    <t>天原股份</t>
  </si>
  <si>
    <t>www.lixinger.com/analytics/company/sz/002386/2386/detail</t>
  </si>
  <si>
    <t>东山精密</t>
  </si>
  <si>
    <t>www.lixinger.com/analytics/company/sz/002384/2384/detail</t>
  </si>
  <si>
    <t>淮河能源</t>
  </si>
  <si>
    <t>www.lixinger.com/analytics/company/sh/600575/600575/detail</t>
  </si>
  <si>
    <t>中国医药</t>
  </si>
  <si>
    <t>www.lixinger.com/analytics/company/sh/600056/600056/detail</t>
  </si>
  <si>
    <t>古井贡Ｂ</t>
  </si>
  <si>
    <t>www.lixinger.com/analytics/company/sz/200596/200596/detail</t>
  </si>
  <si>
    <t>中天科技</t>
  </si>
  <si>
    <t>www.lixinger.com/analytics/company/sh/600522/600522/detail</t>
  </si>
  <si>
    <t>安道麦B</t>
  </si>
  <si>
    <t>www.lixinger.com/analytics/company/sz/200553/200553/detail</t>
  </si>
  <si>
    <t>深圳能源</t>
  </si>
  <si>
    <t>www.lixinger.com/analytics/company/sz/000027/27/detail</t>
  </si>
  <si>
    <t>泸州老窖</t>
  </si>
  <si>
    <t>www.lixinger.com/analytics/company/sz/000568/568/detail</t>
  </si>
  <si>
    <t>贵研铂业</t>
  </si>
  <si>
    <t>www.lixinger.com/analytics/company/sh/600459/600459/detail</t>
  </si>
  <si>
    <t>柳工</t>
  </si>
  <si>
    <t>www.lixinger.com/analytics/company/sz/000528/528/detail</t>
  </si>
  <si>
    <t>金螳螂</t>
  </si>
  <si>
    <t>装修装饰</t>
  </si>
  <si>
    <t>www.lixinger.com/analytics/company/sz/002081/2081/detail</t>
  </si>
  <si>
    <t>重庆钢铁</t>
  </si>
  <si>
    <t>www.lixinger.com/analytics/company/sh/601005/601005/detail</t>
  </si>
  <si>
    <t>山鹰国际</t>
  </si>
  <si>
    <t>www.lixinger.com/analytics/company/sh/600567/600567/detail</t>
  </si>
  <si>
    <t>阳光城</t>
  </si>
  <si>
    <t>www.lixinger.com/analytics/company/sz/000671/671/detail</t>
  </si>
  <si>
    <t>药明康德</t>
  </si>
  <si>
    <t>医疗研发外包</t>
  </si>
  <si>
    <t>www.lixinger.com/analytics/company/sh/603259/603259/detail</t>
  </si>
  <si>
    <t>盐湖股份</t>
  </si>
  <si>
    <t>钾肥</t>
  </si>
  <si>
    <t>www.lixinger.com/analytics/company/sz/000792/792/detail</t>
  </si>
  <si>
    <t>庞大集团</t>
  </si>
  <si>
    <t>www.lixinger.com/analytics/company/sh/601258/601258/detail</t>
  </si>
  <si>
    <t>大华股份</t>
  </si>
  <si>
    <t>www.lixinger.com/analytics/company/sz/002236/2236/detail</t>
  </si>
  <si>
    <t>华贸物流</t>
  </si>
  <si>
    <t>www.lixinger.com/analytics/company/sh/603128/603128/detail</t>
  </si>
  <si>
    <t>九丰能源</t>
  </si>
  <si>
    <t>www.lixinger.com/analytics/company/sh/605090/605090/detail</t>
  </si>
  <si>
    <t>中交地产</t>
  </si>
  <si>
    <t>www.lixinger.com/analytics/company/sz/000736/736/detail</t>
  </si>
  <si>
    <t>宁波建工</t>
  </si>
  <si>
    <t>www.lixinger.com/analytics/company/sh/601789/601789/detail</t>
  </si>
  <si>
    <t>江铃汽车</t>
  </si>
  <si>
    <t>www.lixinger.com/analytics/company/sz/000550/550/detail</t>
  </si>
  <si>
    <t>东华能源</t>
  </si>
  <si>
    <t>www.lixinger.com/analytics/company/sz/002221/2221/detail</t>
  </si>
  <si>
    <t>韶钢松山</t>
  </si>
  <si>
    <t>www.lixinger.com/analytics/company/sz/000717/717/detail</t>
  </si>
  <si>
    <t>豫光金铅</t>
  </si>
  <si>
    <t>www.lixinger.com/analytics/company/sh/600531/600531/detail</t>
  </si>
  <si>
    <t>华鲁恒升</t>
  </si>
  <si>
    <t>www.lixinger.com/analytics/company/sh/600426/600426/detail</t>
  </si>
  <si>
    <t>大全能源</t>
  </si>
  <si>
    <t>www.lixinger.com/analytics/company/sh/688303/688303/detail</t>
  </si>
  <si>
    <t>中远海发</t>
  </si>
  <si>
    <t>www.lixinger.com/analytics/company/sh/601866/601866/detail</t>
  </si>
  <si>
    <t>南山铝业</t>
  </si>
  <si>
    <t>www.lixinger.com/analytics/company/sh/600219/600219/detail</t>
  </si>
  <si>
    <t>上海电力</t>
  </si>
  <si>
    <t>www.lixinger.com/analytics/company/sh/600021/600021/detail</t>
  </si>
  <si>
    <t>东方雨虹</t>
  </si>
  <si>
    <t>防水材料</t>
  </si>
  <si>
    <t>www.lixinger.com/analytics/company/sz/002271/2271/detail</t>
  </si>
  <si>
    <t>迈瑞医疗</t>
  </si>
  <si>
    <t>www.lixinger.com/analytics/company/sz/300760/300760/detail</t>
  </si>
  <si>
    <t>申能股份</t>
  </si>
  <si>
    <t>www.lixinger.com/analytics/company/sh/600642/600642/detail</t>
  </si>
  <si>
    <t>厦门港务</t>
  </si>
  <si>
    <t>www.lixinger.com/analytics/company/sz/000905/905/detail</t>
  </si>
  <si>
    <t>皖能电力</t>
  </si>
  <si>
    <t>www.lixinger.com/analytics/company/sz/000543/543/detail</t>
  </si>
  <si>
    <t>中国重汽</t>
  </si>
  <si>
    <t>www.lixinger.com/analytics/company/sz/000951/951/detail</t>
  </si>
  <si>
    <t>嘉事堂</t>
  </si>
  <si>
    <t>www.lixinger.com/analytics/company/sz/002462/2462/detail</t>
  </si>
  <si>
    <t>正邦科技</t>
  </si>
  <si>
    <t>www.lixinger.com/analytics/company/sz/002157/2157/detail</t>
  </si>
  <si>
    <t>电投能源</t>
  </si>
  <si>
    <t>www.lixinger.com/analytics/company/sz/002128/2128/detail</t>
  </si>
  <si>
    <t>鄂尔多斯</t>
  </si>
  <si>
    <t>冶钢辅料</t>
  </si>
  <si>
    <t>www.lixinger.com/analytics/company/sh/600295/600295/detail</t>
  </si>
  <si>
    <t>梅花生物</t>
  </si>
  <si>
    <t>调味发酵品</t>
  </si>
  <si>
    <t>www.lixinger.com/analytics/company/sh/600873/600873/detail</t>
  </si>
  <si>
    <t>中国动力</t>
  </si>
  <si>
    <t>www.lixinger.com/analytics/company/sh/600482/600482/detail</t>
  </si>
  <si>
    <t>福耀玻璃</t>
  </si>
  <si>
    <t>www.lixinger.com/analytics/company/sh/600660/600660/detail</t>
  </si>
  <si>
    <t>东航物流</t>
  </si>
  <si>
    <t>www.lixinger.com/analytics/company/sh/601156/601156/detail</t>
  </si>
  <si>
    <t>厦门钨业</t>
  </si>
  <si>
    <t>钨</t>
  </si>
  <si>
    <t>www.lixinger.com/analytics/company/sh/600549/600549/detail</t>
  </si>
  <si>
    <t>郑煤机</t>
  </si>
  <si>
    <t>能源及重型设备</t>
  </si>
  <si>
    <t>www.lixinger.com/analytics/company/sh/601717/601717/detail</t>
  </si>
  <si>
    <t>大悦城</t>
  </si>
  <si>
    <t>www.lixinger.com/analytics/company/sz/000031/31/detail</t>
  </si>
  <si>
    <t>兴发集团</t>
  </si>
  <si>
    <t>www.lixinger.com/analytics/company/sh/600141/600141/detail</t>
  </si>
  <si>
    <t>家家悦</t>
  </si>
  <si>
    <t>www.lixinger.com/analytics/company/sh/603708/603708/detail</t>
  </si>
  <si>
    <t>小康股份</t>
  </si>
  <si>
    <t>www.lixinger.com/analytics/company/sh/601127/601127/detail</t>
  </si>
  <si>
    <t>中材国际</t>
  </si>
  <si>
    <t>国际工程</t>
  </si>
  <si>
    <t>www.lixinger.com/analytics/company/sh/600970/600970/detail</t>
  </si>
  <si>
    <t>永泰能源</t>
  </si>
  <si>
    <t>www.lixinger.com/analytics/company/sh/600157/600157/detail</t>
  </si>
  <si>
    <t>深圳华强</t>
  </si>
  <si>
    <t>www.lixinger.com/analytics/company/sz/000062/62/detail</t>
  </si>
  <si>
    <t>荣安地产</t>
  </si>
  <si>
    <t>www.lixinger.com/analytics/company/sz/000517/517/detail</t>
  </si>
  <si>
    <t>华夏幸福</t>
  </si>
  <si>
    <t>产业地产</t>
  </si>
  <si>
    <t>www.lixinger.com/analytics/company/sh/600340/600340/detail</t>
  </si>
  <si>
    <t>古井贡酒</t>
  </si>
  <si>
    <t>www.lixinger.com/analytics/company/sz/000596/596/detail</t>
  </si>
  <si>
    <t>安道麦A</t>
  </si>
  <si>
    <t>农药</t>
  </si>
  <si>
    <t>www.lixinger.com/analytics/company/sz/000553/553/detail</t>
  </si>
  <si>
    <t>海澜之家</t>
  </si>
  <si>
    <t>非运动服装</t>
  </si>
  <si>
    <t>www.lixinger.com/analytics/company/sh/600398/600398/detail</t>
  </si>
  <si>
    <t>锌业股份</t>
  </si>
  <si>
    <t>www.lixinger.com/analytics/company/sz/000751/751/detail</t>
  </si>
  <si>
    <t>华新水泥</t>
  </si>
  <si>
    <t>www.lixinger.com/analytics/company/sh/600801/600801/detail</t>
  </si>
  <si>
    <t>华峰化学</t>
  </si>
  <si>
    <t>氨纶</t>
  </si>
  <si>
    <t>www.lixinger.com/analytics/company/sz/002064/2064/detail</t>
  </si>
  <si>
    <t>禾丰股份</t>
  </si>
  <si>
    <t>畜禽饲料</t>
  </si>
  <si>
    <t>www.lixinger.com/analytics/company/sh/603609/603609/detail</t>
  </si>
  <si>
    <t>大北农</t>
  </si>
  <si>
    <t>www.lixinger.com/analytics/company/sz/002385/2385/detail</t>
  </si>
  <si>
    <t>德赛电池</t>
  </si>
  <si>
    <t>www.lixinger.com/analytics/company/sz/000049/49/detail</t>
  </si>
  <si>
    <t>中粮科技</t>
  </si>
  <si>
    <t>其他农产品加工</t>
  </si>
  <si>
    <t>www.lixinger.com/analytics/company/sz/000930/930/detail</t>
  </si>
  <si>
    <t>格林美</t>
  </si>
  <si>
    <t>电池化学品</t>
  </si>
  <si>
    <t>www.lixinger.com/analytics/company/sz/002340/2340/detail</t>
  </si>
  <si>
    <t>开滦股份</t>
  </si>
  <si>
    <t>焦炭</t>
  </si>
  <si>
    <t>www.lixinger.com/analytics/company/sh/600997/600997/detail</t>
  </si>
  <si>
    <t>湖南黄金</t>
  </si>
  <si>
    <t>www.lixinger.com/analytics/company/sz/002155/2155/detail</t>
  </si>
  <si>
    <t>英特集团</t>
  </si>
  <si>
    <t>www.lixinger.com/analytics/company/sz/000411/411/detail</t>
  </si>
  <si>
    <t>烽火通信</t>
  </si>
  <si>
    <t>www.lixinger.com/analytics/company/sh/600498/600498/detail</t>
  </si>
  <si>
    <t>*ST海航</t>
  </si>
  <si>
    <t>www.lixinger.com/analytics/company/sh/600221/600221/detail</t>
  </si>
  <si>
    <t>深圳燃气</t>
  </si>
  <si>
    <t>www.lixinger.com/analytics/company/sh/601139/601139/detail</t>
  </si>
  <si>
    <t>上海梅林</t>
  </si>
  <si>
    <t>www.lixinger.com/analytics/company/sh/600073/600073/detail</t>
  </si>
  <si>
    <t>驰宏锌锗</t>
  </si>
  <si>
    <t>www.lixinger.com/analytics/company/sh/600497/600497/detail</t>
  </si>
  <si>
    <t>中粮糖业</t>
  </si>
  <si>
    <t>www.lixinger.com/analytics/company/sh/600737/600737/detail</t>
  </si>
  <si>
    <t>海天味业</t>
  </si>
  <si>
    <t>www.lixinger.com/analytics/company/sh/603288/603288/detail</t>
  </si>
  <si>
    <t>万凯新材</t>
  </si>
  <si>
    <t>www.lixinger.com/analytics/company/sz/301216/301216/detail</t>
  </si>
  <si>
    <t>中船防务</t>
  </si>
  <si>
    <t>www.lixinger.com/analytics/company/sh/600685/600685/detail</t>
  </si>
  <si>
    <t>阳光电源</t>
  </si>
  <si>
    <t>逆变器</t>
  </si>
  <si>
    <t>www.lixinger.com/analytics/company/sz/300274/300274/detail</t>
  </si>
  <si>
    <t>太极实业</t>
  </si>
  <si>
    <t>www.lixinger.com/analytics/company/sh/600667/600667/detail</t>
  </si>
  <si>
    <t>亿纬锂能</t>
  </si>
  <si>
    <t>www.lixinger.com/analytics/company/sz/300014/300014/detail</t>
  </si>
  <si>
    <t>新天绿能</t>
  </si>
  <si>
    <t>风力发电</t>
  </si>
  <si>
    <t>www.lixinger.com/analytics/company/sh/600956/600956/detail</t>
  </si>
  <si>
    <t>海油工程</t>
  </si>
  <si>
    <t>www.lixinger.com/analytics/company/sh/600583/600583/detail</t>
  </si>
  <si>
    <t>浙江东方</t>
  </si>
  <si>
    <t>www.lixinger.com/analytics/company/sh/600120/600120/detail</t>
  </si>
  <si>
    <t>天齐锂业</t>
  </si>
  <si>
    <t>锂</t>
  </si>
  <si>
    <t>www.lixinger.com/analytics/company/sz/002466/2466/detail</t>
  </si>
  <si>
    <t>中铁工业</t>
  </si>
  <si>
    <t>www.lixinger.com/analytics/company/sh/600528/600528/detail</t>
  </si>
  <si>
    <t>东方日升</t>
  </si>
  <si>
    <t>www.lixinger.com/analytics/company/sz/300118/300118/detail</t>
  </si>
  <si>
    <t>纳思达</t>
  </si>
  <si>
    <t>数字芯片设计</t>
  </si>
  <si>
    <t>www.lixinger.com/analytics/company/sz/002180/2180/detail</t>
  </si>
  <si>
    <t>韦尔股份</t>
  </si>
  <si>
    <t>www.lixinger.com/analytics/company/sh/603501/603501/detail</t>
  </si>
  <si>
    <t>明泰铝业</t>
  </si>
  <si>
    <t>www.lixinger.com/analytics/company/sh/601677/601677/detail</t>
  </si>
  <si>
    <t>兆驰股份</t>
  </si>
  <si>
    <t>www.lixinger.com/analytics/company/sz/002429/2429/detail</t>
  </si>
  <si>
    <t>上海机电</t>
  </si>
  <si>
    <t>楼宇设备</t>
  </si>
  <si>
    <t>www.lixinger.com/analytics/company/sh/600835/600835/detail</t>
  </si>
  <si>
    <t>爱旭股份</t>
  </si>
  <si>
    <t>www.lixinger.com/analytics/company/sh/600732/600732/detail</t>
  </si>
  <si>
    <t>渤海租赁</t>
  </si>
  <si>
    <t>租赁</t>
  </si>
  <si>
    <t>www.lixinger.com/analytics/company/sz/000415/415/detail</t>
  </si>
  <si>
    <t>招商轮船</t>
  </si>
  <si>
    <t>www.lixinger.com/analytics/company/sh/601872/601872/detail</t>
  </si>
  <si>
    <t>内蒙华电</t>
  </si>
  <si>
    <t>www.lixinger.com/analytics/company/sh/600863/600863/detail</t>
  </si>
  <si>
    <t>立中集团</t>
  </si>
  <si>
    <t>轮胎轮毂</t>
  </si>
  <si>
    <t>www.lixinger.com/analytics/company/sz/300428/300428/detail</t>
  </si>
  <si>
    <t>福日电子</t>
  </si>
  <si>
    <t>www.lixinger.com/analytics/company/sh/600203/600203/detail</t>
  </si>
  <si>
    <t>宝丰能源</t>
  </si>
  <si>
    <t>www.lixinger.com/analytics/company/sh/600989/600989/detail</t>
  </si>
  <si>
    <t>城建发展</t>
  </si>
  <si>
    <t>www.lixinger.com/analytics/company/sh/600266/600266/detail</t>
  </si>
  <si>
    <t>广晟有色</t>
  </si>
  <si>
    <t>www.lixinger.com/analytics/company/sh/600259/600259/detail</t>
  </si>
  <si>
    <t>利欧股份</t>
  </si>
  <si>
    <t>www.lixinger.com/analytics/company/sz/002131/2131/detail</t>
  </si>
  <si>
    <t>爱玛科技</t>
  </si>
  <si>
    <t>其他运输设备</t>
  </si>
  <si>
    <t>www.lixinger.com/analytics/company/sh/603529/603529/detail</t>
  </si>
  <si>
    <t>凌钢股份</t>
  </si>
  <si>
    <t>www.lixinger.com/analytics/company/sh/600231/600231/detail</t>
  </si>
  <si>
    <t>一汽富维</t>
  </si>
  <si>
    <t>www.lixinger.com/analytics/company/sh/600742/600742/detail</t>
  </si>
  <si>
    <t>武商集团</t>
  </si>
  <si>
    <t>www.lixinger.com/analytics/company/sz/000501/501/detail</t>
  </si>
  <si>
    <t>远东股份</t>
  </si>
  <si>
    <t>www.lixinger.com/analytics/company/sh/600869/600869/detail</t>
  </si>
  <si>
    <t>智飞生物</t>
  </si>
  <si>
    <t>疫苗</t>
  </si>
  <si>
    <t>www.lixinger.com/analytics/company/sz/300122/300122/detail</t>
  </si>
  <si>
    <t>天虹股份</t>
  </si>
  <si>
    <t>www.lixinger.com/analytics/company/sz/002419/2419/detail</t>
  </si>
  <si>
    <t>辉隆股份</t>
  </si>
  <si>
    <t>农业综合</t>
  </si>
  <si>
    <t>www.lixinger.com/analytics/company/sz/002556/2556/detail</t>
  </si>
  <si>
    <t>大参林</t>
  </si>
  <si>
    <t>线下药店</t>
  </si>
  <si>
    <t>www.lixinger.com/analytics/company/sh/603233/603233/detail</t>
  </si>
  <si>
    <t>苏泊尔</t>
  </si>
  <si>
    <t>厨房小家电</t>
  </si>
  <si>
    <t>www.lixinger.com/analytics/company/sz/002032/2032/detail</t>
  </si>
  <si>
    <t>科伦药业</t>
  </si>
  <si>
    <t>www.lixinger.com/analytics/company/sz/002422/2422/detail</t>
  </si>
  <si>
    <t>新湖中宝</t>
  </si>
  <si>
    <t>www.lixinger.com/analytics/company/sh/600208/600208/detail</t>
  </si>
  <si>
    <t>巨化股份</t>
  </si>
  <si>
    <t>氟化工</t>
  </si>
  <si>
    <t>www.lixinger.com/analytics/company/sh/600160/600160/detail</t>
  </si>
  <si>
    <t>中铝国际</t>
  </si>
  <si>
    <t>www.lixinger.com/analytics/company/sh/601068/601068/detail</t>
  </si>
  <si>
    <t>三房巷</t>
  </si>
  <si>
    <t>印染</t>
  </si>
  <si>
    <t>www.lixinger.com/analytics/company/sh/600370/600370/detail</t>
  </si>
  <si>
    <t>中集车辆</t>
  </si>
  <si>
    <t>www.lixinger.com/analytics/company/sz/301039/301039/detail</t>
  </si>
  <si>
    <t>龙佰集团</t>
  </si>
  <si>
    <t>钛白粉</t>
  </si>
  <si>
    <t>www.lixinger.com/analytics/company/sz/002601/2601/detail</t>
  </si>
  <si>
    <t>虹美菱B</t>
  </si>
  <si>
    <t>www.lixinger.com/analytics/company/sz/200521/200521/detail</t>
  </si>
  <si>
    <t>唐人神</t>
  </si>
  <si>
    <t>www.lixinger.com/analytics/company/sz/002567/2567/detail</t>
  </si>
  <si>
    <t>容百科技</t>
  </si>
  <si>
    <t>www.lixinger.com/analytics/company/sh/688005/688005/detail</t>
  </si>
  <si>
    <t>国新能源</t>
  </si>
  <si>
    <t>www.lixinger.com/analytics/company/sh/600617/600617/detail</t>
  </si>
  <si>
    <t>安旭生物</t>
  </si>
  <si>
    <t>体外诊断</t>
  </si>
  <si>
    <t>www.lixinger.com/analytics/company/sh/688075/688075/detail</t>
  </si>
  <si>
    <t>北辰实业</t>
  </si>
  <si>
    <t>www.lixinger.com/analytics/company/sh/601588/601588/detail</t>
  </si>
  <si>
    <t>宇通客车</t>
  </si>
  <si>
    <t>商用载客车</t>
  </si>
  <si>
    <t>www.lixinger.com/analytics/company/sh/600066/600066/detail</t>
  </si>
  <si>
    <t>欧菲光</t>
  </si>
  <si>
    <t>光学元件</t>
  </si>
  <si>
    <t>www.lixinger.com/analytics/company/sz/002456/2456/detail</t>
  </si>
  <si>
    <t>继峰股份</t>
  </si>
  <si>
    <t>www.lixinger.com/analytics/company/sh/603997/603997/detail</t>
  </si>
  <si>
    <t>中国巨石</t>
  </si>
  <si>
    <t>玻纤制造</t>
  </si>
  <si>
    <t>www.lixinger.com/analytics/company/sh/600176/600176/detail</t>
  </si>
  <si>
    <t>大商股份</t>
  </si>
  <si>
    <t>www.lixinger.com/analytics/company/sh/600694/600694/detail</t>
  </si>
  <si>
    <t>湖北宜化</t>
  </si>
  <si>
    <t>www.lixinger.com/analytics/company/sz/000422/422/detail</t>
  </si>
  <si>
    <t>金能科技</t>
  </si>
  <si>
    <t>www.lixinger.com/analytics/company/sh/603113/603113/detail</t>
  </si>
  <si>
    <t>科大讯飞</t>
  </si>
  <si>
    <t>横向通用软件</t>
  </si>
  <si>
    <t>www.lixinger.com/analytics/company/sz/002230/2230/detail</t>
  </si>
  <si>
    <t>盛和资源</t>
  </si>
  <si>
    <t>www.lixinger.com/analytics/company/sh/600392/600392/detail</t>
  </si>
  <si>
    <t>振华重工</t>
  </si>
  <si>
    <t>www.lixinger.com/analytics/company/sh/600320/600320/detail</t>
  </si>
  <si>
    <t>合盛硅业</t>
  </si>
  <si>
    <t>非金属材料</t>
  </si>
  <si>
    <t>www.lixinger.com/analytics/company/sh/603260/603260/detail</t>
  </si>
  <si>
    <t>瑞康医药</t>
  </si>
  <si>
    <t>www.lixinger.com/analytics/company/sz/002589/2589/detail</t>
  </si>
  <si>
    <t>视源股份</t>
  </si>
  <si>
    <t>教育运营及其他</t>
  </si>
  <si>
    <t>www.lixinger.com/analytics/company/sz/002841/2841/detail</t>
  </si>
  <si>
    <t>欧派家居</t>
  </si>
  <si>
    <t>定制家居</t>
  </si>
  <si>
    <t>www.lixinger.com/analytics/company/sh/603833/603833/detail</t>
  </si>
  <si>
    <t>华利集团</t>
  </si>
  <si>
    <t>纺织鞋类制造</t>
  </si>
  <si>
    <t>www.lixinger.com/analytics/company/sz/300979/300979/detail</t>
  </si>
  <si>
    <t>健康元</t>
  </si>
  <si>
    <t>www.lixinger.com/analytics/company/sh/600380/600380/detail</t>
  </si>
  <si>
    <t>恒瑞医药</t>
  </si>
  <si>
    <t>www.lixinger.com/analytics/company/sh/600276/600276/detail</t>
  </si>
  <si>
    <t>鹭燕医药</t>
  </si>
  <si>
    <t>www.lixinger.com/analytics/company/sz/002788/2788/detail</t>
  </si>
  <si>
    <t>人福医药</t>
  </si>
  <si>
    <t>www.lixinger.com/analytics/company/sh/600079/600079/detail</t>
  </si>
  <si>
    <t>赣锋锂业</t>
  </si>
  <si>
    <t>www.lixinger.com/analytics/company/sz/002460/2460/detail</t>
  </si>
  <si>
    <t>东方生物</t>
  </si>
  <si>
    <t>www.lixinger.com/analytics/company/sh/688298/688298/detail</t>
  </si>
  <si>
    <t>株冶集团</t>
  </si>
  <si>
    <t>www.lixinger.com/analytics/company/sh/600961/600961/detail</t>
  </si>
  <si>
    <t>建投能源</t>
  </si>
  <si>
    <t>www.lixinger.com/analytics/company/sz/000600/600/detail</t>
  </si>
  <si>
    <t>冀东水泥</t>
  </si>
  <si>
    <t>www.lixinger.com/analytics/company/sz/000401/401/detail</t>
  </si>
  <si>
    <t>精工钢构</t>
  </si>
  <si>
    <t>钢结构</t>
  </si>
  <si>
    <t>www.lixinger.com/analytics/company/sh/600496/600496/detail</t>
  </si>
  <si>
    <t>沙钢股份</t>
  </si>
  <si>
    <t>www.lixinger.com/analytics/company/sz/002075/2075/detail</t>
  </si>
  <si>
    <t>万向钱潮</t>
  </si>
  <si>
    <t>www.lixinger.com/analytics/company/sz/000559/559/detail</t>
  </si>
  <si>
    <t>阳煤化工</t>
  </si>
  <si>
    <t>氮肥</t>
  </si>
  <si>
    <t>www.lixinger.com/analytics/company/sh/600691/600691/detail</t>
  </si>
  <si>
    <t>宁波华翔</t>
  </si>
  <si>
    <t>www.lixinger.com/analytics/company/sz/002048/2048/detail</t>
  </si>
  <si>
    <t>赛轮轮胎</t>
  </si>
  <si>
    <t>www.lixinger.com/analytics/company/sh/601058/601058/detail</t>
  </si>
  <si>
    <t>招港B</t>
  </si>
  <si>
    <t>www.lixinger.com/analytics/company/sz/201872/201872/detail</t>
  </si>
  <si>
    <t>木林森</t>
  </si>
  <si>
    <t>LED</t>
  </si>
  <si>
    <t>www.lixinger.com/analytics/company/sz/002745/2745/detail</t>
  </si>
  <si>
    <t>天禾股份</t>
  </si>
  <si>
    <t>复合肥</t>
  </si>
  <si>
    <t>www.lixinger.com/analytics/company/sz/002999/2999/detail</t>
  </si>
  <si>
    <t>华孚时尚</t>
  </si>
  <si>
    <t>棉纺</t>
  </si>
  <si>
    <t>www.lixinger.com/analytics/company/sz/002042/2042/detail</t>
  </si>
  <si>
    <t>同仁堂</t>
  </si>
  <si>
    <t>www.lixinger.com/analytics/company/sh/600085/600085/detail</t>
  </si>
  <si>
    <t>中伟股份</t>
  </si>
  <si>
    <t>www.lixinger.com/analytics/company/sz/300919/300919/detail</t>
  </si>
  <si>
    <t>新洋丰</t>
  </si>
  <si>
    <t>www.lixinger.com/analytics/company/sz/000902/902/detail</t>
  </si>
  <si>
    <t>八一钢铁</t>
  </si>
  <si>
    <t>www.lixinger.com/analytics/company/sh/600581/600581/detail</t>
  </si>
  <si>
    <t>同方股份</t>
  </si>
  <si>
    <t>www.lixinger.com/analytics/company/sh/600100/600100/detail</t>
  </si>
  <si>
    <t>三花智控</t>
  </si>
  <si>
    <t>家电零部件</t>
  </si>
  <si>
    <t>www.lixinger.com/analytics/company/sz/002050/2050/detail</t>
  </si>
  <si>
    <t>傲农生物</t>
  </si>
  <si>
    <t>www.lixinger.com/analytics/company/sh/603363/603363/detail</t>
  </si>
  <si>
    <t>精达股份</t>
  </si>
  <si>
    <t>www.lixinger.com/analytics/company/sh/600577/600577/detail</t>
  </si>
  <si>
    <t>京粮B</t>
  </si>
  <si>
    <t>www.lixinger.com/analytics/company/sz/200505/200505/detail</t>
  </si>
  <si>
    <t>晨光股份</t>
  </si>
  <si>
    <t>文化用品</t>
  </si>
  <si>
    <t>www.lixinger.com/analytics/company/sh/603899/603899/detail</t>
  </si>
  <si>
    <t>三友化工</t>
  </si>
  <si>
    <t>粘胶</t>
  </si>
  <si>
    <t>www.lixinger.com/analytics/company/sh/600409/600409/detail</t>
  </si>
  <si>
    <t>桂东电力</t>
  </si>
  <si>
    <t>www.lixinger.com/analytics/company/sh/600310/600310/detail</t>
  </si>
  <si>
    <t>豫能控股</t>
  </si>
  <si>
    <t>www.lixinger.com/analytics/company/sz/001896/1896/detail</t>
  </si>
  <si>
    <t>鸿路钢构</t>
  </si>
  <si>
    <t>www.lixinger.com/analytics/company/sz/002541/2541/detail</t>
  </si>
  <si>
    <t>航天信息</t>
  </si>
  <si>
    <t>www.lixinger.com/analytics/company/sh/600271/600271/detail</t>
  </si>
  <si>
    <t>生益科技</t>
  </si>
  <si>
    <t>www.lixinger.com/analytics/company/sh/600183/600183/detail</t>
  </si>
  <si>
    <t>迪马股份</t>
  </si>
  <si>
    <t>www.lixinger.com/analytics/company/sh/600565/600565/detail</t>
  </si>
  <si>
    <t>益丰药房</t>
  </si>
  <si>
    <t>www.lixinger.com/analytics/company/sh/603939/603939/detail</t>
  </si>
  <si>
    <t>鼎胜新材</t>
  </si>
  <si>
    <t>www.lixinger.com/analytics/company/sh/603876/603876/detail</t>
  </si>
  <si>
    <t>中海油服</t>
  </si>
  <si>
    <t>www.lixinger.com/analytics/company/sh/601808/601808/detail</t>
  </si>
  <si>
    <t>横店东磁</t>
  </si>
  <si>
    <t>磁性材料</t>
  </si>
  <si>
    <t>www.lixinger.com/analytics/company/sz/002056/2056/detail</t>
  </si>
  <si>
    <t>拓普集团</t>
  </si>
  <si>
    <t>www.lixinger.com/analytics/company/sh/601689/601689/detail</t>
  </si>
  <si>
    <t>索通发展</t>
  </si>
  <si>
    <t>www.lixinger.com/analytics/company/sh/603612/603612/detail</t>
  </si>
  <si>
    <t>中国宝安</t>
  </si>
  <si>
    <t>www.lixinger.com/analytics/company/sz/000009/9/detail</t>
  </si>
  <si>
    <t>龙元建设</t>
  </si>
  <si>
    <t>www.lixinger.com/analytics/company/sh/600491/600491/detail</t>
  </si>
  <si>
    <t>首创环保</t>
  </si>
  <si>
    <t>水务及水治理</t>
  </si>
  <si>
    <t>www.lixinger.com/analytics/company/sh/600008/600008/detail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</si>
  <si>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</si>
  <si>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</si>
  <si>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</si>
  <si>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</si>
  <si>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</si>
  <si>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欧亚集团</t>
  </si>
  <si>
    <t>www.lixinger.com/analytics/company/sh/600697/600697/detail</t>
  </si>
  <si>
    <t>杉杉股份</t>
  </si>
  <si>
    <t>www.lixinger.com/analytics/company/sh/600884/600884/detail</t>
  </si>
  <si>
    <t>中百集团</t>
  </si>
  <si>
    <t>www.lixinger.com/analytics/company/sz/000759/759/detail</t>
  </si>
  <si>
    <t>信达地产</t>
  </si>
  <si>
    <t>www.lixinger.com/analytics/company/sh/600657/600657/detail</t>
  </si>
  <si>
    <t>顾家家居</t>
  </si>
  <si>
    <t>成品家居</t>
  </si>
  <si>
    <t>www.lixinger.com/analytics/company/sh/603816/603816/detail</t>
  </si>
  <si>
    <t>北大荒</t>
  </si>
  <si>
    <t>粮食种植</t>
  </si>
  <si>
    <t>www.lixinger.com/analytics/company/sh/600598/600598/detail</t>
  </si>
  <si>
    <t>爱尔眼科</t>
  </si>
  <si>
    <t>医院</t>
  </si>
  <si>
    <t>www.lixinger.com/analytics/company/sz/300015/300015/detail</t>
  </si>
  <si>
    <t>青岛港</t>
  </si>
  <si>
    <t>www.lixinger.com/analytics/company/sh/601298/601298/detail</t>
  </si>
  <si>
    <t>光明地产</t>
  </si>
  <si>
    <t>www.lixinger.com/analytics/company/sh/600708/600708/detail</t>
  </si>
  <si>
    <t>江河集团</t>
  </si>
  <si>
    <t>www.lixinger.com/analytics/company/sh/601886/601886/detail</t>
  </si>
  <si>
    <t>科沃斯</t>
  </si>
  <si>
    <t>清洁小家电</t>
  </si>
  <si>
    <t>www.lixinger.com/analytics/company/sh/603486/603486/detail</t>
  </si>
  <si>
    <t>君正集团</t>
  </si>
  <si>
    <t>www.lixinger.com/analytics/company/sh/601216/601216/detail</t>
  </si>
  <si>
    <t>华润三九</t>
  </si>
  <si>
    <t>www.lixinger.com/analytics/company/sz/000999/999/detail</t>
  </si>
  <si>
    <t>晋控电力</t>
  </si>
  <si>
    <t>www.lixinger.com/analytics/company/sz/000767/767/detail</t>
  </si>
  <si>
    <t>金龙汽车</t>
  </si>
  <si>
    <t>www.lixinger.com/analytics/company/sh/600686/600686/detail</t>
  </si>
  <si>
    <t>华泰股份</t>
  </si>
  <si>
    <t>www.lixinger.com/analytics/company/sh/600308/600308/detail</t>
  </si>
  <si>
    <t>长源电力</t>
  </si>
  <si>
    <t>www.lixinger.com/analytics/company/sz/000966/966/detail</t>
  </si>
  <si>
    <t>浙文互联</t>
  </si>
  <si>
    <t>www.lixinger.com/analytics/company/sh/600986/600986/detail</t>
  </si>
  <si>
    <t>万达电影</t>
  </si>
  <si>
    <t>院线</t>
  </si>
  <si>
    <t>www.lixinger.com/analytics/company/sz/002739/2739/detail</t>
  </si>
  <si>
    <t>龙大美食</t>
  </si>
  <si>
    <t>www.lixinger.com/analytics/company/sz/002726/2726/detail</t>
  </si>
  <si>
    <t>浙江龙盛</t>
  </si>
  <si>
    <t>纺织化学制品</t>
  </si>
  <si>
    <t>www.lixinger.com/analytics/company/sh/600352/600352/detail</t>
  </si>
  <si>
    <t>中国长城</t>
  </si>
  <si>
    <t>www.lixinger.com/analytics/company/sz/000066/66/detail</t>
  </si>
  <si>
    <t>三七互娱</t>
  </si>
  <si>
    <t>游戏</t>
  </si>
  <si>
    <t>www.lixinger.com/analytics/company/sz/002555/2555/detail</t>
  </si>
  <si>
    <t>长虹美菱</t>
  </si>
  <si>
    <t>www.lixinger.com/analytics/company/sz/000521/521/detail</t>
  </si>
  <si>
    <t>新疆天业</t>
  </si>
  <si>
    <t>www.lixinger.com/analytics/company/sh/600075/600075/detail</t>
  </si>
  <si>
    <t>际华集团</t>
  </si>
  <si>
    <t>www.lixinger.com/analytics/company/sh/601718/601718/detail</t>
  </si>
  <si>
    <t>ST金正</t>
  </si>
  <si>
    <t>www.lixinger.com/analytics/company/sz/002470/2470/detail</t>
  </si>
  <si>
    <t>裕同科技</t>
  </si>
  <si>
    <t>纸包装</t>
  </si>
  <si>
    <t>www.lixinger.com/analytics/company/sz/002831/2831/detail</t>
  </si>
  <si>
    <t>合兴包装</t>
  </si>
  <si>
    <t>www.lixinger.com/analytics/company/sz/002228/2228/detail</t>
  </si>
  <si>
    <t>通富微电</t>
  </si>
  <si>
    <t>www.lixinger.com/analytics/company/sz/002156/2156/detail</t>
  </si>
  <si>
    <t>辽宁成大</t>
  </si>
  <si>
    <t>www.lixinger.com/analytics/company/sh/600739/600739/detail</t>
  </si>
  <si>
    <t>省广集团</t>
  </si>
  <si>
    <t>www.lixinger.com/analytics/company/sz/002400/2400/detail</t>
  </si>
  <si>
    <t>浙富控股</t>
  </si>
  <si>
    <t>固废治理</t>
  </si>
  <si>
    <t>www.lixinger.com/analytics/company/sz/002266/2266/detail</t>
  </si>
  <si>
    <t>菜百股份</t>
  </si>
  <si>
    <t>www.lixinger.com/analytics/company/sh/605599/605599/detail</t>
  </si>
  <si>
    <t>公牛集团</t>
  </si>
  <si>
    <t>其他家居用品</t>
  </si>
  <si>
    <t>www.lixinger.com/analytics/company/sh/603195/603195/detail</t>
  </si>
  <si>
    <t>外服控股</t>
  </si>
  <si>
    <t>公交</t>
  </si>
  <si>
    <t>www.lixinger.com/analytics/company/sh/600662/600662/detail</t>
  </si>
  <si>
    <t>重庆啤酒</t>
  </si>
  <si>
    <t>www.lixinger.com/analytics/company/sh/600132/600132/detail</t>
  </si>
  <si>
    <t>圣农发展</t>
  </si>
  <si>
    <t>肉鸡养殖</t>
  </si>
  <si>
    <t>www.lixinger.com/analytics/company/sz/002299/2299/detail</t>
  </si>
  <si>
    <t>柳药股份</t>
  </si>
  <si>
    <t>www.lixinger.com/analytics/company/sh/603368/603368/detail</t>
  </si>
  <si>
    <t>起帆电缆</t>
  </si>
  <si>
    <t>www.lixinger.com/analytics/company/sh/605222/605222/detail</t>
  </si>
  <si>
    <t>京沪高铁</t>
  </si>
  <si>
    <t>www.lixinger.com/analytics/company/sh/601816/601816/detail</t>
  </si>
  <si>
    <t>华扬联众</t>
  </si>
  <si>
    <t>www.lixinger.com/analytics/company/sh/603825/603825/detail</t>
  </si>
  <si>
    <t>我爱我家</t>
  </si>
  <si>
    <t>房产租赁经纪</t>
  </si>
  <si>
    <t>www.lixinger.com/analytics/company/sz/000560/560/detail</t>
  </si>
  <si>
    <t>玲珑轮胎</t>
  </si>
  <si>
    <t>www.lixinger.com/analytics/company/sh/601966/601966/detail</t>
  </si>
  <si>
    <t>长盈精密</t>
  </si>
  <si>
    <t>www.lixinger.com/analytics/company/sz/300115/300115/detail</t>
  </si>
  <si>
    <t>云图控股</t>
  </si>
  <si>
    <t>www.lixinger.com/analytics/company/sz/002539/2539/detail</t>
  </si>
  <si>
    <t>森马服饰</t>
  </si>
  <si>
    <t>www.lixinger.com/analytics/company/sz/002563/2563/detail</t>
  </si>
  <si>
    <t>晋控煤业</t>
  </si>
  <si>
    <t>www.lixinger.com/analytics/company/sh/601001/601001/detail</t>
  </si>
  <si>
    <t>深科技</t>
  </si>
  <si>
    <t>www.lixinger.com/analytics/company/sz/000021/21/detail</t>
  </si>
  <si>
    <t>美锦能源</t>
  </si>
  <si>
    <t>www.lixinger.com/analytics/company/sz/000723/723/detail</t>
  </si>
  <si>
    <t>老百姓</t>
  </si>
  <si>
    <t>www.lixinger.com/analytics/company/sh/603883/603883/detail</t>
  </si>
  <si>
    <t>合力泰</t>
  </si>
  <si>
    <t>www.lixinger.com/analytics/company/sz/002217/2217/detail</t>
  </si>
  <si>
    <t>南玻Ｂ</t>
  </si>
  <si>
    <t>www.lixinger.com/analytics/company/sz/200012/200012/detail</t>
  </si>
  <si>
    <t>有研新材</t>
  </si>
  <si>
    <t>www.lixinger.com/analytics/company/sh/600206/600206/detail</t>
  </si>
  <si>
    <t>联络互动</t>
  </si>
  <si>
    <t>跨境电商</t>
  </si>
  <si>
    <t>www.lixinger.com/analytics/company/sz/002280/2280/detail</t>
  </si>
  <si>
    <t>神马股份</t>
  </si>
  <si>
    <t>锦纶</t>
  </si>
  <si>
    <t>www.lixinger.com/analytics/company/sh/600810/600810/detail</t>
  </si>
  <si>
    <t>新和成</t>
  </si>
  <si>
    <t>原料药</t>
  </si>
  <si>
    <t>www.lixinger.com/analytics/company/sz/002001/2001/detail</t>
  </si>
  <si>
    <t>分众传媒</t>
  </si>
  <si>
    <t>广告媒体</t>
  </si>
  <si>
    <t>www.lixinger.com/analytics/company/sz/002027/2027/detail</t>
  </si>
  <si>
    <t>现代投资</t>
  </si>
  <si>
    <t>高速公路</t>
  </si>
  <si>
    <t>www.lixinger.com/analytics/company/sz/000900/900/detail</t>
  </si>
  <si>
    <t>新集能源</t>
  </si>
  <si>
    <t>www.lixinger.com/analytics/company/sh/601918/601918/detail</t>
  </si>
  <si>
    <t>招商港口</t>
  </si>
  <si>
    <t>www.lixinger.com/analytics/company/sz/001872/1872/detail</t>
  </si>
  <si>
    <t>步步高</t>
  </si>
  <si>
    <t>www.lixinger.com/analytics/company/sz/002251/2251/detail</t>
  </si>
  <si>
    <t>北新建材</t>
  </si>
  <si>
    <t>其他建材</t>
  </si>
  <si>
    <t>www.lixinger.com/analytics/company/sz/000786/786/detail</t>
  </si>
  <si>
    <t>中环股份</t>
  </si>
  <si>
    <t>www.lixinger.com/analytics/company/sz/002129/2129/detail</t>
  </si>
  <si>
    <t>威孚高科</t>
  </si>
  <si>
    <t>www.lixinger.com/analytics/company/sz/000581/581/detail</t>
  </si>
  <si>
    <t>合肥百货</t>
  </si>
  <si>
    <t>www.lixinger.com/analytics/company/sz/000417/417/detail</t>
  </si>
  <si>
    <t>扬农化工</t>
  </si>
  <si>
    <t>www.lixinger.com/analytics/company/sh/600486/600486/detail</t>
  </si>
  <si>
    <t>良品铺子</t>
  </si>
  <si>
    <t>零食</t>
  </si>
  <si>
    <t>www.lixinger.com/analytics/company/sh/603719/603719/detail</t>
  </si>
  <si>
    <t>深南电路</t>
  </si>
  <si>
    <t>www.lixinger.com/analytics/company/sz/002916/2916/detail</t>
  </si>
  <si>
    <t>天地科技</t>
  </si>
  <si>
    <t>www.lixinger.com/analytics/company/sh/600582/600582/detail</t>
  </si>
  <si>
    <t>北方铜业</t>
  </si>
  <si>
    <t>无机盐</t>
  </si>
  <si>
    <t>www.lixinger.com/analytics/company/sz/000737/737/detail</t>
  </si>
  <si>
    <t>海立股份</t>
  </si>
  <si>
    <t>www.lixinger.com/analytics/company/sh/600619/600619/detail</t>
  </si>
  <si>
    <t>顺博合金</t>
  </si>
  <si>
    <t>www.lixinger.com/analytics/company/sz/002996/2996/detail</t>
  </si>
  <si>
    <t>京粮控股</t>
  </si>
  <si>
    <t>www.lixinger.com/analytics/company/sz/000505/505/detail</t>
  </si>
  <si>
    <t>亚泰集团</t>
  </si>
  <si>
    <t>综合</t>
  </si>
  <si>
    <t>www.lixinger.com/analytics/company/sh/600881/600881/detail</t>
  </si>
  <si>
    <t>天健集团</t>
  </si>
  <si>
    <t>www.lixinger.com/analytics/company/sz/000090/90/detail</t>
  </si>
  <si>
    <t>东风汽车</t>
  </si>
  <si>
    <t>www.lixinger.com/analytics/company/sh/600006/600006/detail</t>
  </si>
  <si>
    <t>安迪苏</t>
  </si>
  <si>
    <t>食品及饲料添加剂</t>
  </si>
  <si>
    <t>www.lixinger.com/analytics/company/sh/600299/600299/detail</t>
  </si>
  <si>
    <t>新宝股份</t>
  </si>
  <si>
    <t>www.lixinger.com/analytics/company/sz/002705/2705/detail</t>
  </si>
  <si>
    <t>周大生</t>
  </si>
  <si>
    <t>www.lixinger.com/analytics/company/sz/002867/2867/detail</t>
  </si>
  <si>
    <t>步长制药</t>
  </si>
  <si>
    <t>www.lixinger.com/analytics/company/sh/603858/603858/detail</t>
  </si>
  <si>
    <t>博汇纸业</t>
  </si>
  <si>
    <t>www.lixinger.com/analytics/company/sh/600966/600966/detail</t>
  </si>
  <si>
    <t>软通动力</t>
  </si>
  <si>
    <t>www.lixinger.com/analytics/company/sz/301236/301236/detail</t>
  </si>
  <si>
    <t>一心堂</t>
  </si>
  <si>
    <t>www.lixinger.com/analytics/company/sz/002727/2727/detail</t>
  </si>
  <si>
    <t>ST安泰</t>
  </si>
  <si>
    <t>www.lixinger.com/analytics/company/sh/600408/600408/detail</t>
  </si>
  <si>
    <t>移远通信</t>
  </si>
  <si>
    <t>www.lixinger.com/analytics/company/sh/603236/603236/detail</t>
  </si>
  <si>
    <t>燕京啤酒</t>
  </si>
  <si>
    <t>www.lixinger.com/analytics/company/sz/000729/729/detail</t>
  </si>
  <si>
    <t>安井食品</t>
  </si>
  <si>
    <t>预加工食品</t>
  </si>
  <si>
    <t>www.lixinger.com/analytics/company/sh/603345/603345/detail</t>
  </si>
  <si>
    <t>星网锐捷</t>
  </si>
  <si>
    <t>www.lixinger.com/analytics/company/sz/002396/2396/detail</t>
  </si>
  <si>
    <t>恒源煤电</t>
  </si>
  <si>
    <t>www.lixinger.com/analytics/company/sh/600971/600971/detail</t>
  </si>
  <si>
    <t>山西焦化</t>
  </si>
  <si>
    <t>www.lixinger.com/analytics/company/sh/600740/600740/detail</t>
  </si>
  <si>
    <t>中鼎股份</t>
  </si>
  <si>
    <t>其他汽车零部件</t>
  </si>
  <si>
    <t>www.lixinger.com/analytics/company/sz/000887/887/detail</t>
  </si>
  <si>
    <t>东方集团</t>
  </si>
  <si>
    <t>www.lixinger.com/analytics/company/sh/600811/600811/detail</t>
  </si>
  <si>
    <t>华致酒行</t>
  </si>
  <si>
    <t>www.lixinger.com/analytics/company/sz/300755/300755/detail</t>
  </si>
  <si>
    <t>南都电源</t>
  </si>
  <si>
    <t>www.lixinger.com/analytics/company/sz/300068/300068/detail</t>
  </si>
  <si>
    <t>史丹利</t>
  </si>
  <si>
    <t>www.lixinger.com/analytics/company/sz/002588/2588/detail</t>
  </si>
  <si>
    <t>中创物流</t>
  </si>
  <si>
    <t>www.lixinger.com/analytics/company/sh/603967/603967/detail</t>
  </si>
  <si>
    <t>海南橡胶</t>
  </si>
  <si>
    <t>其他种植业</t>
  </si>
  <si>
    <t>www.lixinger.com/analytics/company/sh/601118/601118/detail</t>
  </si>
  <si>
    <t>世茂股份</t>
  </si>
  <si>
    <t>www.lixinger.com/analytics/company/sh/600823/600823/detail</t>
  </si>
  <si>
    <t>丽珠集团</t>
  </si>
  <si>
    <t>www.lixinger.com/analytics/company/sz/000513/513/detail</t>
  </si>
  <si>
    <t>山东高速</t>
  </si>
  <si>
    <t>www.lixinger.com/analytics/company/sh/600350/600350/detail</t>
  </si>
  <si>
    <t>国恩股份</t>
  </si>
  <si>
    <t>www.lixinger.com/analytics/company/sz/002768/2768/detail</t>
  </si>
  <si>
    <t>诚志股份</t>
  </si>
  <si>
    <t>www.lixinger.com/analytics/company/sz/000990/990/detail</t>
  </si>
  <si>
    <t>奥瑞金</t>
  </si>
  <si>
    <t>金属包装</t>
  </si>
  <si>
    <t>www.lixinger.com/analytics/company/sz/002701/2701/detail</t>
  </si>
  <si>
    <t>利群股份</t>
  </si>
  <si>
    <t>www.lixinger.com/analytics/company/sh/601366/601366/detail</t>
  </si>
  <si>
    <t>汇川技术</t>
  </si>
  <si>
    <t>工控设备</t>
  </si>
  <si>
    <t>www.lixinger.com/analytics/company/sz/300124/300124/detail</t>
  </si>
  <si>
    <t>万丰奥威</t>
  </si>
  <si>
    <t>www.lixinger.com/analytics/company/sz/002085/2085/detail</t>
  </si>
  <si>
    <t>陕天然气</t>
  </si>
  <si>
    <t>www.lixinger.com/analytics/company/sz/002267/2267/detail</t>
  </si>
  <si>
    <t>益客食品</t>
  </si>
  <si>
    <t>www.lixinger.com/analytics/company/sz/301116/301116/detail</t>
  </si>
  <si>
    <t>中国西电</t>
  </si>
  <si>
    <t>www.lixinger.com/analytics/company/sh/601179/601179/detail</t>
  </si>
  <si>
    <t>香农芯创</t>
  </si>
  <si>
    <t>www.lixinger.com/analytics/company/sz/300475/300475/detail</t>
  </si>
  <si>
    <t>海程邦达</t>
  </si>
  <si>
    <t>www.lixinger.com/analytics/company/sh/603836/603836/detail</t>
  </si>
  <si>
    <t>哈药股份</t>
  </si>
  <si>
    <t>www.lixinger.com/analytics/company/sh/600664/600664/detail</t>
  </si>
  <si>
    <t>浦东建设</t>
  </si>
  <si>
    <t>www.lixinger.com/analytics/company/sh/600284/600284/detail</t>
  </si>
  <si>
    <t>*ST华源</t>
  </si>
  <si>
    <t>www.lixinger.com/analytics/company/sh/600726/600726/detail</t>
  </si>
  <si>
    <t>佛燃能源</t>
  </si>
  <si>
    <t>www.lixinger.com/analytics/company/sz/002911/2911/detail</t>
  </si>
  <si>
    <t>九阳股份</t>
  </si>
  <si>
    <t>www.lixinger.com/analytics/company/sz/002242/2242/detail</t>
  </si>
  <si>
    <t>鹏都农牧</t>
  </si>
  <si>
    <t>其他养殖</t>
  </si>
  <si>
    <t>www.lixinger.com/analytics/company/sz/002505/2505/detail</t>
  </si>
  <si>
    <t>华银电力</t>
  </si>
  <si>
    <t>www.lixinger.com/analytics/company/sh/600744/600744/detail</t>
  </si>
  <si>
    <t>华邦健康</t>
  </si>
  <si>
    <t>www.lixinger.com/analytics/company/sz/002004/2004/detail</t>
  </si>
  <si>
    <t>居然之家</t>
  </si>
  <si>
    <t>www.lixinger.com/analytics/company/sz/000785/785/detail</t>
  </si>
  <si>
    <t>天康生物</t>
  </si>
  <si>
    <t>www.lixinger.com/analytics/company/sz/002100/2100/detail</t>
  </si>
  <si>
    <t>三只松鼠</t>
  </si>
  <si>
    <t>www.lixinger.com/analytics/company/sz/300783/300783/detail</t>
  </si>
  <si>
    <t>中谷物流</t>
  </si>
  <si>
    <t>www.lixinger.com/analytics/company/sh/603565/603565/detail</t>
  </si>
  <si>
    <t>陕西黑猫</t>
  </si>
  <si>
    <t>www.lixinger.com/analytics/company/sh/601015/601015/detail</t>
  </si>
  <si>
    <t>世纪华通</t>
  </si>
  <si>
    <t>www.lixinger.com/analytics/company/sz/002602/2602/detail</t>
  </si>
  <si>
    <t>亚厦股份</t>
  </si>
  <si>
    <t>www.lixinger.com/analytics/company/sz/002375/2375/detail</t>
  </si>
  <si>
    <t>时代新材</t>
  </si>
  <si>
    <t>风电零部件</t>
  </si>
  <si>
    <t>www.lixinger.com/analytics/company/sh/600458/600458/detail</t>
  </si>
  <si>
    <t>东南网架</t>
  </si>
  <si>
    <t>www.lixinger.com/analytics/company/sz/002135/2135/detail</t>
  </si>
  <si>
    <t>华联综超</t>
  </si>
  <si>
    <t>www.lixinger.com/analytics/company/sh/600361/600361/detail</t>
  </si>
  <si>
    <t>广州港</t>
  </si>
  <si>
    <t>www.lixinger.com/analytics/company/sh/601228/601228/detail</t>
  </si>
  <si>
    <t>华能水电</t>
  </si>
  <si>
    <t>www.lixinger.com/analytics/company/sh/600025/600025/detail</t>
  </si>
  <si>
    <t>德赛西威</t>
  </si>
  <si>
    <t>www.lixinger.com/analytics/company/sz/002920/2920/detail</t>
  </si>
  <si>
    <t>吉电股份</t>
  </si>
  <si>
    <t>www.lixinger.com/analytics/company/sz/000875/875/detail</t>
  </si>
  <si>
    <t>创维数字</t>
  </si>
  <si>
    <t>其他黑色家电</t>
  </si>
  <si>
    <t>www.lixinger.com/analytics/company/sz/000810/810/detail</t>
  </si>
  <si>
    <t>安琪酵母</t>
  </si>
  <si>
    <t>www.lixinger.com/analytics/company/sh/600298/600298/detail</t>
  </si>
  <si>
    <t>中国一重</t>
  </si>
  <si>
    <t>www.lixinger.com/analytics/company/sh/601106/601106/detail</t>
  </si>
  <si>
    <t>中远海能</t>
  </si>
  <si>
    <t>www.lixinger.com/analytics/company/sh/600026/600026/detail</t>
  </si>
  <si>
    <t>明阳智能</t>
  </si>
  <si>
    <t>www.lixinger.com/analytics/company/sh/601615/601615/detail</t>
  </si>
  <si>
    <t>巨星科技</t>
  </si>
  <si>
    <t>其他通用设备</t>
  </si>
  <si>
    <t>www.lixinger.com/analytics/company/sz/002444/2444/detail</t>
  </si>
  <si>
    <t>ST冠福</t>
  </si>
  <si>
    <t>www.lixinger.com/analytics/company/sz/002102/2102/detail</t>
  </si>
  <si>
    <t>亿利洁能</t>
  </si>
  <si>
    <t>www.lixinger.com/analytics/company/sh/600277/600277/detail</t>
  </si>
  <si>
    <t>安克创新</t>
  </si>
  <si>
    <t>www.lixinger.com/analytics/company/sz/300866/300866/detail</t>
  </si>
  <si>
    <t>凤凰传媒</t>
  </si>
  <si>
    <t>教育出版</t>
  </si>
  <si>
    <t>www.lixinger.com/analytics/company/sh/601928/601928/detail</t>
  </si>
  <si>
    <t>南玻Ａ</t>
  </si>
  <si>
    <t>玻璃制造</t>
  </si>
  <si>
    <t>www.lixinger.com/analytics/company/sz/000012/12/detail</t>
  </si>
  <si>
    <t>安徽合力</t>
  </si>
  <si>
    <t>www.lixinger.com/analytics/company/sh/600761/600761/detail</t>
  </si>
  <si>
    <t>凌云股份</t>
  </si>
  <si>
    <t>www.lixinger.com/analytics/company/sh/600480/600480/detail</t>
  </si>
  <si>
    <t>顺鑫农业</t>
  </si>
  <si>
    <t>www.lixinger.com/analytics/company/sz/000860/860/detail</t>
  </si>
  <si>
    <t>粤水电</t>
  </si>
  <si>
    <t>www.lixinger.com/analytics/company/sz/002060/2060/detail</t>
  </si>
  <si>
    <t>太极集团</t>
  </si>
  <si>
    <t>www.lixinger.com/analytics/company/sh/600129/600129/detail</t>
  </si>
  <si>
    <t>骆驼股份</t>
  </si>
  <si>
    <t>www.lixinger.com/analytics/company/sh/601311/601311/detail</t>
  </si>
  <si>
    <t>三峡能源</t>
  </si>
  <si>
    <t>www.lixinger.com/analytics/company/sh/600905/600905/detail</t>
  </si>
  <si>
    <t>海正药业</t>
  </si>
  <si>
    <t>www.lixinger.com/analytics/company/sh/600267/600267/detail</t>
  </si>
  <si>
    <t>维业股份</t>
  </si>
  <si>
    <t>www.lixinger.com/analytics/company/sz/300621/300621/detail</t>
  </si>
  <si>
    <t>隆鑫通用</t>
  </si>
  <si>
    <t>摩托车</t>
  </si>
  <si>
    <t>www.lixinger.com/analytics/company/sh/603766/603766/detail</t>
  </si>
  <si>
    <t>赞宇科技</t>
  </si>
  <si>
    <t>www.lixinger.com/analytics/company/sz/002637/2637/detail</t>
  </si>
  <si>
    <t>ST海越</t>
  </si>
  <si>
    <t>www.lixinger.com/analytics/company/sh/600387/600387/detail</t>
  </si>
  <si>
    <t>先导智能</t>
  </si>
  <si>
    <t>锂电专用设备</t>
  </si>
  <si>
    <t>www.lixinger.com/analytics/company/sz/300450/300450/detail</t>
  </si>
  <si>
    <t>广深铁路</t>
  </si>
  <si>
    <t>www.lixinger.com/analytics/company/sh/601333/601333/detail</t>
  </si>
  <si>
    <t>彩虹股份</t>
  </si>
  <si>
    <t>www.lixinger.com/analytics/company/sh/600707/600707/detail</t>
  </si>
  <si>
    <t>申达股份</t>
  </si>
  <si>
    <t>www.lixinger.com/analytics/company/sh/600626/600626/detail</t>
  </si>
  <si>
    <t>万年青</t>
  </si>
  <si>
    <t>www.lixinger.com/analytics/company/sz/000789/789/detail</t>
  </si>
  <si>
    <t>兰花科创</t>
  </si>
  <si>
    <t>www.lixinger.com/analytics/company/sh/600123/600123/detail</t>
  </si>
  <si>
    <t>同济科技</t>
  </si>
  <si>
    <t>www.lixinger.com/analytics/company/sh/600846/600846/detail</t>
  </si>
  <si>
    <t>广百股份</t>
  </si>
  <si>
    <t>www.lixinger.com/analytics/company/sz/002187/2187/detail</t>
  </si>
  <si>
    <t>金融街</t>
  </si>
  <si>
    <t>www.lixinger.com/analytics/company/sz/000402/402/detail</t>
  </si>
  <si>
    <t>福然德</t>
  </si>
  <si>
    <t>www.lixinger.com/analytics/company/sh/605050/605050/detail</t>
  </si>
  <si>
    <t>红旗连锁</t>
  </si>
  <si>
    <t>www.lixinger.com/analytics/company/sz/002697/2697/detail</t>
  </si>
  <si>
    <t>卧龙电驱</t>
  </si>
  <si>
    <t>电机</t>
  </si>
  <si>
    <t>www.lixinger.com/analytics/company/sh/600580/600580/detail</t>
  </si>
  <si>
    <t>迪安诊断</t>
  </si>
  <si>
    <t>诊断服务</t>
  </si>
  <si>
    <t>www.lixinger.com/analytics/company/sz/300244/300244/detail</t>
  </si>
  <si>
    <t>深粮B</t>
  </si>
  <si>
    <t>www.lixinger.com/analytics/company/sz/200019/200019/detail</t>
  </si>
  <si>
    <t>三六零</t>
  </si>
  <si>
    <t>www.lixinger.com/analytics/company/sh/601360/601360/detail</t>
  </si>
  <si>
    <t>大族激光</t>
  </si>
  <si>
    <t>激光设备</t>
  </si>
  <si>
    <t>www.lixinger.com/analytics/company/sz/002008/2008/detail</t>
  </si>
  <si>
    <t>东阳光</t>
  </si>
  <si>
    <t>www.lixinger.com/analytics/company/sh/600673/600673/detail</t>
  </si>
  <si>
    <t>东湖高新</t>
  </si>
  <si>
    <t>www.lixinger.com/analytics/company/sh/600133/600133/detail</t>
  </si>
  <si>
    <t>诺德股份</t>
  </si>
  <si>
    <t>www.lixinger.com/analytics/company/sh/600110/600110/detail</t>
  </si>
  <si>
    <t>泰达股份</t>
  </si>
  <si>
    <t>www.lixinger.com/analytics/company/sz/000652/652/detail</t>
  </si>
  <si>
    <t>杭州解百</t>
  </si>
  <si>
    <t>www.lixinger.com/analytics/company/sh/600814/600814/detail</t>
  </si>
  <si>
    <t>吉祥航空</t>
  </si>
  <si>
    <t>www.lixinger.com/analytics/company/sh/603885/603885/detail</t>
  </si>
  <si>
    <t>福斯特</t>
  </si>
  <si>
    <t>光伏辅材</t>
  </si>
  <si>
    <t>www.lixinger.com/analytics/company/sh/603806/603806/detail</t>
  </si>
  <si>
    <t>协鑫能科</t>
  </si>
  <si>
    <t>www.lixinger.com/analytics/company/sz/002015/2015/detail</t>
  </si>
  <si>
    <t>国药现代</t>
  </si>
  <si>
    <t>www.lixinger.com/analytics/company/sh/600420/600420/detail</t>
  </si>
  <si>
    <t>华天科技</t>
  </si>
  <si>
    <t>www.lixinger.com/analytics/company/sz/002185/2185/detail</t>
  </si>
  <si>
    <t>美凯龙</t>
  </si>
  <si>
    <t>www.lixinger.com/analytics/company/sh/601828/601828/detail</t>
  </si>
  <si>
    <t>东方园林</t>
  </si>
  <si>
    <t>园林工程</t>
  </si>
  <si>
    <t>www.lixinger.com/analytics/company/sz/002310/2310/detail</t>
  </si>
  <si>
    <t>博威合金</t>
  </si>
  <si>
    <t>其他金属新材料</t>
  </si>
  <si>
    <t>www.lixinger.com/analytics/company/sh/601137/601137/detail</t>
  </si>
  <si>
    <t>中际旭创</t>
  </si>
  <si>
    <t>www.lixinger.com/analytics/company/sz/300308/300308/detail</t>
  </si>
  <si>
    <t>立华股份</t>
  </si>
  <si>
    <t>www.lixinger.com/analytics/company/sz/300761/300761/detail</t>
  </si>
  <si>
    <t>长春高新</t>
  </si>
  <si>
    <t>其他生物制品</t>
  </si>
  <si>
    <t>www.lixinger.com/analytics/company/sz/000661/661/detail</t>
  </si>
  <si>
    <t>雅戈尔</t>
  </si>
  <si>
    <t>www.lixinger.com/analytics/company/sh/600177/600177/detail</t>
  </si>
  <si>
    <t>乐普医疗</t>
  </si>
  <si>
    <t>医疗耗材</t>
  </si>
  <si>
    <t>www.lixinger.com/analytics/company/sz/300003/300003/detail</t>
  </si>
  <si>
    <t>齐心集团</t>
  </si>
  <si>
    <t>www.lixinger.com/analytics/company/sz/002301/2301/detail</t>
  </si>
  <si>
    <t>浙江永强</t>
  </si>
  <si>
    <t>www.lixinger.com/analytics/company/sz/002489/2489/detail</t>
  </si>
  <si>
    <t>中南传媒</t>
  </si>
  <si>
    <t>www.lixinger.com/analytics/company/sh/601098/601098/detail</t>
  </si>
  <si>
    <t>中材科技</t>
  </si>
  <si>
    <t>www.lixinger.com/analytics/company/sz/002080/2080/detail</t>
  </si>
  <si>
    <t>太平鸟</t>
  </si>
  <si>
    <t>www.lixinger.com/analytics/company/sh/603877/603877/detail</t>
  </si>
  <si>
    <t>航发动力</t>
  </si>
  <si>
    <t>航空装备</t>
  </si>
  <si>
    <t>www.lixinger.com/analytics/company/sh/600893/600893/detail</t>
  </si>
  <si>
    <t>同兴达</t>
  </si>
  <si>
    <t>www.lixinger.com/analytics/company/sz/002845/2845/detail</t>
  </si>
  <si>
    <t>珠海冠宇</t>
  </si>
  <si>
    <t>www.lixinger.com/analytics/company/sh/688772/688772/detail</t>
  </si>
  <si>
    <t>润丰股份</t>
  </si>
  <si>
    <t>www.lixinger.com/analytics/company/sz/301035/301035/detail</t>
  </si>
  <si>
    <t>铁龙物流</t>
  </si>
  <si>
    <t>www.lixinger.com/analytics/company/sh/600125/600125/detail</t>
  </si>
  <si>
    <t>金杯电工</t>
  </si>
  <si>
    <t>www.lixinger.com/analytics/company/sz/002533/2533/detail</t>
  </si>
  <si>
    <t>*ST山航B</t>
  </si>
  <si>
    <t>www.lixinger.com/analytics/company/sz/200152/200152/detail</t>
  </si>
  <si>
    <t>中盐化工</t>
  </si>
  <si>
    <t>www.lixinger.com/analytics/company/sh/600328/600328/detail</t>
  </si>
  <si>
    <t>宝新能源</t>
  </si>
  <si>
    <t>www.lixinger.com/analytics/company/sz/000690/690/detail</t>
  </si>
  <si>
    <t>宁波能源</t>
  </si>
  <si>
    <t>www.lixinger.com/analytics/company/sh/600982/600982/detail</t>
  </si>
  <si>
    <t>中航光电</t>
  </si>
  <si>
    <t>军工电子</t>
  </si>
  <si>
    <t>www.lixinger.com/analytics/company/sz/002179/2179/detail</t>
  </si>
  <si>
    <t>济川药业</t>
  </si>
  <si>
    <t>www.lixinger.com/analytics/company/sh/600566/600566/detail</t>
  </si>
  <si>
    <t>宝信软件</t>
  </si>
  <si>
    <t>www.lixinger.com/analytics/company/sh/600845/600845/detail</t>
  </si>
  <si>
    <t>康冠科技</t>
  </si>
  <si>
    <t>www.lixinger.com/analytics/company/sz/001308/1308/detail</t>
  </si>
  <si>
    <t>宏发股份</t>
  </si>
  <si>
    <t>www.lixinger.com/analytics/company/sh/600885/600885/detail</t>
  </si>
  <si>
    <t>公元股份</t>
  </si>
  <si>
    <t>管材</t>
  </si>
  <si>
    <t>www.lixinger.com/analytics/company/sz/002641/2641/detail</t>
  </si>
  <si>
    <t>三棵树</t>
  </si>
  <si>
    <t>涂料</t>
  </si>
  <si>
    <t>www.lixinger.com/analytics/company/sh/603737/603737/detail</t>
  </si>
  <si>
    <t>景旺电子</t>
  </si>
  <si>
    <t>www.lixinger.com/analytics/company/sh/603228/603228/detail</t>
  </si>
  <si>
    <t>大名城</t>
  </si>
  <si>
    <t>www.lixinger.com/analytics/company/sh/600094/600094/detail</t>
  </si>
  <si>
    <t>天龙集团</t>
  </si>
  <si>
    <t>www.lixinger.com/analytics/company/sz/300063/300063/detail</t>
  </si>
  <si>
    <t>今世缘</t>
  </si>
  <si>
    <t>www.lixinger.com/analytics/company/sh/603369/603369/detail</t>
  </si>
  <si>
    <t>宏润建设</t>
  </si>
  <si>
    <t>www.lixinger.com/analytics/company/sz/002062/2062/detail</t>
  </si>
  <si>
    <t>达安基因</t>
  </si>
  <si>
    <t>www.lixinger.com/analytics/company/sz/002030/2030/detail</t>
  </si>
  <si>
    <t>大洋电机</t>
  </si>
  <si>
    <t>www.lixinger.com/analytics/company/sz/002249/2249/detail</t>
  </si>
  <si>
    <t>紫江企业</t>
  </si>
  <si>
    <t>塑料包装</t>
  </si>
  <si>
    <t>www.lixinger.com/analytics/company/sh/600210/600210/detail</t>
  </si>
  <si>
    <t>春秋航空</t>
  </si>
  <si>
    <t>www.lixinger.com/analytics/company/sh/601021/601021/detail</t>
  </si>
  <si>
    <t>中钢国际</t>
  </si>
  <si>
    <t>www.lixinger.com/analytics/company/sz/000928/928/detail</t>
  </si>
  <si>
    <t>厦钨新能</t>
  </si>
  <si>
    <t>www.lixinger.com/analytics/company/sh/688778/688778/detail</t>
  </si>
  <si>
    <t>太阳电缆</t>
  </si>
  <si>
    <t>www.lixinger.com/analytics/company/sz/002300/2300/detail</t>
  </si>
  <si>
    <t>上海能源</t>
  </si>
  <si>
    <t>www.lixinger.com/analytics/company/sh/600508/600508/detail</t>
  </si>
  <si>
    <t>密尔克卫</t>
  </si>
  <si>
    <t>www.lixinger.com/analytics/company/sh/603713/603713/detail</t>
  </si>
  <si>
    <t>龙宇燃油</t>
  </si>
  <si>
    <t>www.lixinger.com/analytics/company/sh/603003/603003/detail</t>
  </si>
  <si>
    <t>宁沪高速</t>
  </si>
  <si>
    <t>www.lixinger.com/analytics/company/sh/600377/600377/detail</t>
  </si>
  <si>
    <t>桂冠电力</t>
  </si>
  <si>
    <t>www.lixinger.com/analytics/company/sh/600236/600236/detail</t>
  </si>
  <si>
    <t>克劳斯</t>
  </si>
  <si>
    <t>其他专用设备</t>
  </si>
  <si>
    <t>www.lixinger.com/analytics/company/sh/600579/600579/detail</t>
  </si>
  <si>
    <t>以岭药业</t>
  </si>
  <si>
    <t>www.lixinger.com/analytics/company/sz/002603/2603/detail</t>
  </si>
  <si>
    <t>华润微</t>
  </si>
  <si>
    <t>集成电路制造</t>
  </si>
  <si>
    <t>www.lixinger.com/analytics/company/sh/688396/688396/detail</t>
  </si>
  <si>
    <t>航民股份</t>
  </si>
  <si>
    <t>www.lixinger.com/analytics/company/sh/600987/600987/detail</t>
  </si>
  <si>
    <t>金域医学</t>
  </si>
  <si>
    <t>www.lixinger.com/analytics/company/sh/603882/603882/detail</t>
  </si>
  <si>
    <t>稳健医疗</t>
  </si>
  <si>
    <t>生活用纸</t>
  </si>
  <si>
    <t>www.lixinger.com/analytics/company/sz/300888/300888/detail</t>
  </si>
  <si>
    <t>一拖股份</t>
  </si>
  <si>
    <t>农用机械</t>
  </si>
  <si>
    <t>www.lixinger.com/analytics/company/sh/601038/601038/detail</t>
  </si>
  <si>
    <t>华宏科技</t>
  </si>
  <si>
    <t>环保设备</t>
  </si>
  <si>
    <t>www.lixinger.com/analytics/company/sz/002645/2645/detail</t>
  </si>
  <si>
    <t>三安光电</t>
  </si>
  <si>
    <t>www.lixinger.com/analytics/company/sh/600703/600703/detail</t>
  </si>
  <si>
    <t>三维通信</t>
  </si>
  <si>
    <t>通信工程及服务</t>
  </si>
  <si>
    <t>www.lixinger.com/analytics/company/sz/002115/2115/detail</t>
  </si>
  <si>
    <t>永兴材料</t>
  </si>
  <si>
    <t>www.lixinger.com/analytics/company/sz/002756/2756/detail</t>
  </si>
  <si>
    <t>北元集团</t>
  </si>
  <si>
    <t>www.lixinger.com/analytics/company/sh/601568/601568/detail</t>
  </si>
  <si>
    <t>新乳业</t>
  </si>
  <si>
    <t>www.lixinger.com/analytics/company/sz/002946/2946/detail</t>
  </si>
  <si>
    <t>锦州港</t>
  </si>
  <si>
    <t>www.lixinger.com/analytics/company/sh/600190/600190/detail</t>
  </si>
  <si>
    <t>中远海特</t>
  </si>
  <si>
    <t>www.lixinger.com/analytics/company/sh/600428/600428/detail</t>
  </si>
  <si>
    <t>陕鼓动力</t>
  </si>
  <si>
    <t>www.lixinger.com/analytics/company/sh/601369/601369/detail</t>
  </si>
  <si>
    <t>天津港</t>
  </si>
  <si>
    <t>www.lixinger.com/analytics/company/sh/600717/600717/detail</t>
  </si>
  <si>
    <t>天赐材料</t>
  </si>
  <si>
    <t>www.lixinger.com/analytics/company/sz/002709/2709/detail</t>
  </si>
  <si>
    <t>华润材料</t>
  </si>
  <si>
    <t>www.lixinger.com/analytics/company/sz/301090/301090/detail</t>
  </si>
  <si>
    <t>伊泰Ｂ股</t>
  </si>
  <si>
    <t>www.lixinger.com/analytics/company/sh/900948/900948/detail</t>
  </si>
  <si>
    <t>孩子王</t>
  </si>
  <si>
    <t>www.lixinger.com/analytics/company/sz/301078/301078/detail</t>
  </si>
  <si>
    <t>新华文轩</t>
  </si>
  <si>
    <t>www.lixinger.com/analytics/company/sh/601811/601811/detail</t>
  </si>
  <si>
    <t>国轩高科</t>
  </si>
  <si>
    <t>www.lixinger.com/analytics/company/sz/002074/2074/detail</t>
  </si>
  <si>
    <t>完美世界</t>
  </si>
  <si>
    <t>www.lixinger.com/analytics/company/sz/002624/2624/detail</t>
  </si>
  <si>
    <t>力源信息</t>
  </si>
  <si>
    <t>www.lixinger.com/analytics/company/sz/300184/300184/detail</t>
  </si>
  <si>
    <t>老板电器</t>
  </si>
  <si>
    <t>厨房电器</t>
  </si>
  <si>
    <t>www.lixinger.com/analytics/company/sz/002508/2508/detail</t>
  </si>
  <si>
    <t>兆易创新</t>
  </si>
  <si>
    <t>www.lixinger.com/analytics/company/sh/603986/603986/detail</t>
  </si>
  <si>
    <t>中利集团</t>
  </si>
  <si>
    <t>www.lixinger.com/analytics/company/sz/002309/2309/detail</t>
  </si>
  <si>
    <t>新华医疗</t>
  </si>
  <si>
    <t>www.lixinger.com/analytics/company/sh/600587/600587/detail</t>
  </si>
  <si>
    <t>芒果超媒</t>
  </si>
  <si>
    <t>视频媒体</t>
  </si>
  <si>
    <t>www.lixinger.com/analytics/company/sz/300413/300413/detail</t>
  </si>
  <si>
    <t>科锐国际</t>
  </si>
  <si>
    <t>人力资源服务</t>
  </si>
  <si>
    <t>www.lixinger.com/analytics/company/sz/300662/300662/detail</t>
  </si>
  <si>
    <t>南山控股</t>
  </si>
  <si>
    <t>www.lixinger.com/analytics/company/sz/002314/2314/detail</t>
  </si>
  <si>
    <t>联化科技</t>
  </si>
  <si>
    <t>www.lixinger.com/analytics/company/sz/002250/2250/detail</t>
  </si>
  <si>
    <t>重庆燃气</t>
  </si>
  <si>
    <t>www.lixinger.com/analytics/company/sh/600917/600917/detail</t>
  </si>
  <si>
    <t>龙建股份</t>
  </si>
  <si>
    <t>www.lixinger.com/analytics/company/sh/600853/600853/detail</t>
  </si>
  <si>
    <t>皖新传媒</t>
  </si>
  <si>
    <t>大众出版</t>
  </si>
  <si>
    <t>www.lixinger.com/analytics/company/sh/601801/601801/detail</t>
  </si>
  <si>
    <t>常山北明</t>
  </si>
  <si>
    <t>www.lixinger.com/analytics/company/sz/000158/158/detail</t>
  </si>
  <si>
    <t>东鹏饮料</t>
  </si>
  <si>
    <t>软饮料</t>
  </si>
  <si>
    <t>www.lixinger.com/analytics/company/sh/605499/605499/detail</t>
  </si>
  <si>
    <t>科达制造</t>
  </si>
  <si>
    <t>www.lixinger.com/analytics/company/sh/600499/600499/detail</t>
  </si>
  <si>
    <t>富奥股份</t>
  </si>
  <si>
    <t>www.lixinger.com/analytics/company/sz/000030/30/detail</t>
  </si>
  <si>
    <t>运达股份</t>
  </si>
  <si>
    <t>www.lixinger.com/analytics/company/sz/300772/300772/detail</t>
  </si>
  <si>
    <t>赣粤高速</t>
  </si>
  <si>
    <t>www.lixinger.com/analytics/company/sh/600269/600269/detail</t>
  </si>
  <si>
    <t>中科曙光</t>
  </si>
  <si>
    <t>www.lixinger.com/analytics/company/sh/603019/603019/detail</t>
  </si>
  <si>
    <t>深粮控股</t>
  </si>
  <si>
    <t>www.lixinger.com/analytics/company/sz/000019/19/detail</t>
  </si>
  <si>
    <t>多氟多</t>
  </si>
  <si>
    <t>www.lixinger.com/analytics/company/sz/002407/2407/detail</t>
  </si>
  <si>
    <t>中文传媒</t>
  </si>
  <si>
    <t>www.lixinger.com/analytics/company/sh/600373/600373/detail</t>
  </si>
  <si>
    <t>长飞光纤</t>
  </si>
  <si>
    <t>www.lixinger.com/analytics/company/sh/601869/601869/detail</t>
  </si>
  <si>
    <t>新宙邦</t>
  </si>
  <si>
    <t>www.lixinger.com/analytics/company/sz/300037/300037/detail</t>
  </si>
  <si>
    <t>粤照明Ｂ</t>
  </si>
  <si>
    <t>www.lixinger.com/analytics/company/sz/200541/200541/detail</t>
  </si>
  <si>
    <t>大众公用</t>
  </si>
  <si>
    <t>www.lixinger.com/analytics/company/sh/600635/600635/detail</t>
  </si>
  <si>
    <t>通宝能源</t>
  </si>
  <si>
    <t>www.lixinger.com/analytics/company/sh/600780/600780/detail</t>
  </si>
  <si>
    <t>星宇股份</t>
  </si>
  <si>
    <t>www.lixinger.com/analytics/company/sh/601799/601799/detail</t>
  </si>
  <si>
    <t>中公教育</t>
  </si>
  <si>
    <t>培训教育</t>
  </si>
  <si>
    <t>www.lixinger.com/analytics/company/sz/002607/2607/detail</t>
  </si>
  <si>
    <t>招商积余</t>
  </si>
  <si>
    <t>物业管理</t>
  </si>
  <si>
    <t>www.lixinger.com/analytics/company/sz/001914/1914/detail</t>
  </si>
  <si>
    <t>银泰黄金</t>
  </si>
  <si>
    <t>www.lixinger.com/analytics/company/sz/000975/975/detail</t>
  </si>
  <si>
    <t>长虹华意</t>
  </si>
  <si>
    <t>www.lixinger.com/analytics/company/sz/000404/404/detail</t>
  </si>
  <si>
    <t>蔚蓝锂芯</t>
  </si>
  <si>
    <t>www.lixinger.com/analytics/company/sz/002245/2245/detail</t>
  </si>
  <si>
    <t>大有能源</t>
  </si>
  <si>
    <t>www.lixinger.com/analytics/company/sh/600403/600403/detail</t>
  </si>
  <si>
    <t>华工科技</t>
  </si>
  <si>
    <t>www.lixinger.com/analytics/company/sz/000988/988/detail</t>
  </si>
  <si>
    <t>苏垦农发</t>
  </si>
  <si>
    <t>www.lixinger.com/analytics/company/sh/601952/601952/detail</t>
  </si>
  <si>
    <t>华达新材</t>
  </si>
  <si>
    <t>www.lixinger.com/analytics/company/sh/605158/605158/detail</t>
  </si>
  <si>
    <t>维远股份</t>
  </si>
  <si>
    <t>其他化学原料</t>
  </si>
  <si>
    <t>www.lixinger.com/analytics/company/sh/600955/600955/detail</t>
  </si>
  <si>
    <t>许继电气</t>
  </si>
  <si>
    <t>www.lixinger.com/analytics/company/sz/000400/400/detail</t>
  </si>
  <si>
    <t>上海家化</t>
  </si>
  <si>
    <t>品牌化妆品</t>
  </si>
  <si>
    <t>www.lixinger.com/analytics/company/sh/600315/600315/detail</t>
  </si>
  <si>
    <t>新华百货</t>
  </si>
  <si>
    <t>www.lixinger.com/analytics/company/sh/600785/600785/detail</t>
  </si>
  <si>
    <t>锦江酒店</t>
  </si>
  <si>
    <t>酒店</t>
  </si>
  <si>
    <t>www.lixinger.com/analytics/company/sh/600754/600754/detail</t>
  </si>
  <si>
    <t>浙版传媒</t>
  </si>
  <si>
    <t>www.lixinger.com/analytics/company/sh/601921/601921/detail</t>
  </si>
  <si>
    <t>杭叉集团</t>
  </si>
  <si>
    <t>www.lixinger.com/analytics/company/sh/603298/603298/detail</t>
  </si>
  <si>
    <t>ST奥马</t>
  </si>
  <si>
    <t>www.lixinger.com/analytics/company/sz/002668/2668/detail</t>
  </si>
  <si>
    <t>盈峰环境</t>
  </si>
  <si>
    <t>www.lixinger.com/analytics/company/sz/000967/967/detail</t>
  </si>
  <si>
    <t>中工国际</t>
  </si>
  <si>
    <t>www.lixinger.com/analytics/company/sz/002051/2051/detail</t>
  </si>
  <si>
    <t>九号公司</t>
  </si>
  <si>
    <t>www.lixinger.com/analytics/company/sh/689009/689009/detail</t>
  </si>
  <si>
    <t>华润双鹤</t>
  </si>
  <si>
    <t>www.lixinger.com/analytics/company/sh/600062/600062/detail</t>
  </si>
  <si>
    <t>攀钢钒钛</t>
  </si>
  <si>
    <t>www.lixinger.com/analytics/company/sz/000629/629/detail</t>
  </si>
  <si>
    <t>越秀金控</t>
  </si>
  <si>
    <t>www.lixinger.com/analytics/company/sz/000987/987/detail</t>
  </si>
  <si>
    <t>茂化实华</t>
  </si>
  <si>
    <t>www.lixinger.com/analytics/company/sz/000637/637/detail</t>
  </si>
  <si>
    <t>天地源</t>
  </si>
  <si>
    <t>www.lixinger.com/analytics/company/sh/600665/600665/detail</t>
  </si>
  <si>
    <t>辽港股份</t>
  </si>
  <si>
    <t>www.lixinger.com/analytics/company/sh/601880/601880/detail</t>
  </si>
  <si>
    <t>川发龙蟒</t>
  </si>
  <si>
    <t>www.lixinger.com/analytics/company/sz/002312/2312/detail</t>
  </si>
  <si>
    <t>广宇集团</t>
  </si>
  <si>
    <t>www.lixinger.com/analytics/company/sz/002133/2133/detail</t>
  </si>
  <si>
    <t>中国武夷</t>
  </si>
  <si>
    <t>www.lixinger.com/analytics/company/sz/000797/797/detail</t>
  </si>
  <si>
    <t>福能股份</t>
  </si>
  <si>
    <t>www.lixinger.com/analytics/company/sh/600483/600483/detail</t>
  </si>
  <si>
    <t>贵州轮胎</t>
  </si>
  <si>
    <t>www.lixinger.com/analytics/company/sz/000589/589/detail</t>
  </si>
  <si>
    <t>皖维高新</t>
  </si>
  <si>
    <t>其他化学纤维</t>
  </si>
  <si>
    <t>www.lixinger.com/analytics/company/sh/600063/600063/detail</t>
  </si>
  <si>
    <t>东华软件</t>
  </si>
  <si>
    <t>www.lixinger.com/analytics/company/sz/002065/2065/detail</t>
  </si>
  <si>
    <t>中华企业</t>
  </si>
  <si>
    <t>www.lixinger.com/analytics/company/sh/600675/600675/detail</t>
  </si>
  <si>
    <t>三元股份</t>
  </si>
  <si>
    <t>www.lixinger.com/analytics/company/sh/600429/600429/detail</t>
  </si>
  <si>
    <t>春风动力</t>
  </si>
  <si>
    <t>www.lixinger.com/analytics/company/sh/603129/603129/detail</t>
  </si>
  <si>
    <t>盘江股份</t>
  </si>
  <si>
    <t>www.lixinger.com/analytics/company/sh/600395/600395/detail</t>
  </si>
  <si>
    <t>江山股份</t>
  </si>
  <si>
    <t>www.lixinger.com/analytics/company/sh/600389/600389/detail</t>
  </si>
  <si>
    <t>和邦生物</t>
  </si>
  <si>
    <t>纯碱</t>
  </si>
  <si>
    <t>www.lixinger.com/analytics/company/sh/603077/603077/detail</t>
  </si>
  <si>
    <t>冠城大通</t>
  </si>
  <si>
    <t>www.lixinger.com/analytics/company/sh/600067/600067/detail</t>
  </si>
  <si>
    <t>云海金属</t>
  </si>
  <si>
    <t>www.lixinger.com/analytics/company/sz/002182/2182/detail</t>
  </si>
  <si>
    <t>索菲亚</t>
  </si>
  <si>
    <t>www.lixinger.com/analytics/company/sz/002572/2572/detail</t>
  </si>
  <si>
    <t>雅化集团</t>
  </si>
  <si>
    <t>民爆制品</t>
  </si>
  <si>
    <t>www.lixinger.com/analytics/company/sz/002497/2497/detail</t>
  </si>
  <si>
    <t>拓邦股份</t>
  </si>
  <si>
    <t>www.lixinger.com/analytics/company/sz/002139/2139/detail</t>
  </si>
  <si>
    <t>莱克电气</t>
  </si>
  <si>
    <t>www.lixinger.com/analytics/company/sh/603355/603355/detail</t>
  </si>
  <si>
    <t>北新路桥</t>
  </si>
  <si>
    <t>www.lixinger.com/analytics/company/sz/002307/2307/detail</t>
  </si>
  <si>
    <t>茂业商业</t>
  </si>
  <si>
    <t>www.lixinger.com/analytics/company/sh/600828/600828/detail</t>
  </si>
  <si>
    <t>当升科技</t>
  </si>
  <si>
    <t>www.lixinger.com/analytics/company/sz/300073/300073/detail</t>
  </si>
  <si>
    <t>万马股份</t>
  </si>
  <si>
    <t>www.lixinger.com/analytics/company/sz/002276/2276/detail</t>
  </si>
  <si>
    <t>片仔癀</t>
  </si>
  <si>
    <t>www.lixinger.com/analytics/company/sh/600436/600436/detail</t>
  </si>
  <si>
    <t>飞力达</t>
  </si>
  <si>
    <t>www.lixinger.com/analytics/company/sz/300240/300240/detail</t>
  </si>
  <si>
    <t>信维通信</t>
  </si>
  <si>
    <t>www.lixinger.com/analytics/company/sz/300136/300136/detail</t>
  </si>
  <si>
    <t>联泓新科</t>
  </si>
  <si>
    <t>www.lixinger.com/analytics/company/sz/003022/3022/detail</t>
  </si>
  <si>
    <t>西陇科学</t>
  </si>
  <si>
    <t>电子化学品</t>
  </si>
  <si>
    <t>www.lixinger.com/analytics/company/sz/002584/2584/detail</t>
  </si>
  <si>
    <t>冠农股份</t>
  </si>
  <si>
    <t>果蔬加工</t>
  </si>
  <si>
    <t>www.lixinger.com/analytics/company/sh/600251/600251/detail</t>
  </si>
  <si>
    <t>北方华创</t>
  </si>
  <si>
    <t>半导体设备</t>
  </si>
  <si>
    <t>www.lixinger.com/analytics/company/sz/002371/2371/detail</t>
  </si>
  <si>
    <t>康龙化成</t>
  </si>
  <si>
    <t>www.lixinger.com/analytics/company/sz/300759/300759/detail</t>
  </si>
  <si>
    <t>三全食品</t>
  </si>
  <si>
    <t>www.lixinger.com/analytics/company/sz/002216/2216/detail</t>
  </si>
  <si>
    <t>上海物贸</t>
  </si>
  <si>
    <t>www.lixinger.com/analytics/company/sh/600822/600822/detail</t>
  </si>
  <si>
    <t>中农立华</t>
  </si>
  <si>
    <t>www.lixinger.com/analytics/company/sh/603970/603970/detail</t>
  </si>
  <si>
    <t>共进股份</t>
  </si>
  <si>
    <t>www.lixinger.com/analytics/company/sh/603118/603118/detail</t>
  </si>
  <si>
    <t>远兴能源</t>
  </si>
  <si>
    <t>www.lixinger.com/analytics/company/sz/000683/683/detail</t>
  </si>
  <si>
    <t>安源煤业</t>
  </si>
  <si>
    <t>www.lixinger.com/analytics/company/sh/600397/600397/detail</t>
  </si>
  <si>
    <t>昊华能源</t>
  </si>
  <si>
    <t>www.lixinger.com/analytics/company/sh/601101/601101/detail</t>
  </si>
  <si>
    <t>银座股份</t>
  </si>
  <si>
    <t>www.lixinger.com/analytics/company/sh/600858/600858/detail</t>
  </si>
  <si>
    <t>润达医疗</t>
  </si>
  <si>
    <t>www.lixinger.com/analytics/company/sh/603108/603108/detail</t>
  </si>
  <si>
    <t>三峡水利</t>
  </si>
  <si>
    <t>www.lixinger.com/analytics/company/sh/600116/600116/detail</t>
  </si>
  <si>
    <t>怡球资源</t>
  </si>
  <si>
    <t>www.lixinger.com/analytics/company/sh/601388/601388/detail</t>
  </si>
  <si>
    <t>旗滨集团</t>
  </si>
  <si>
    <t>www.lixinger.com/analytics/company/sh/601636/601636/detail</t>
  </si>
  <si>
    <t>杭萧钢构</t>
  </si>
  <si>
    <t>www.lixinger.com/analytics/company/sh/600477/600477/detail</t>
  </si>
  <si>
    <t>金山股份</t>
  </si>
  <si>
    <t>www.lixinger.com/analytics/company/sh/600396/600396/detail</t>
  </si>
  <si>
    <t>华光环能</t>
  </si>
  <si>
    <t>www.lixinger.com/analytics/company/sh/600475/600475/detail</t>
  </si>
  <si>
    <t>亚普股份</t>
  </si>
  <si>
    <t>www.lixinger.com/analytics/company/sh/603013/603013/detail</t>
  </si>
  <si>
    <t>恩捷股份</t>
  </si>
  <si>
    <t>www.lixinger.com/analytics/company/sz/002812/2812/detail</t>
  </si>
  <si>
    <t>天华超净</t>
  </si>
  <si>
    <t>www.lixinger.com/analytics/company/sz/300390/300390/detail</t>
  </si>
  <si>
    <t>百隆东方</t>
  </si>
  <si>
    <t>www.lixinger.com/analytics/company/sh/601339/601339/detail</t>
  </si>
  <si>
    <t>莱宝高科</t>
  </si>
  <si>
    <t>www.lixinger.com/analytics/company/sz/002106/2106/detail</t>
  </si>
  <si>
    <t>长城科技</t>
  </si>
  <si>
    <t>www.lixinger.com/analytics/company/sh/603897/603897/detail</t>
  </si>
  <si>
    <t>模塑科技</t>
  </si>
  <si>
    <t>www.lixinger.com/analytics/company/sz/000700/700/detail</t>
  </si>
  <si>
    <t>华北制药</t>
  </si>
  <si>
    <t>www.lixinger.com/analytics/company/sh/600812/600812/detail</t>
  </si>
  <si>
    <t>新疆众和</t>
  </si>
  <si>
    <t>www.lixinger.com/analytics/company/sh/600888/600888/detail</t>
  </si>
  <si>
    <t>瀚蓝环境</t>
  </si>
  <si>
    <t>www.lixinger.com/analytics/company/sh/600323/600323/detail</t>
  </si>
  <si>
    <t>中顺洁柔</t>
  </si>
  <si>
    <t>www.lixinger.com/analytics/company/sz/002511/2511/detail</t>
  </si>
  <si>
    <t>泸天化</t>
  </si>
  <si>
    <t>www.lixinger.com/analytics/company/sz/000912/912/detail</t>
  </si>
  <si>
    <t>三木集团</t>
  </si>
  <si>
    <t>www.lixinger.com/analytics/company/sz/000632/632/detail</t>
  </si>
  <si>
    <t>中广核技</t>
  </si>
  <si>
    <t>www.lixinger.com/analytics/company/sz/000881/881/detail</t>
  </si>
  <si>
    <t>特锐德</t>
  </si>
  <si>
    <t>www.lixinger.com/analytics/company/sz/300001/300001/detail</t>
  </si>
  <si>
    <t>澳柯玛</t>
  </si>
  <si>
    <t>www.lixinger.com/analytics/company/sh/600336/600336/detail</t>
  </si>
  <si>
    <t>安通控股</t>
  </si>
  <si>
    <t>www.lixinger.com/analytics/company/sh/600179/600179/detail</t>
  </si>
  <si>
    <t>腾达建设</t>
  </si>
  <si>
    <t>www.lixinger.com/analytics/company/sh/600512/600512/detail</t>
  </si>
  <si>
    <t>英科医疗</t>
  </si>
  <si>
    <t>www.lixinger.com/analytics/company/sz/300677/300677/detail</t>
  </si>
  <si>
    <t>利亚德</t>
  </si>
  <si>
    <t>www.lixinger.com/analytics/company/sz/300296/300296/detail</t>
  </si>
  <si>
    <t>人民同泰</t>
  </si>
  <si>
    <t>www.lixinger.com/analytics/company/sh/600829/600829/detail</t>
  </si>
  <si>
    <t>梦百合</t>
  </si>
  <si>
    <t>www.lixinger.com/analytics/company/sh/603313/603313/detail</t>
  </si>
  <si>
    <t>浙江医药</t>
  </si>
  <si>
    <t>www.lixinger.com/analytics/company/sh/600216/600216/detail</t>
  </si>
  <si>
    <t>南京新百</t>
  </si>
  <si>
    <t>www.lixinger.com/analytics/company/sh/600682/600682/detail</t>
  </si>
  <si>
    <t>小商品城</t>
  </si>
  <si>
    <t>www.lixinger.com/analytics/company/sh/600415/600415/detail</t>
  </si>
  <si>
    <t>璞泰来</t>
  </si>
  <si>
    <t>www.lixinger.com/analytics/company/sh/603659/603659/detail</t>
  </si>
  <si>
    <t>东北制药</t>
  </si>
  <si>
    <t>www.lixinger.com/analytics/company/sz/000597/597/detail</t>
  </si>
  <si>
    <t>大连重工</t>
  </si>
  <si>
    <t>www.lixinger.com/analytics/company/sz/002204/2204/detail</t>
  </si>
  <si>
    <t>沪电股份</t>
  </si>
  <si>
    <t>www.lixinger.com/analytics/company/sz/002463/2463/detail</t>
  </si>
  <si>
    <t>思源电气</t>
  </si>
  <si>
    <t>www.lixinger.com/analytics/company/sz/002028/2028/detail</t>
  </si>
  <si>
    <t>新华都</t>
  </si>
  <si>
    <t>www.lixinger.com/analytics/company/sz/002264/2264/detail</t>
  </si>
  <si>
    <t>奥泰生物</t>
  </si>
  <si>
    <t>www.lixinger.com/analytics/company/sh/688606/688606/detail</t>
  </si>
  <si>
    <t>千方科技</t>
  </si>
  <si>
    <t>www.lixinger.com/analytics/company/sz/002373/2373/detail</t>
  </si>
  <si>
    <t>嘉化能源</t>
  </si>
  <si>
    <t>www.lixinger.com/analytics/company/sh/600273/600273/detail</t>
  </si>
  <si>
    <t>中央商场</t>
  </si>
  <si>
    <t>www.lixinger.com/analytics/company/sh/600280/600280/detail</t>
  </si>
  <si>
    <t>神州信息</t>
  </si>
  <si>
    <t>www.lixinger.com/analytics/company/sz/000555/555/detail</t>
  </si>
  <si>
    <t>恒立液压</t>
  </si>
  <si>
    <t>工程机械器件</t>
  </si>
  <si>
    <t>www.lixinger.com/analytics/company/sh/601100/601100/detail</t>
  </si>
  <si>
    <t>航天机电</t>
  </si>
  <si>
    <t>www.lixinger.com/analytics/company/sh/600151/600151/detail</t>
  </si>
  <si>
    <t>天士力</t>
  </si>
  <si>
    <t>www.lixinger.com/analytics/company/sh/600535/600535/detail</t>
  </si>
  <si>
    <t>四川成渝</t>
  </si>
  <si>
    <t>www.lixinger.com/analytics/company/sh/601107/601107/detail</t>
  </si>
  <si>
    <t>中铁特货</t>
  </si>
  <si>
    <t>www.lixinger.com/analytics/company/sz/001213/1213/detail</t>
  </si>
  <si>
    <t>东风科技</t>
  </si>
  <si>
    <t>www.lixinger.com/analytics/company/sh/600081/600081/detail</t>
  </si>
  <si>
    <t>众源新材</t>
  </si>
  <si>
    <t>www.lixinger.com/analytics/company/sh/603527/603527/detail</t>
  </si>
  <si>
    <t>招商公路</t>
  </si>
  <si>
    <t>www.lixinger.com/analytics/company/sz/001965/1965/detail</t>
  </si>
  <si>
    <t>昆药集团</t>
  </si>
  <si>
    <t>www.lixinger.com/analytics/company/sh/600422/600422/detail</t>
  </si>
  <si>
    <t>贵州燃气</t>
  </si>
  <si>
    <t>www.lixinger.com/analytics/company/sh/600903/600903/detail</t>
  </si>
  <si>
    <t>天富能源</t>
  </si>
  <si>
    <t>www.lixinger.com/analytics/company/sh/600509/600509/detail</t>
  </si>
  <si>
    <t>华统股份</t>
  </si>
  <si>
    <t>www.lixinger.com/analytics/company/sz/002840/2840/detail</t>
  </si>
  <si>
    <t>华数传媒</t>
  </si>
  <si>
    <t>电视广播</t>
  </si>
  <si>
    <t>www.lixinger.com/analytics/company/sz/000156/156/detail</t>
  </si>
  <si>
    <t>红日药业</t>
  </si>
  <si>
    <t>www.lixinger.com/analytics/company/sz/300026/300026/detail</t>
  </si>
  <si>
    <t>宗申动力</t>
  </si>
  <si>
    <t>www.lixinger.com/analytics/company/sz/001696/1696/detail</t>
  </si>
  <si>
    <t>江苏索普</t>
  </si>
  <si>
    <t>www.lixinger.com/analytics/company/sh/600746/600746/detail</t>
  </si>
  <si>
    <t>中信重工</t>
  </si>
  <si>
    <t>www.lixinger.com/analytics/company/sh/601608/601608/detail</t>
  </si>
  <si>
    <t>宋都股份</t>
  </si>
  <si>
    <t>www.lixinger.com/analytics/company/sh/600077/600077/detail</t>
  </si>
  <si>
    <t>绝味食品</t>
  </si>
  <si>
    <t>熟食</t>
  </si>
  <si>
    <t>www.lixinger.com/analytics/company/sh/603517/603517/detail</t>
  </si>
  <si>
    <t>汉缆股份</t>
  </si>
  <si>
    <t>www.lixinger.com/analytics/company/sz/002498/2498/detail</t>
  </si>
  <si>
    <t>众业达</t>
  </si>
  <si>
    <t>www.lixinger.com/analytics/company/sz/002441/2441/detail</t>
  </si>
  <si>
    <t>玉龙股份</t>
  </si>
  <si>
    <t>www.lixinger.com/analytics/company/sh/601028/601028/detail</t>
  </si>
  <si>
    <t>北汽蓝谷</t>
  </si>
  <si>
    <t>www.lixinger.com/analytics/company/sh/600733/600733/detail</t>
  </si>
  <si>
    <t>苏盐井神</t>
  </si>
  <si>
    <t>www.lixinger.com/analytics/company/sh/603299/603299/detail</t>
  </si>
  <si>
    <t>华海药业</t>
  </si>
  <si>
    <t>www.lixinger.com/analytics/company/sh/600521/600521/detail</t>
  </si>
  <si>
    <t>铁建重工</t>
  </si>
  <si>
    <t>www.lixinger.com/analytics/company/sh/688425/688425/detail</t>
  </si>
  <si>
    <t>南方传媒</t>
  </si>
  <si>
    <t>www.lixinger.com/analytics/company/sh/601900/601900/detail</t>
  </si>
  <si>
    <t>凯莱英</t>
  </si>
  <si>
    <t>www.lixinger.com/analytics/company/sz/002821/2821/detail</t>
  </si>
  <si>
    <t>金健米业</t>
  </si>
  <si>
    <t>www.lixinger.com/analytics/company/sh/600127/600127/detail</t>
  </si>
  <si>
    <t>鲁商发展</t>
  </si>
  <si>
    <t>www.lixinger.com/analytics/company/sh/600223/600223/detail</t>
  </si>
  <si>
    <t>双星新材</t>
  </si>
  <si>
    <t>膜材料</t>
  </si>
  <si>
    <t>www.lixinger.com/analytics/company/sz/002585/2585/detail</t>
  </si>
  <si>
    <t>东方明珠</t>
  </si>
  <si>
    <t>www.lixinger.com/analytics/company/sh/600637/600637/detail</t>
  </si>
  <si>
    <t>福星股份</t>
  </si>
  <si>
    <t>www.lixinger.com/analytics/company/sz/000926/926/detail</t>
  </si>
  <si>
    <t>交运股份</t>
  </si>
  <si>
    <t>www.lixinger.com/analytics/company/sh/600676/600676/detail</t>
  </si>
  <si>
    <t>南京公用</t>
  </si>
  <si>
    <t>www.lixinger.com/analytics/company/sz/000421/421/detail</t>
  </si>
  <si>
    <t>焦作万方</t>
  </si>
  <si>
    <t>www.lixinger.com/analytics/company/sz/000612/612/detail</t>
  </si>
  <si>
    <t>京投发展</t>
  </si>
  <si>
    <t>www.lixinger.com/analytics/company/sh/600683/600683/detail</t>
  </si>
  <si>
    <t>佛山照明</t>
  </si>
  <si>
    <t>照明设备</t>
  </si>
  <si>
    <t>www.lixinger.com/analytics/company/sz/000541/541/detail</t>
  </si>
  <si>
    <t>北方国际</t>
  </si>
  <si>
    <t>www.lixinger.com/analytics/company/sz/000065/65/detail</t>
  </si>
  <si>
    <t>鲁泰Ｂ</t>
  </si>
  <si>
    <t>www.lixinger.com/analytics/company/sz/200726/200726/detail</t>
  </si>
  <si>
    <t>奥佳华</t>
  </si>
  <si>
    <t>其他家电</t>
  </si>
  <si>
    <t>www.lixinger.com/analytics/company/sz/002614/2614/detail</t>
  </si>
  <si>
    <t>舍得酒业</t>
  </si>
  <si>
    <t>www.lixinger.com/analytics/company/sh/600702/600702/detail</t>
  </si>
  <si>
    <t>高能环境</t>
  </si>
  <si>
    <t>www.lixinger.com/analytics/company/sh/603588/603588/detail</t>
  </si>
  <si>
    <t>中科三环</t>
  </si>
  <si>
    <t>www.lixinger.com/analytics/company/sz/000970/970/detail</t>
  </si>
  <si>
    <t>海普瑞</t>
  </si>
  <si>
    <t>www.lixinger.com/analytics/company/sz/002399/2399/detail</t>
  </si>
  <si>
    <t>皖天然气</t>
  </si>
  <si>
    <t>www.lixinger.com/analytics/company/sh/603689/603689/detail</t>
  </si>
  <si>
    <t>江苏有线</t>
  </si>
  <si>
    <t>www.lixinger.com/analytics/company/sh/600959/600959/detail</t>
  </si>
  <si>
    <t>晨光生物</t>
  </si>
  <si>
    <t>www.lixinger.com/analytics/company/sz/300138/300138/detail</t>
  </si>
  <si>
    <t>百洋医药</t>
  </si>
  <si>
    <t>www.lixinger.com/analytics/company/sz/301015/301015/detail</t>
  </si>
  <si>
    <t>唐山港</t>
  </si>
  <si>
    <t>www.lixinger.com/analytics/company/sh/601000/601000/detail</t>
  </si>
  <si>
    <t>六国化工</t>
  </si>
  <si>
    <t>www.lixinger.com/analytics/company/sh/600470/600470/detail</t>
  </si>
  <si>
    <t>滨化股份</t>
  </si>
  <si>
    <t>www.lixinger.com/analytics/company/sh/601678/601678/detail</t>
  </si>
  <si>
    <t>新大陆</t>
  </si>
  <si>
    <t>www.lixinger.com/analytics/company/sz/000997/997/detail</t>
  </si>
  <si>
    <t>中青旅</t>
  </si>
  <si>
    <t>人工景区</t>
  </si>
  <si>
    <t>www.lixinger.com/analytics/company/sh/600138/600138/detail</t>
  </si>
  <si>
    <t>申华控股</t>
  </si>
  <si>
    <t>www.lixinger.com/analytics/company/sh/600653/600653/detail</t>
  </si>
  <si>
    <t>航天电子</t>
  </si>
  <si>
    <t>航天装备</t>
  </si>
  <si>
    <t>www.lixinger.com/analytics/company/sh/600879/600879/detail</t>
  </si>
  <si>
    <t>宝钢包装</t>
  </si>
  <si>
    <t>www.lixinger.com/analytics/company/sh/601968/601968/detail</t>
  </si>
  <si>
    <t>泰格医药</t>
  </si>
  <si>
    <t>www.lixinger.com/analytics/company/sz/300347/300347/detail</t>
  </si>
  <si>
    <t>友阿股份</t>
  </si>
  <si>
    <t>www.lixinger.com/analytics/company/sz/002277/2277/detail</t>
  </si>
  <si>
    <t>洪城环境</t>
  </si>
  <si>
    <t>www.lixinger.com/analytics/company/sh/600461/600461/detail</t>
  </si>
  <si>
    <t>道氏技术</t>
  </si>
  <si>
    <t>www.lixinger.com/analytics/company/sz/300409/300409/detail</t>
  </si>
  <si>
    <t>岳阳林纸</t>
  </si>
  <si>
    <t>www.lixinger.com/analytics/company/sh/600963/600963/detail</t>
  </si>
  <si>
    <t>光弘科技</t>
  </si>
  <si>
    <t>www.lixinger.com/analytics/company/sz/300735/300735/detail</t>
  </si>
  <si>
    <t>汤臣倍健</t>
  </si>
  <si>
    <t>保健品</t>
  </si>
  <si>
    <t>www.lixinger.com/analytics/company/sz/300146/300146/detail</t>
  </si>
  <si>
    <t>东软集团</t>
  </si>
  <si>
    <t>www.lixinger.com/analytics/company/sh/600718/600718/detail</t>
  </si>
  <si>
    <t>东安动力</t>
  </si>
  <si>
    <t>www.lixinger.com/analytics/company/sh/600178/600178/detail</t>
  </si>
  <si>
    <t>光迅科技</t>
  </si>
  <si>
    <t>www.lixinger.com/analytics/company/sz/002281/2281/detail</t>
  </si>
  <si>
    <t>三环集团</t>
  </si>
  <si>
    <t>被动元件</t>
  </si>
  <si>
    <t>www.lixinger.com/analytics/company/sz/300408/300408/detail</t>
  </si>
  <si>
    <t>苏州高新</t>
  </si>
  <si>
    <t>www.lixinger.com/analytics/company/sh/600736/600736/detail</t>
  </si>
  <si>
    <t>平高电气</t>
  </si>
  <si>
    <t>www.lixinger.com/analytics/company/sh/600312/600312/detail</t>
  </si>
  <si>
    <t>德联集团</t>
  </si>
  <si>
    <t>www.lixinger.com/analytics/company/sz/002666/2666/detail</t>
  </si>
  <si>
    <t>华建集团</t>
  </si>
  <si>
    <t>工程咨询服务</t>
  </si>
  <si>
    <t>www.lixinger.com/analytics/company/sh/600629/600629/detail</t>
  </si>
  <si>
    <t>华远地产</t>
  </si>
  <si>
    <t>www.lixinger.com/analytics/company/sh/600743/600743/detail</t>
  </si>
  <si>
    <t>浦东金桥</t>
  </si>
  <si>
    <t>www.lixinger.com/analytics/company/sh/600639/600639/detail</t>
  </si>
  <si>
    <t>联创电子</t>
  </si>
  <si>
    <t>www.lixinger.com/analytics/company/sz/002036/2036/detail</t>
  </si>
  <si>
    <t>中新药业</t>
  </si>
  <si>
    <t>www.lixinger.com/analytics/company/sh/600329/600329/detail</t>
  </si>
  <si>
    <t>上峰水泥</t>
  </si>
  <si>
    <t>www.lixinger.com/analytics/company/sz/000672/672/detail</t>
  </si>
  <si>
    <t>陆家嘴</t>
  </si>
  <si>
    <t>www.lixinger.com/analytics/company/sh/600663/600663/detail</t>
  </si>
  <si>
    <t>胜宏科技</t>
  </si>
  <si>
    <t>www.lixinger.com/analytics/company/sz/300476/300476/detail</t>
  </si>
  <si>
    <t>兔宝宝</t>
  </si>
  <si>
    <t>www.lixinger.com/analytics/company/sz/002043/2043/detail</t>
  </si>
  <si>
    <t>海联金汇</t>
  </si>
  <si>
    <t>www.lixinger.com/analytics/company/sz/002537/2537/detail</t>
  </si>
  <si>
    <t>老白干酒</t>
  </si>
  <si>
    <t>www.lixinger.com/analytics/company/sh/600559/600559/detail</t>
  </si>
  <si>
    <t>华峰铝业</t>
  </si>
  <si>
    <t>www.lixinger.com/analytics/company/sh/601702/601702/detail</t>
  </si>
  <si>
    <t>日照港</t>
  </si>
  <si>
    <t>www.lixinger.com/analytics/company/sh/600017/600017/detail</t>
  </si>
  <si>
    <t>重庆水务</t>
  </si>
  <si>
    <t>www.lixinger.com/analytics/company/sh/601158/601158/detail</t>
  </si>
  <si>
    <t>杰瑞股份</t>
  </si>
  <si>
    <t>www.lixinger.com/analytics/company/sz/002353/2353/detail</t>
  </si>
  <si>
    <t>天邦股份</t>
  </si>
  <si>
    <t>www.lixinger.com/analytics/company/sz/002124/2124/detail</t>
  </si>
  <si>
    <t>银轮股份</t>
  </si>
  <si>
    <t>www.lixinger.com/analytics/company/sz/002126/2126/detail</t>
  </si>
  <si>
    <t>大亚圣象</t>
  </si>
  <si>
    <t>瓷砖地板</t>
  </si>
  <si>
    <t>www.lixinger.com/analytics/company/sz/000910/910/detail</t>
  </si>
  <si>
    <t>栖霞建设</t>
  </si>
  <si>
    <t>www.lixinger.com/analytics/company/sh/600533/600533/detail</t>
  </si>
  <si>
    <t>格科微</t>
  </si>
  <si>
    <t>www.lixinger.com/analytics/company/sh/688728/688728/detail</t>
  </si>
  <si>
    <t>成都燃气</t>
  </si>
  <si>
    <t>www.lixinger.com/analytics/company/sh/603053/603053/detail</t>
  </si>
  <si>
    <t>拉卡拉</t>
  </si>
  <si>
    <t>金融信息服务</t>
  </si>
  <si>
    <t>www.lixinger.com/analytics/company/sz/300773/300773/detail</t>
  </si>
  <si>
    <t>飞亚达Ｂ</t>
  </si>
  <si>
    <t>www.lixinger.com/analytics/company/sz/200026/200026/detail</t>
  </si>
  <si>
    <t>万润股份</t>
  </si>
  <si>
    <t>www.lixinger.com/analytics/company/sz/002643/2643/detail</t>
  </si>
  <si>
    <t>沈阳化工</t>
  </si>
  <si>
    <t>www.lixinger.com/analytics/company/sz/000698/698/detail</t>
  </si>
  <si>
    <t>金禾实业</t>
  </si>
  <si>
    <t>www.lixinger.com/analytics/company/sz/002597/2597/detail</t>
  </si>
  <si>
    <t>长信科技</t>
  </si>
  <si>
    <t>www.lixinger.com/analytics/company/sz/300088/300088/detail</t>
  </si>
  <si>
    <t>新潮能源</t>
  </si>
  <si>
    <t>油气开采</t>
  </si>
  <si>
    <t>www.lixinger.com/analytics/company/sh/600777/600777/detail</t>
  </si>
  <si>
    <t>桃李面包</t>
  </si>
  <si>
    <t>烘焙食品</t>
  </si>
  <si>
    <t>www.lixinger.com/analytics/company/sh/603866/603866/detail</t>
  </si>
  <si>
    <t>中粮资本</t>
  </si>
  <si>
    <t>www.lixinger.com/analytics/company/sz/002423/2423/detail</t>
  </si>
  <si>
    <t>冠豪高新</t>
  </si>
  <si>
    <t>特种纸</t>
  </si>
  <si>
    <t>www.lixinger.com/analytics/company/sh/600433/600433/detail</t>
  </si>
  <si>
    <t>寒锐钴业</t>
  </si>
  <si>
    <t>www.lixinger.com/analytics/company/sz/300618/300618/detail</t>
  </si>
  <si>
    <t>华昌化工</t>
  </si>
  <si>
    <t>www.lixinger.com/analytics/company/sz/002274/2274/detail</t>
  </si>
  <si>
    <t>安泰科技</t>
  </si>
  <si>
    <t>www.lixinger.com/analytics/company/sz/000969/969/detail</t>
  </si>
  <si>
    <t>抚顺特钢</t>
  </si>
  <si>
    <t>www.lixinger.com/analytics/company/sh/600399/600399/detail</t>
  </si>
  <si>
    <t>迎驾贡酒</t>
  </si>
  <si>
    <t>www.lixinger.com/analytics/company/sh/603198/603198/detail</t>
  </si>
  <si>
    <t>鱼跃医疗</t>
  </si>
  <si>
    <t>www.lixinger.com/analytics/company/sz/002223/2223/detail</t>
  </si>
  <si>
    <t>上海环境</t>
  </si>
  <si>
    <t>www.lixinger.com/analytics/company/sh/601200/601200/detail</t>
  </si>
  <si>
    <t>高新发展</t>
  </si>
  <si>
    <t>www.lixinger.com/analytics/company/sz/000628/628/detail</t>
  </si>
  <si>
    <t>汇嘉时代</t>
  </si>
  <si>
    <t>www.lixinger.com/analytics/company/sh/603101/603101/detail</t>
  </si>
  <si>
    <t>常铝股份</t>
  </si>
  <si>
    <t>www.lixinger.com/analytics/company/sz/002160/2160/detail</t>
  </si>
  <si>
    <t>利尔化学</t>
  </si>
  <si>
    <t>www.lixinger.com/analytics/company/sz/002258/2258/detail</t>
  </si>
  <si>
    <t>中航机电</t>
  </si>
  <si>
    <t>www.lixinger.com/analytics/company/sz/002013/2013/detail</t>
  </si>
  <si>
    <t>长江传媒</t>
  </si>
  <si>
    <t>www.lixinger.com/analytics/company/sh/600757/600757/detail</t>
  </si>
  <si>
    <t>上机数控</t>
  </si>
  <si>
    <t>光伏加工设备</t>
  </si>
  <si>
    <t>www.lixinger.com/analytics/company/sh/603185/603185/detail</t>
  </si>
  <si>
    <t>晶晨股份</t>
  </si>
  <si>
    <t>www.lixinger.com/analytics/company/sh/688099/688099/detail</t>
  </si>
  <si>
    <t>万泰生物</t>
  </si>
  <si>
    <t>www.lixinger.com/analytics/company/sh/603392/603392/detail</t>
  </si>
  <si>
    <t>罗莱生活</t>
  </si>
  <si>
    <t>家纺</t>
  </si>
  <si>
    <t>www.lixinger.com/analytics/company/sz/002293/2293/detail</t>
  </si>
  <si>
    <t>时代出版</t>
  </si>
  <si>
    <t>www.lixinger.com/analytics/company/sh/600551/600551/detail</t>
  </si>
  <si>
    <t>洽洽食品</t>
  </si>
  <si>
    <t>www.lixinger.com/analytics/company/sz/002557/2557/detail</t>
  </si>
  <si>
    <t>秦港股份</t>
  </si>
  <si>
    <t>www.lixinger.com/analytics/company/sh/601326/601326/detail</t>
  </si>
  <si>
    <t>龙洲股份</t>
  </si>
  <si>
    <t>www.lixinger.com/analytics/company/sz/002682/2682/detail</t>
  </si>
  <si>
    <t>信邦制药</t>
  </si>
  <si>
    <t>www.lixinger.com/analytics/company/sz/002390/2390/detail</t>
  </si>
  <si>
    <t>光环新网</t>
  </si>
  <si>
    <t>www.lixinger.com/analytics/company/sz/300383/300383/detail</t>
  </si>
  <si>
    <t>深高速</t>
  </si>
  <si>
    <t>www.lixinger.com/analytics/company/sh/600548/600548/detail</t>
  </si>
  <si>
    <t>藏格矿业</t>
  </si>
  <si>
    <t>www.lixinger.com/analytics/company/sz/000408/408/detail</t>
  </si>
  <si>
    <t>碧水源</t>
  </si>
  <si>
    <t>www.lixinger.com/analytics/company/sz/300070/300070/detail</t>
  </si>
  <si>
    <t>杭电股份</t>
  </si>
  <si>
    <t>www.lixinger.com/analytics/company/sh/603618/603618/detail</t>
  </si>
  <si>
    <t>西部建设</t>
  </si>
  <si>
    <t>水泥制品</t>
  </si>
  <si>
    <t>www.lixinger.com/analytics/company/sz/002302/2302/detail</t>
  </si>
  <si>
    <t>张裕Ｂ</t>
  </si>
  <si>
    <t>www.lixinger.com/analytics/company/sz/200869/200869/detail</t>
  </si>
  <si>
    <t>漱玉平民</t>
  </si>
  <si>
    <t>www.lixinger.com/analytics/company/sz/301017/301017/detail</t>
  </si>
  <si>
    <t>洲明科技</t>
  </si>
  <si>
    <t>www.lixinger.com/analytics/company/sz/300232/300232/detail</t>
  </si>
  <si>
    <t>三星医疗</t>
  </si>
  <si>
    <t>电工仪器仪表</t>
  </si>
  <si>
    <t>www.lixinger.com/analytics/company/sh/601567/601567/detail</t>
  </si>
  <si>
    <t>广东鸿图</t>
  </si>
  <si>
    <t>www.lixinger.com/analytics/company/sz/002101/2101/detail</t>
  </si>
  <si>
    <t>中钨高新</t>
  </si>
  <si>
    <t>www.lixinger.com/analytics/company/sz/000657/657/detail</t>
  </si>
  <si>
    <t>岭南股份</t>
  </si>
  <si>
    <t>www.lixinger.com/analytics/company/sz/002717/2717/detail</t>
  </si>
  <si>
    <t>广东宏大</t>
  </si>
  <si>
    <t>www.lixinger.com/analytics/company/sz/002683/2683/detail</t>
  </si>
  <si>
    <t>白云机场</t>
  </si>
  <si>
    <t>机场</t>
  </si>
  <si>
    <t>www.lixinger.com/analytics/company/sh/600004/600004/detail</t>
  </si>
  <si>
    <t>杰克股份</t>
  </si>
  <si>
    <t>纺织服装设备</t>
  </si>
  <si>
    <t>www.lixinger.com/analytics/company/sh/603337/603337/detail</t>
  </si>
  <si>
    <t>动力新科</t>
  </si>
  <si>
    <t>www.lixinger.com/analytics/company/sh/600841/600841/detail</t>
  </si>
  <si>
    <t>喜临门</t>
  </si>
  <si>
    <t>www.lixinger.com/analytics/company/sh/603008/603008/detail</t>
  </si>
  <si>
    <t>重庆港</t>
  </si>
  <si>
    <t>www.lixinger.com/analytics/company/sh/600279/600279/detail</t>
  </si>
  <si>
    <t>金洲管道</t>
  </si>
  <si>
    <t>www.lixinger.com/analytics/company/sz/002443/2443/detail</t>
  </si>
  <si>
    <t>欧普照明</t>
  </si>
  <si>
    <t>www.lixinger.com/analytics/company/sh/603515/603515/detail</t>
  </si>
  <si>
    <t>中原传媒</t>
  </si>
  <si>
    <t>www.lixinger.com/analytics/company/sz/000719/719/detail</t>
  </si>
  <si>
    <t>盾安环境</t>
  </si>
  <si>
    <t>www.lixinger.com/analytics/company/sz/002011/2011/detail</t>
  </si>
  <si>
    <t>金安国纪</t>
  </si>
  <si>
    <t>www.lixinger.com/analytics/company/sz/002636/2636/detail</t>
  </si>
  <si>
    <t>道道全</t>
  </si>
  <si>
    <t>www.lixinger.com/analytics/company/sz/002852/2852/detail</t>
  </si>
  <si>
    <t>江苏吴中</t>
  </si>
  <si>
    <t>www.lixinger.com/analytics/company/sh/600200/600200/detail</t>
  </si>
  <si>
    <t>景兴纸业</t>
  </si>
  <si>
    <t>www.lixinger.com/analytics/company/sz/002067/2067/detail</t>
  </si>
  <si>
    <t>美年健康</t>
  </si>
  <si>
    <t>www.lixinger.com/analytics/company/sz/002044/2044/detail</t>
  </si>
  <si>
    <t>万和电气</t>
  </si>
  <si>
    <t>卫浴电器</t>
  </si>
  <si>
    <t>www.lixinger.com/analytics/company/sz/002543/2543/detail</t>
  </si>
  <si>
    <t>卓郎智能</t>
  </si>
  <si>
    <t>www.lixinger.com/analytics/company/sh/600545/600545/detail</t>
  </si>
  <si>
    <t>三角轮胎</t>
  </si>
  <si>
    <t>www.lixinger.com/analytics/company/sh/601163/601163/detail</t>
  </si>
  <si>
    <t>软控股份</t>
  </si>
  <si>
    <t>www.lixinger.com/analytics/company/sz/002073/2073/detail</t>
  </si>
  <si>
    <t>京基智农</t>
  </si>
  <si>
    <t>www.lixinger.com/analytics/company/sz/000048/48/detail</t>
  </si>
  <si>
    <t>德才股份</t>
  </si>
  <si>
    <t>www.lixinger.com/analytics/company/sh/605287/605287/detail</t>
  </si>
  <si>
    <t>交建股份</t>
  </si>
  <si>
    <t>www.lixinger.com/analytics/company/sh/603815/603815/detail</t>
  </si>
  <si>
    <t>启迪环境</t>
  </si>
  <si>
    <t>综合环境治理</t>
  </si>
  <si>
    <t>www.lixinger.com/analytics/company/sz/000826/826/detail</t>
  </si>
  <si>
    <t>亚辉龙</t>
  </si>
  <si>
    <t>www.lixinger.com/analytics/company/sh/688575/688575/detail</t>
  </si>
  <si>
    <t>电科数字</t>
  </si>
  <si>
    <t>www.lixinger.com/analytics/company/sh/600850/600850/detail</t>
  </si>
  <si>
    <t>上海莱士</t>
  </si>
  <si>
    <t>血液制品</t>
  </si>
  <si>
    <t>www.lixinger.com/analytics/company/sz/002252/2252/detail</t>
  </si>
  <si>
    <t>三聚环保</t>
  </si>
  <si>
    <t>大气治理</t>
  </si>
  <si>
    <t>www.lixinger.com/analytics/company/sz/300072/300072/detail</t>
  </si>
  <si>
    <t>长江健康</t>
  </si>
  <si>
    <t>www.lixinger.com/analytics/company/sz/002435/2435/detail</t>
  </si>
  <si>
    <t>杭氧股份</t>
  </si>
  <si>
    <t>www.lixinger.com/analytics/company/sz/002430/2430/detail</t>
  </si>
  <si>
    <t>大中矿业</t>
  </si>
  <si>
    <t>铁矿石</t>
  </si>
  <si>
    <t>www.lixinger.com/analytics/company/sz/001203/1203/detail</t>
  </si>
  <si>
    <t>商络电子</t>
  </si>
  <si>
    <t>www.lixinger.com/analytics/company/sz/300975/300975/detail</t>
  </si>
  <si>
    <t>仙鹤股份</t>
  </si>
  <si>
    <t>www.lixinger.com/analytics/company/sh/603733/603733/detail</t>
  </si>
  <si>
    <t>明德生物</t>
  </si>
  <si>
    <t>www.lixinger.com/analytics/company/sz/002932/2932/detail</t>
  </si>
  <si>
    <t>诺力股份</t>
  </si>
  <si>
    <t>www.lixinger.com/analytics/company/sh/603611/603611/detail</t>
  </si>
  <si>
    <t>鲁泰Ａ</t>
  </si>
  <si>
    <t>www.lixinger.com/analytics/company/sz/000726/726/detail</t>
  </si>
  <si>
    <t>石头科技</t>
  </si>
  <si>
    <t>www.lixinger.com/analytics/company/sh/688169/688169/detail</t>
  </si>
  <si>
    <t>金力永磁</t>
  </si>
  <si>
    <t>www.lixinger.com/analytics/company/sz/300748/300748/detail</t>
  </si>
  <si>
    <t>圣湘生物</t>
  </si>
  <si>
    <t>www.lixinger.com/analytics/company/sh/688289/688289/detail</t>
  </si>
  <si>
    <t>氯碱化工</t>
  </si>
  <si>
    <t>www.lixinger.com/analytics/company/sh/600618/600618/detail</t>
  </si>
  <si>
    <t>葵花药业</t>
  </si>
  <si>
    <t>www.lixinger.com/analytics/company/sz/002737/2737/detail</t>
  </si>
  <si>
    <t>赤峰黄金</t>
  </si>
  <si>
    <t>www.lixinger.com/analytics/company/sh/600988/600988/detail</t>
  </si>
  <si>
    <t>恒林股份</t>
  </si>
  <si>
    <t>www.lixinger.com/analytics/company/sh/603661/603661/detail</t>
  </si>
  <si>
    <t>君实生物</t>
  </si>
  <si>
    <t>www.lixinger.com/analytics/company/sh/688180/688180/detail</t>
  </si>
  <si>
    <t>来伊份</t>
  </si>
  <si>
    <t>www.lixinger.com/analytics/company/sh/603777/603777/detail</t>
  </si>
  <si>
    <t>中超控股</t>
  </si>
  <si>
    <t>www.lixinger.com/analytics/company/sz/002471/2471/detail</t>
  </si>
  <si>
    <t>东贝集团</t>
  </si>
  <si>
    <t>www.lixinger.com/analytics/company/sh/601956/601956/detail</t>
  </si>
  <si>
    <t>南天信息</t>
  </si>
  <si>
    <t>www.lixinger.com/analytics/company/sz/000948/948/detail</t>
  </si>
  <si>
    <t>北京君正</t>
  </si>
  <si>
    <t>www.lixinger.com/analytics/company/sz/300223/300223/detail</t>
  </si>
  <si>
    <t>人人乐</t>
  </si>
  <si>
    <t>www.lixinger.com/analytics/company/sz/002336/2336/detail</t>
  </si>
  <si>
    <t>辽宁能源</t>
  </si>
  <si>
    <t>www.lixinger.com/analytics/company/sh/600758/600758/detail</t>
  </si>
  <si>
    <t>孚日股份</t>
  </si>
  <si>
    <t>www.lixinger.com/analytics/company/sz/002083/2083/detail</t>
  </si>
  <si>
    <t>山推股份</t>
  </si>
  <si>
    <t>www.lixinger.com/analytics/company/sz/000680/680/detail</t>
  </si>
  <si>
    <t>精艺股份</t>
  </si>
  <si>
    <t>www.lixinger.com/analytics/company/sz/002295/2295/detail</t>
  </si>
  <si>
    <t>百川能源</t>
  </si>
  <si>
    <t>www.lixinger.com/analytics/company/sh/600681/600681/detail</t>
  </si>
  <si>
    <t>盈趣科技</t>
  </si>
  <si>
    <t>www.lixinger.com/analytics/company/sz/002925/2925/detail</t>
  </si>
  <si>
    <t>新疆交建</t>
  </si>
  <si>
    <t>www.lixinger.com/analytics/company/sz/002941/2941/detail</t>
  </si>
  <si>
    <t>昇兴股份</t>
  </si>
  <si>
    <t>www.lixinger.com/analytics/company/sz/002752/2752/detail</t>
  </si>
  <si>
    <t>东旭光电</t>
  </si>
  <si>
    <t>www.lixinger.com/analytics/company/sz/000413/413/detail</t>
  </si>
  <si>
    <t>河钢资源</t>
  </si>
  <si>
    <t>www.lixinger.com/analytics/company/sz/000923/923/detail</t>
  </si>
  <si>
    <t>福莱特</t>
  </si>
  <si>
    <t>www.lixinger.com/analytics/company/sh/601865/601865/detail</t>
  </si>
  <si>
    <t>长园集团</t>
  </si>
  <si>
    <t>www.lixinger.com/analytics/company/sh/600525/600525/detail</t>
  </si>
  <si>
    <t>大东方</t>
  </si>
  <si>
    <t>www.lixinger.com/analytics/company/sh/600327/600327/detail</t>
  </si>
  <si>
    <t>亚太科技</t>
  </si>
  <si>
    <t>www.lixinger.com/analytics/company/sz/002540/2540/detail</t>
  </si>
  <si>
    <t>广信股份</t>
  </si>
  <si>
    <t>www.lixinger.com/analytics/company/sh/603599/603599/detail</t>
  </si>
  <si>
    <t>立达信</t>
  </si>
  <si>
    <t>www.lixinger.com/analytics/company/sh/605365/605365/detail</t>
  </si>
  <si>
    <t>劲嘉股份</t>
  </si>
  <si>
    <t>www.lixinger.com/analytics/company/sz/002191/2191/detail</t>
  </si>
  <si>
    <t>和而泰</t>
  </si>
  <si>
    <t>www.lixinger.com/analytics/company/sz/002402/2402/detail</t>
  </si>
  <si>
    <t>振德医疗</t>
  </si>
  <si>
    <t>www.lixinger.com/analytics/company/sh/603301/603301/detail</t>
  </si>
  <si>
    <t>维维股份</t>
  </si>
  <si>
    <t>www.lixinger.com/analytics/company/sh/600300/600300/detail</t>
  </si>
  <si>
    <t>蓝天燃气</t>
  </si>
  <si>
    <t>www.lixinger.com/analytics/company/sh/605368/605368/detail</t>
  </si>
  <si>
    <t>中色股份</t>
  </si>
  <si>
    <t>www.lixinger.com/analytics/company/sz/000758/758/detail</t>
  </si>
  <si>
    <t>金杯汽车</t>
  </si>
  <si>
    <t>www.lixinger.com/analytics/company/sh/600609/600609/detail</t>
  </si>
  <si>
    <t>西王食品</t>
  </si>
  <si>
    <t>www.lixinger.com/analytics/company/sz/000639/639/detail</t>
  </si>
  <si>
    <t>博彦科技</t>
  </si>
  <si>
    <t>www.lixinger.com/analytics/company/sz/002649/2649/detail</t>
  </si>
  <si>
    <t>石大胜华</t>
  </si>
  <si>
    <t>www.lixinger.com/analytics/company/sh/603026/603026/detail</t>
  </si>
  <si>
    <t>九洲药业</t>
  </si>
  <si>
    <t>www.lixinger.com/analytics/company/sh/603456/603456/detail</t>
  </si>
  <si>
    <t>外高桥</t>
  </si>
  <si>
    <t>www.lixinger.com/analytics/company/sh/600648/600648/detail</t>
  </si>
  <si>
    <t>新华制药</t>
  </si>
  <si>
    <t>www.lixinger.com/analytics/company/sz/000756/756/detail</t>
  </si>
  <si>
    <t>盛泰集团</t>
  </si>
  <si>
    <t>www.lixinger.com/analytics/company/sh/605138/605138/detail</t>
  </si>
  <si>
    <t>中核钛白</t>
  </si>
  <si>
    <t>www.lixinger.com/analytics/company/sz/002145/2145/detail</t>
  </si>
  <si>
    <t>蓝帆医疗</t>
  </si>
  <si>
    <t>www.lixinger.com/analytics/company/sz/002382/2382/detail</t>
  </si>
  <si>
    <t>森麒麟</t>
  </si>
  <si>
    <t>www.lixinger.com/analytics/company/sz/002984/2984/detail</t>
  </si>
  <si>
    <t>水井坊</t>
  </si>
  <si>
    <t>www.lixinger.com/analytics/company/sh/600779/600779/detail</t>
  </si>
  <si>
    <t>华熙生物</t>
  </si>
  <si>
    <t>医美耗材</t>
  </si>
  <si>
    <t>www.lixinger.com/analytics/company/sh/688363/688363/detail</t>
  </si>
  <si>
    <t>龙净环保</t>
  </si>
  <si>
    <t>www.lixinger.com/analytics/company/sh/600388/600388/detail</t>
  </si>
  <si>
    <t>得邦照明</t>
  </si>
  <si>
    <t>www.lixinger.com/analytics/company/sh/603303/603303/detail</t>
  </si>
  <si>
    <t>闰土股份</t>
  </si>
  <si>
    <t>www.lixinger.com/analytics/company/sz/002440/2440/detail</t>
  </si>
  <si>
    <t>中炬高新</t>
  </si>
  <si>
    <t>www.lixinger.com/analytics/company/sh/600872/600872/detail</t>
  </si>
  <si>
    <t>曲美家居</t>
  </si>
  <si>
    <t>www.lixinger.com/analytics/company/sh/603818/603818/detail</t>
  </si>
  <si>
    <t>东鹏控股</t>
  </si>
  <si>
    <t>www.lixinger.com/analytics/company/sz/003012/3012/detail</t>
  </si>
  <si>
    <t>普洛药业</t>
  </si>
  <si>
    <t>www.lixinger.com/analytics/company/sz/000739/739/detail</t>
  </si>
  <si>
    <t>国机重装</t>
  </si>
  <si>
    <t>www.lixinger.com/analytics/company/sh/601399/601399/detail</t>
  </si>
  <si>
    <t>楚天科技</t>
  </si>
  <si>
    <t>www.lixinger.com/analytics/company/sz/300358/300358/detail</t>
  </si>
  <si>
    <t>华设集团</t>
  </si>
  <si>
    <t>www.lixinger.com/analytics/company/sh/603018/603018/detail</t>
  </si>
  <si>
    <t>宇新股份</t>
  </si>
  <si>
    <t>www.lixinger.com/analytics/company/sz/002986/2986/detail</t>
  </si>
  <si>
    <t>弘业股份</t>
  </si>
  <si>
    <t>www.lixinger.com/analytics/company/sh/600128/600128/detail</t>
  </si>
  <si>
    <t>坚朗五金</t>
  </si>
  <si>
    <t>www.lixinger.com/analytics/company/sz/002791/2791/detail</t>
  </si>
  <si>
    <t>和辉光电</t>
  </si>
  <si>
    <t>www.lixinger.com/analytics/company/sh/688538/688538/detail</t>
  </si>
  <si>
    <t>万顺新材</t>
  </si>
  <si>
    <t>www.lixinger.com/analytics/company/sz/300057/300057/detail</t>
  </si>
  <si>
    <t>ST华鼎</t>
  </si>
  <si>
    <t>www.lixinger.com/analytics/company/sh/601113/601113/detail</t>
  </si>
  <si>
    <t>潮宏基</t>
  </si>
  <si>
    <t>www.lixinger.com/analytics/company/sz/002345/2345/detail</t>
  </si>
  <si>
    <t>奥克股份</t>
  </si>
  <si>
    <t>www.lixinger.com/analytics/company/sz/300082/300082/detail</t>
  </si>
  <si>
    <t>昊华科技</t>
  </si>
  <si>
    <t>www.lixinger.com/analytics/company/sh/600378/600378/detail</t>
  </si>
  <si>
    <t>三峰环境</t>
  </si>
  <si>
    <t>www.lixinger.com/analytics/company/sh/601827/601827/detail</t>
  </si>
  <si>
    <t>天马科技</t>
  </si>
  <si>
    <t>www.lixinger.com/analytics/company/sh/603668/603668/detail</t>
  </si>
  <si>
    <t>靖远煤电</t>
  </si>
  <si>
    <t>www.lixinger.com/analytics/company/sz/000552/552/detail</t>
  </si>
  <si>
    <t>塔牌集团</t>
  </si>
  <si>
    <t>www.lixinger.com/analytics/company/sz/002233/2233/detail</t>
  </si>
  <si>
    <t>龙蟠科技</t>
  </si>
  <si>
    <t>www.lixinger.com/analytics/company/sh/603906/603906/detail</t>
  </si>
  <si>
    <t>西藏天路</t>
  </si>
  <si>
    <t>www.lixinger.com/analytics/company/sh/600326/600326/detail</t>
  </si>
  <si>
    <t>深信服</t>
  </si>
  <si>
    <t>www.lixinger.com/analytics/company/sz/300454/300454/detail</t>
  </si>
  <si>
    <t>飞亚达</t>
  </si>
  <si>
    <t>www.lixinger.com/analytics/company/sz/000026/26/detail</t>
  </si>
  <si>
    <t>珀莱雅</t>
  </si>
  <si>
    <t>www.lixinger.com/analytics/company/sh/603605/603605/detail</t>
  </si>
  <si>
    <t>硕世生物</t>
  </si>
  <si>
    <t>www.lixinger.com/analytics/company/sh/688399/688399/detail</t>
  </si>
  <si>
    <t>天源迪科</t>
  </si>
  <si>
    <t>www.lixinger.com/analytics/company/sz/300047/300047/detail</t>
  </si>
  <si>
    <t>海南矿业</t>
  </si>
  <si>
    <t>www.lixinger.com/analytics/company/sh/601969/601969/detail</t>
  </si>
  <si>
    <t>迪阿股份</t>
  </si>
  <si>
    <t>www.lixinger.com/analytics/company/sz/301177/301177/detail</t>
  </si>
  <si>
    <t>妙可蓝多</t>
  </si>
  <si>
    <t>www.lixinger.com/analytics/company/sh/600882/600882/detail</t>
  </si>
  <si>
    <t>国光电器</t>
  </si>
  <si>
    <t>www.lixinger.com/analytics/company/sz/002045/2045/detail</t>
  </si>
  <si>
    <t>金晶科技</t>
  </si>
  <si>
    <t>www.lixinger.com/analytics/company/sh/600586/600586/detail</t>
  </si>
  <si>
    <t>西宁特钢</t>
  </si>
  <si>
    <t>www.lixinger.com/analytics/company/sh/600117/600117/detail</t>
  </si>
  <si>
    <t>海利得</t>
  </si>
  <si>
    <t>www.lixinger.com/analytics/company/sz/002206/2206/detail</t>
  </si>
  <si>
    <t>博拓生物</t>
  </si>
  <si>
    <t>www.lixinger.com/analytics/company/sh/688767/688767/detail</t>
  </si>
  <si>
    <t>润建股份</t>
  </si>
  <si>
    <t>www.lixinger.com/analytics/company/sz/002929/2929/detail</t>
  </si>
  <si>
    <t>超声电子</t>
  </si>
  <si>
    <t>www.lixinger.com/analytics/company/sz/000823/823/detail</t>
  </si>
  <si>
    <t>久立特材</t>
  </si>
  <si>
    <t>www.lixinger.com/analytics/company/sz/002318/2318/detail</t>
  </si>
  <si>
    <t>云煤能源</t>
  </si>
  <si>
    <t>www.lixinger.com/analytics/company/sh/600792/600792/detail</t>
  </si>
  <si>
    <t>风神股份</t>
  </si>
  <si>
    <t>www.lixinger.com/analytics/company/sh/600469/600469/detail</t>
  </si>
  <si>
    <t>英唐智控</t>
  </si>
  <si>
    <t>www.lixinger.com/analytics/company/sz/300131/300131/detail</t>
  </si>
  <si>
    <t>永太科技</t>
  </si>
  <si>
    <t>www.lixinger.com/analytics/company/sz/002326/2326/detail</t>
  </si>
  <si>
    <t>明牌珠宝</t>
  </si>
  <si>
    <t>www.lixinger.com/analytics/company/sz/002574/2574/detail</t>
  </si>
  <si>
    <t>航天科技</t>
  </si>
  <si>
    <t>www.lixinger.com/analytics/company/sz/000901/901/detail</t>
  </si>
  <si>
    <t>杭汽轮Ｂ</t>
  </si>
  <si>
    <t>www.lixinger.com/analytics/company/sz/200771/200771/detail</t>
  </si>
  <si>
    <t>捷成股份</t>
  </si>
  <si>
    <t>影视动漫制作</t>
  </si>
  <si>
    <t>www.lixinger.com/analytics/company/sz/300182/300182/detail</t>
  </si>
  <si>
    <t>兴森科技</t>
  </si>
  <si>
    <t>www.lixinger.com/analytics/company/sz/002436/2436/detail</t>
  </si>
  <si>
    <t>山东出版</t>
  </si>
  <si>
    <t>www.lixinger.com/analytics/company/sh/601019/601019/detail</t>
  </si>
  <si>
    <t>金证股份</t>
  </si>
  <si>
    <t>www.lixinger.com/analytics/company/sh/600446/600446/detail</t>
  </si>
  <si>
    <t>引力传媒</t>
  </si>
  <si>
    <t>www.lixinger.com/analytics/company/sh/603598/603598/detail</t>
  </si>
  <si>
    <t>四川美丰</t>
  </si>
  <si>
    <t>www.lixinger.com/analytics/company/sz/000731/731/detail</t>
  </si>
  <si>
    <t>金钼股份</t>
  </si>
  <si>
    <t>www.lixinger.com/analytics/company/sh/601958/601958/detail</t>
  </si>
  <si>
    <t>天下秀</t>
  </si>
  <si>
    <t>www.lixinger.com/analytics/company/sh/600556/600556/detail</t>
  </si>
  <si>
    <t>香山股份</t>
  </si>
  <si>
    <t>仪器仪表</t>
  </si>
  <si>
    <t>www.lixinger.com/analytics/company/sz/002870/2870/detail</t>
  </si>
  <si>
    <t>蒙娜丽莎</t>
  </si>
  <si>
    <t>www.lixinger.com/analytics/company/sz/002918/2918/detail</t>
  </si>
  <si>
    <t>广日股份</t>
  </si>
  <si>
    <t>www.lixinger.com/analytics/company/sh/600894/600894/detail</t>
  </si>
  <si>
    <t>吉比特</t>
  </si>
  <si>
    <t>www.lixinger.com/analytics/company/sh/603444/603444/detail</t>
  </si>
  <si>
    <t>健之佳</t>
  </si>
  <si>
    <t>www.lixinger.com/analytics/company/sh/605266/605266/detail</t>
  </si>
  <si>
    <t>凯盛科技</t>
  </si>
  <si>
    <t>www.lixinger.com/analytics/company/sh/600552/600552/detail</t>
  </si>
  <si>
    <t>新乡化纤</t>
  </si>
  <si>
    <t>www.lixinger.com/analytics/company/sz/000949/949/detail</t>
  </si>
  <si>
    <t>龙腾光电</t>
  </si>
  <si>
    <t>www.lixinger.com/analytics/company/sh/688055/688055/detail</t>
  </si>
  <si>
    <t>豪迈科技</t>
  </si>
  <si>
    <t>www.lixinger.com/analytics/company/sz/002595/2595/detail</t>
  </si>
  <si>
    <t>博腾股份</t>
  </si>
  <si>
    <t>www.lixinger.com/analytics/company/sz/300363/300363/detail</t>
  </si>
  <si>
    <t>元隆雅图</t>
  </si>
  <si>
    <t>会展服务</t>
  </si>
  <si>
    <t>www.lixinger.com/analytics/company/sz/002878/2878/detail</t>
  </si>
  <si>
    <t>华帝股份</t>
  </si>
  <si>
    <t>www.lixinger.com/analytics/company/sz/002035/2035/detail</t>
  </si>
  <si>
    <t>张裕Ａ</t>
  </si>
  <si>
    <t>其他酒类</t>
  </si>
  <si>
    <t>www.lixinger.com/analytics/company/sz/000869/869/detail</t>
  </si>
  <si>
    <t>ST方科</t>
  </si>
  <si>
    <t>www.lixinger.com/analytics/company/sh/600601/600601/detail</t>
  </si>
  <si>
    <t>汇顶科技</t>
  </si>
  <si>
    <t>模拟芯片设计</t>
  </si>
  <si>
    <t>www.lixinger.com/analytics/company/sh/603160/603160/detail</t>
  </si>
  <si>
    <t>中科创达</t>
  </si>
  <si>
    <t>www.lixinger.com/analytics/company/sz/300496/300496/detail</t>
  </si>
  <si>
    <t>姚记科技</t>
  </si>
  <si>
    <t>www.lixinger.com/analytics/company/sz/002605/2605/detail</t>
  </si>
  <si>
    <t>三江购物</t>
  </si>
  <si>
    <t>www.lixinger.com/analytics/company/sh/601116/601116/detail</t>
  </si>
  <si>
    <t>山河智能</t>
  </si>
  <si>
    <t>www.lixinger.com/analytics/company/sz/002097/2097/detail</t>
  </si>
  <si>
    <t>中装建设</t>
  </si>
  <si>
    <t>www.lixinger.com/analytics/company/sz/002822/2822/detail</t>
  </si>
  <si>
    <t>时代电气</t>
  </si>
  <si>
    <t>www.lixinger.com/analytics/company/sh/688187/688187/detail</t>
  </si>
  <si>
    <t>胜利股份</t>
  </si>
  <si>
    <t>www.lixinger.com/analytics/company/sz/000407/407/detail</t>
  </si>
  <si>
    <t>国联水产</t>
  </si>
  <si>
    <t>水产养殖</t>
  </si>
  <si>
    <t>www.lixinger.com/analytics/company/sz/300094/300094/detail</t>
  </si>
  <si>
    <t>佳沃食品</t>
  </si>
  <si>
    <t>www.lixinger.com/analytics/company/sz/300268/300268/detail</t>
  </si>
  <si>
    <t>新国都</t>
  </si>
  <si>
    <t>www.lixinger.com/analytics/company/sz/300130/300130/detail</t>
  </si>
  <si>
    <t>飞科电器</t>
  </si>
  <si>
    <t>个护小家电</t>
  </si>
  <si>
    <t>www.lixinger.com/analytics/company/sh/603868/603868/detail</t>
  </si>
  <si>
    <t>用友网络</t>
  </si>
  <si>
    <t>www.lixinger.com/analytics/company/sh/600588/600588/detail</t>
  </si>
  <si>
    <t>和顺石油</t>
  </si>
  <si>
    <t>www.lixinger.com/analytics/company/sh/603353/603353/detail</t>
  </si>
  <si>
    <t>润邦股份</t>
  </si>
  <si>
    <t>www.lixinger.com/analytics/company/sz/002483/2483/detail</t>
  </si>
  <si>
    <t>联发股份</t>
  </si>
  <si>
    <t>www.lixinger.com/analytics/company/sz/002394/2394/detail</t>
  </si>
  <si>
    <t>中来股份</t>
  </si>
  <si>
    <t>www.lixinger.com/analytics/company/sz/300393/300393/detail</t>
  </si>
  <si>
    <t>建霖家居</t>
  </si>
  <si>
    <t>卫浴制品</t>
  </si>
  <si>
    <t>www.lixinger.com/analytics/company/sh/603408/603408/detail</t>
  </si>
  <si>
    <t>北部湾港</t>
  </si>
  <si>
    <t>www.lixinger.com/analytics/company/sz/000582/582/detail</t>
  </si>
  <si>
    <t>合肥城建</t>
  </si>
  <si>
    <t>www.lixinger.com/analytics/company/sz/002208/2208/detail</t>
  </si>
  <si>
    <t>西藏城投</t>
  </si>
  <si>
    <t>www.lixinger.com/analytics/company/sh/600773/600773/detail</t>
  </si>
  <si>
    <t>冰轮环境</t>
  </si>
  <si>
    <t>制冷空调设备</t>
  </si>
  <si>
    <t>www.lixinger.com/analytics/company/sz/000811/811/detail</t>
  </si>
  <si>
    <t>宏昌电子</t>
  </si>
  <si>
    <t>www.lixinger.com/analytics/company/sh/603002/603002/detail</t>
  </si>
  <si>
    <t>金圆股份</t>
  </si>
  <si>
    <t>www.lixinger.com/analytics/company/sz/000546/546/detail</t>
  </si>
  <si>
    <t>中国电影</t>
  </si>
  <si>
    <t>www.lixinger.com/analytics/company/sh/600977/600977/detail</t>
  </si>
  <si>
    <t>中航沈飞</t>
  </si>
  <si>
    <t>www.lixinger.com/analytics/company/sh/600760/600760/detail</t>
  </si>
  <si>
    <t>晶盛机电</t>
  </si>
  <si>
    <t>www.lixinger.com/analytics/company/sz/300316/300316/detail</t>
  </si>
  <si>
    <t>新野纺织</t>
  </si>
  <si>
    <t>www.lixinger.com/analytics/company/sz/002087/2087/detail</t>
  </si>
  <si>
    <t>珠海港</t>
  </si>
  <si>
    <t>www.lixinger.com/analytics/company/sz/000507/507/detail</t>
  </si>
  <si>
    <t>协鑫集成</t>
  </si>
  <si>
    <t>www.lixinger.com/analytics/company/sz/002506/2506/detail</t>
  </si>
  <si>
    <t>奥海科技</t>
  </si>
  <si>
    <t>www.lixinger.com/analytics/company/sz/002993/2993/detail</t>
  </si>
  <si>
    <t>华达科技</t>
  </si>
  <si>
    <t>www.lixinger.com/analytics/company/sh/603358/603358/detail</t>
  </si>
  <si>
    <t>奥特佳</t>
  </si>
  <si>
    <t>www.lixinger.com/analytics/company/sz/002239/2239/detail</t>
  </si>
  <si>
    <t>崇达技术</t>
  </si>
  <si>
    <t>www.lixinger.com/analytics/company/sz/002815/2815/detail</t>
  </si>
  <si>
    <t>卓胜微</t>
  </si>
  <si>
    <t>www.lixinger.com/analytics/company/sz/300782/300782/detail</t>
  </si>
  <si>
    <t>友好集团</t>
  </si>
  <si>
    <t>www.lixinger.com/analytics/company/sh/600778/600778/detail</t>
  </si>
  <si>
    <t>经纬纺机</t>
  </si>
  <si>
    <t>信托</t>
  </si>
  <si>
    <t>www.lixinger.com/analytics/company/sz/000666/666/detail</t>
  </si>
  <si>
    <t>ST红太阳</t>
  </si>
  <si>
    <t>www.lixinger.com/analytics/company/sz/000525/525/detail</t>
  </si>
  <si>
    <t>吉宏股份</t>
  </si>
  <si>
    <t>www.lixinger.com/analytics/company/sz/002803/2803/detail</t>
  </si>
  <si>
    <t>恒通股份</t>
  </si>
  <si>
    <t>www.lixinger.com/analytics/company/sh/603223/603223/detail</t>
  </si>
  <si>
    <t>洪都航空</t>
  </si>
  <si>
    <t>www.lixinger.com/analytics/company/sh/600316/600316/detail</t>
  </si>
  <si>
    <t>耀皮玻璃</t>
  </si>
  <si>
    <t>www.lixinger.com/analytics/company/sh/600819/600819/detail</t>
  </si>
  <si>
    <t>腾远钴业</t>
  </si>
  <si>
    <t>www.lixinger.com/analytics/company/sz/301219/301219/detail</t>
  </si>
  <si>
    <t>*ST跨境</t>
  </si>
  <si>
    <t>www.lixinger.com/analytics/company/sz/002640/2640/detail</t>
  </si>
  <si>
    <t>郑州煤电</t>
  </si>
  <si>
    <t>www.lixinger.com/analytics/company/sh/600121/600121/detail</t>
  </si>
  <si>
    <t>科顺股份</t>
  </si>
  <si>
    <t>www.lixinger.com/analytics/company/sz/300737/300737/detail</t>
  </si>
  <si>
    <t>中国软件</t>
  </si>
  <si>
    <t>www.lixinger.com/analytics/company/sh/600536/600536/detail</t>
  </si>
  <si>
    <t>雪天盐业</t>
  </si>
  <si>
    <t>www.lixinger.com/analytics/company/sh/600929/600929/detail</t>
  </si>
  <si>
    <t>奋达科技</t>
  </si>
  <si>
    <t>www.lixinger.com/analytics/company/sz/002681/2681/detail</t>
  </si>
  <si>
    <t>鲁北化工</t>
  </si>
  <si>
    <t>www.lixinger.com/analytics/company/sh/600727/600727/detail</t>
  </si>
  <si>
    <t>新日股份</t>
  </si>
  <si>
    <t>www.lixinger.com/analytics/company/sh/603787/603787/detail</t>
  </si>
  <si>
    <t>司尔特</t>
  </si>
  <si>
    <t>www.lixinger.com/analytics/company/sz/002538/2538/detail</t>
  </si>
  <si>
    <t>极米科技</t>
  </si>
  <si>
    <t>www.lixinger.com/analytics/company/sh/688696/688696/detail</t>
  </si>
  <si>
    <t>麦格米特</t>
  </si>
  <si>
    <t>其他电源设备</t>
  </si>
  <si>
    <t>www.lixinger.com/analytics/company/sz/002851/2851/detail</t>
  </si>
  <si>
    <t>克明食品</t>
  </si>
  <si>
    <t>www.lixinger.com/analytics/company/sz/002661/2661/detail</t>
  </si>
  <si>
    <t>鹏欣资源</t>
  </si>
  <si>
    <t>www.lixinger.com/analytics/company/sh/600490/600490/detail</t>
  </si>
  <si>
    <t>新泉股份</t>
  </si>
  <si>
    <t>www.lixinger.com/analytics/company/sh/603179/603179/detail</t>
  </si>
  <si>
    <t>胜利精密</t>
  </si>
  <si>
    <t>www.lixinger.com/analytics/company/sz/002426/2426/detail</t>
  </si>
  <si>
    <t>北京利尔</t>
  </si>
  <si>
    <t>耐火材料</t>
  </si>
  <si>
    <t>www.lixinger.com/analytics/company/sz/002392/2392/detail</t>
  </si>
  <si>
    <t>粤海饲料</t>
  </si>
  <si>
    <t>www.lixinger.com/analytics/company/sz/001313/1313/detail</t>
  </si>
  <si>
    <t>东富龙</t>
  </si>
  <si>
    <t>www.lixinger.com/analytics/company/sz/300171/300171/detail</t>
  </si>
  <si>
    <t>川仪股份</t>
  </si>
  <si>
    <t>www.lixinger.com/analytics/company/sh/603100/603100/detail</t>
  </si>
  <si>
    <t>得润电子</t>
  </si>
  <si>
    <t>www.lixinger.com/analytics/company/sz/002055/2055/detail</t>
  </si>
  <si>
    <t>兴蓉环境</t>
  </si>
  <si>
    <t>www.lixinger.com/analytics/company/sz/000598/598/detail</t>
  </si>
  <si>
    <t>安德利</t>
  </si>
  <si>
    <t>www.lixinger.com/analytics/company/sh/603031/603031/detail</t>
  </si>
  <si>
    <t>华阳集团</t>
  </si>
  <si>
    <t>www.lixinger.com/analytics/company/sz/002906/2906/detail</t>
  </si>
  <si>
    <t>岱美股份</t>
  </si>
  <si>
    <t>www.lixinger.com/analytics/company/sh/603730/603730/detail</t>
  </si>
  <si>
    <t>大业股份</t>
  </si>
  <si>
    <t>www.lixinger.com/analytics/company/sh/603278/603278/detail</t>
  </si>
  <si>
    <t>东华科技</t>
  </si>
  <si>
    <t>www.lixinger.com/analytics/company/sz/002140/2140/detail</t>
  </si>
  <si>
    <t>双环科技</t>
  </si>
  <si>
    <t>www.lixinger.com/analytics/company/sz/000707/707/detail</t>
  </si>
  <si>
    <t>士兰微</t>
  </si>
  <si>
    <t>分立器件</t>
  </si>
  <si>
    <t>www.lixinger.com/analytics/company/sh/600460/600460/detail</t>
  </si>
  <si>
    <t>宝钛股份</t>
  </si>
  <si>
    <t>www.lixinger.com/analytics/company/sh/600456/600456/detail</t>
  </si>
  <si>
    <t>翠微股份</t>
  </si>
  <si>
    <t>www.lixinger.com/analytics/company/sh/603123/603123/detail</t>
  </si>
  <si>
    <t>英利汽车</t>
  </si>
  <si>
    <t>www.lixinger.com/analytics/company/sh/601279/601279/detail</t>
  </si>
  <si>
    <t>高鸿股份</t>
  </si>
  <si>
    <t>www.lixinger.com/analytics/company/sz/000851/851/detail</t>
  </si>
  <si>
    <t>华塑股份</t>
  </si>
  <si>
    <t>www.lixinger.com/analytics/company/sh/600935/600935/detail</t>
  </si>
  <si>
    <t>雅克科技</t>
  </si>
  <si>
    <t>www.lixinger.com/analytics/company/sz/002409/2409/detail</t>
  </si>
  <si>
    <t>广电运通</t>
  </si>
  <si>
    <t>www.lixinger.com/analytics/company/sz/002152/2152/detail</t>
  </si>
  <si>
    <t>华茂股份</t>
  </si>
  <si>
    <t>www.lixinger.com/analytics/company/sz/000850/850/detail</t>
  </si>
  <si>
    <t>永艺股份</t>
  </si>
  <si>
    <t>www.lixinger.com/analytics/company/sh/603600/603600/detail</t>
  </si>
  <si>
    <t>钱江摩托</t>
  </si>
  <si>
    <t>www.lixinger.com/analytics/company/sz/000913/913/detail</t>
  </si>
  <si>
    <t>国电南自</t>
  </si>
  <si>
    <t>www.lixinger.com/analytics/company/sh/600268/600268/detail</t>
  </si>
  <si>
    <t>永冠新材</t>
  </si>
  <si>
    <t>胶黏剂及胶带</t>
  </si>
  <si>
    <t>www.lixinger.com/analytics/company/sh/603681/603681/detail</t>
  </si>
  <si>
    <t>国网信通</t>
  </si>
  <si>
    <t>www.lixinger.com/analytics/company/sh/600131/600131/detail</t>
  </si>
  <si>
    <t>青岛金王</t>
  </si>
  <si>
    <t>化妆品制造及其他</t>
  </si>
  <si>
    <t>www.lixinger.com/analytics/company/sz/002094/2094/detail</t>
  </si>
  <si>
    <t>苏交科</t>
  </si>
  <si>
    <t>www.lixinger.com/analytics/company/sz/300284/300284/detail</t>
  </si>
  <si>
    <t>城投控股</t>
  </si>
  <si>
    <t>www.lixinger.com/analytics/company/sh/600649/600649/detail</t>
  </si>
  <si>
    <t>佳都科技</t>
  </si>
  <si>
    <t>www.lixinger.com/analytics/company/sh/600728/600728/detail</t>
  </si>
  <si>
    <t>维信诺</t>
  </si>
  <si>
    <t>www.lixinger.com/analytics/company/sz/002387/2387/detail</t>
  </si>
  <si>
    <t>太极股份</t>
  </si>
  <si>
    <t>www.lixinger.com/analytics/company/sz/002368/2368/detail</t>
  </si>
  <si>
    <t>康恩贝</t>
  </si>
  <si>
    <t>www.lixinger.com/analytics/company/sh/600572/600572/detail</t>
  </si>
  <si>
    <t>棕榈股份</t>
  </si>
  <si>
    <t>www.lixinger.com/analytics/company/sz/002431/2431/detail</t>
  </si>
  <si>
    <t>聚合顺</t>
  </si>
  <si>
    <t>www.lixinger.com/analytics/company/sh/605166/605166/detail</t>
  </si>
  <si>
    <t>万孚生物</t>
  </si>
  <si>
    <t>www.lixinger.com/analytics/company/sz/300482/300482/detail</t>
  </si>
  <si>
    <t>奥美医疗</t>
  </si>
  <si>
    <t>www.lixinger.com/analytics/company/sz/002950/2950/detail</t>
  </si>
  <si>
    <t>鹏辉能源</t>
  </si>
  <si>
    <t>www.lixinger.com/analytics/company/sz/300438/300438/detail</t>
  </si>
  <si>
    <t>帝欧家居</t>
  </si>
  <si>
    <t>www.lixinger.com/analytics/company/sz/002798/2798/detail</t>
  </si>
  <si>
    <t>会通股份</t>
  </si>
  <si>
    <t>www.lixinger.com/analytics/company/sh/688219/688219/detail</t>
  </si>
  <si>
    <t>康力电梯</t>
  </si>
  <si>
    <t>www.lixinger.com/analytics/company/sz/002367/2367/detail</t>
  </si>
  <si>
    <t>英洛华</t>
  </si>
  <si>
    <t>www.lixinger.com/analytics/company/sz/000795/795/detail</t>
  </si>
  <si>
    <t>玉禾田</t>
  </si>
  <si>
    <t>www.lixinger.com/analytics/company/sz/300815/300815/detail</t>
  </si>
  <si>
    <t>口子窖</t>
  </si>
  <si>
    <t>www.lixinger.com/analytics/company/sh/603589/603589/detail</t>
  </si>
  <si>
    <t>亿晶光电</t>
  </si>
  <si>
    <t>www.lixinger.com/analytics/company/sh/600537/600537/detail</t>
  </si>
  <si>
    <t>黑牡丹</t>
  </si>
  <si>
    <t>www.lixinger.com/analytics/company/sh/600510/600510/detail</t>
  </si>
  <si>
    <t>鑫科材料</t>
  </si>
  <si>
    <t>www.lixinger.com/analytics/company/sh/600255/600255/detail</t>
  </si>
  <si>
    <t>恩华药业</t>
  </si>
  <si>
    <t>www.lixinger.com/analytics/company/sz/002262/2262/detail</t>
  </si>
  <si>
    <t>东阿阿胶</t>
  </si>
  <si>
    <t>www.lixinger.com/analytics/company/sz/000423/423/detail</t>
  </si>
  <si>
    <t>华胜天成</t>
  </si>
  <si>
    <t>www.lixinger.com/analytics/company/sh/600410/600410/detail</t>
  </si>
  <si>
    <t>孚能科技</t>
  </si>
  <si>
    <t>www.lixinger.com/analytics/company/sh/688567/688567/detail</t>
  </si>
  <si>
    <t>广和通</t>
  </si>
  <si>
    <t>www.lixinger.com/analytics/company/sz/300638/300638/detail</t>
  </si>
  <si>
    <t>国网英大</t>
  </si>
  <si>
    <t>www.lixinger.com/analytics/company/sh/600517/600517/detail</t>
  </si>
  <si>
    <t>金新农</t>
  </si>
  <si>
    <t>www.lixinger.com/analytics/company/sz/002548/2548/detail</t>
  </si>
  <si>
    <t>锦泓集团</t>
  </si>
  <si>
    <t>www.lixinger.com/analytics/company/sh/603518/603518/detail</t>
  </si>
  <si>
    <t>富煌钢构</t>
  </si>
  <si>
    <t>www.lixinger.com/analytics/company/sz/002743/2743/detail</t>
  </si>
  <si>
    <t>中直股份</t>
  </si>
  <si>
    <t>www.lixinger.com/analytics/company/sh/600038/600038/detail</t>
  </si>
  <si>
    <t>中国海诚</t>
  </si>
  <si>
    <t>www.lixinger.com/analytics/company/sz/002116/2116/detail</t>
  </si>
  <si>
    <t>东方财富</t>
  </si>
  <si>
    <t>证券</t>
  </si>
  <si>
    <t>www.lixinger.com/analytics/company/sz/300059/300059/detail</t>
  </si>
  <si>
    <t>福龙马</t>
  </si>
  <si>
    <t>www.lixinger.com/analytics/company/sh/603686/603686/detail</t>
  </si>
  <si>
    <t>新国脉</t>
  </si>
  <si>
    <t>www.lixinger.com/analytics/company/sh/600640/600640/detail</t>
  </si>
  <si>
    <t>万润科技</t>
  </si>
  <si>
    <t>www.lixinger.com/analytics/company/sz/002654/2654/detail</t>
  </si>
  <si>
    <t>嘉欣丝绸</t>
  </si>
  <si>
    <t>其他纺织</t>
  </si>
  <si>
    <t>www.lixinger.com/analytics/company/sz/002404/2404/detail</t>
  </si>
  <si>
    <t>安图生物</t>
  </si>
  <si>
    <t>www.lixinger.com/analytics/company/sh/603658/603658/detail</t>
  </si>
  <si>
    <t>小熊电器</t>
  </si>
  <si>
    <t>www.lixinger.com/analytics/company/sz/002959/2959/detail</t>
  </si>
  <si>
    <t>清新环境</t>
  </si>
  <si>
    <t>www.lixinger.com/analytics/company/sz/002573/2573/detail</t>
  </si>
  <si>
    <t>*ST基础</t>
  </si>
  <si>
    <t>www.lixinger.com/analytics/company/sh/600515/600515/detail</t>
  </si>
  <si>
    <t>双环传动</t>
  </si>
  <si>
    <t>www.lixinger.com/analytics/company/sz/002472/2472/detail</t>
  </si>
  <si>
    <t>文灿股份</t>
  </si>
  <si>
    <t>www.lixinger.com/analytics/company/sh/603348/603348/detail</t>
  </si>
  <si>
    <t>华通线缆</t>
  </si>
  <si>
    <t>www.lixinger.com/analytics/company/sh/605196/605196/detail</t>
  </si>
  <si>
    <t>南京熊猫</t>
  </si>
  <si>
    <t>www.lixinger.com/analytics/company/sh/600775/600775/detail</t>
  </si>
  <si>
    <t>科森科技</t>
  </si>
  <si>
    <t>www.lixinger.com/analytics/company/sh/603626/603626/detail</t>
  </si>
  <si>
    <t>粤高速Ａ</t>
  </si>
  <si>
    <t>www.lixinger.com/analytics/company/sz/000429/429/detail</t>
  </si>
  <si>
    <t>圣泉集团</t>
  </si>
  <si>
    <t>合成树脂</t>
  </si>
  <si>
    <t>www.lixinger.com/analytics/company/sh/605589/605589/detail</t>
  </si>
  <si>
    <t>广田集团</t>
  </si>
  <si>
    <t>www.lixinger.com/analytics/company/sz/002482/2482/detail</t>
  </si>
  <si>
    <t>华电重工</t>
  </si>
  <si>
    <t>www.lixinger.com/analytics/company/sh/601226/601226/detail</t>
  </si>
  <si>
    <t>东方电子</t>
  </si>
  <si>
    <t>www.lixinger.com/analytics/company/sz/000682/682/detail</t>
  </si>
  <si>
    <t>伟星新材</t>
  </si>
  <si>
    <t>www.lixinger.com/analytics/company/sz/002372/2372/detail</t>
  </si>
  <si>
    <t>江苏舜天</t>
  </si>
  <si>
    <t>www.lixinger.com/analytics/company/sh/600287/600287/detail</t>
  </si>
  <si>
    <t>石化机械</t>
  </si>
  <si>
    <t>www.lixinger.com/analytics/company/sz/000852/852/detail</t>
  </si>
  <si>
    <t>旭升股份</t>
  </si>
  <si>
    <t>www.lixinger.com/analytics/company/sh/603305/603305/detail</t>
  </si>
  <si>
    <t>三美股份</t>
  </si>
  <si>
    <t>www.lixinger.com/analytics/company/sh/603379/603379/detail</t>
  </si>
  <si>
    <t>中矿资源</t>
  </si>
  <si>
    <t>www.lixinger.com/analytics/company/sz/002738/2738/detail</t>
  </si>
  <si>
    <t>泰禾集团</t>
  </si>
  <si>
    <t>www.lixinger.com/analytics/company/sz/000732/732/detail</t>
  </si>
  <si>
    <t>江南化工</t>
  </si>
  <si>
    <t>www.lixinger.com/analytics/company/sz/002226/2226/detail</t>
  </si>
  <si>
    <t>科华数据</t>
  </si>
  <si>
    <t>www.lixinger.com/analytics/company/sz/002335/2335/detail</t>
  </si>
  <si>
    <t>兰石重装</t>
  </si>
  <si>
    <t>www.lixinger.com/analytics/company/sh/603169/603169/detail</t>
  </si>
  <si>
    <t>金贵银业</t>
  </si>
  <si>
    <t>www.lixinger.com/analytics/company/sz/002716/2716/detail</t>
  </si>
  <si>
    <t>康缘药业</t>
  </si>
  <si>
    <t>www.lixinger.com/analytics/company/sh/600557/600557/detail</t>
  </si>
  <si>
    <t>四方股份</t>
  </si>
  <si>
    <t>www.lixinger.com/analytics/company/sh/601126/601126/detail</t>
  </si>
  <si>
    <t>电广传媒</t>
  </si>
  <si>
    <t>www.lixinger.com/analytics/company/sz/000917/917/detail</t>
  </si>
  <si>
    <t>振华科技</t>
  </si>
  <si>
    <t>www.lixinger.com/analytics/company/sz/000733/733/detail</t>
  </si>
  <si>
    <t>雪松发展</t>
  </si>
  <si>
    <t>www.lixinger.com/analytics/company/sz/002485/2485/detail</t>
  </si>
  <si>
    <t>上海临港</t>
  </si>
  <si>
    <t>www.lixinger.com/analytics/company/sh/600848/600848/detail</t>
  </si>
  <si>
    <t>东方能源</t>
  </si>
  <si>
    <t>www.lixinger.com/analytics/company/sz/000958/958/detail</t>
  </si>
  <si>
    <t>雷电微力</t>
  </si>
  <si>
    <t>www.lixinger.com/analytics/company/sz/301050/301050/detail</t>
  </si>
  <si>
    <t>悦康药业</t>
  </si>
  <si>
    <t>www.lixinger.com/analytics/company/sh/688658/688658/detail</t>
  </si>
  <si>
    <t>安洁科技</t>
  </si>
  <si>
    <t>www.lixinger.com/analytics/company/sz/002635/2635/detail</t>
  </si>
  <si>
    <t>宝鹰股份</t>
  </si>
  <si>
    <t>www.lixinger.com/analytics/company/sz/002047/2047/detail</t>
  </si>
  <si>
    <t>热景生物</t>
  </si>
  <si>
    <t>www.lixinger.com/analytics/company/sh/688068/688068/detail</t>
  </si>
  <si>
    <t>博众精工</t>
  </si>
  <si>
    <t>其他自动化设备</t>
  </si>
  <si>
    <t>www.lixinger.com/analytics/company/sh/688097/688097/detail</t>
  </si>
  <si>
    <t>仁和药业</t>
  </si>
  <si>
    <t>www.lixinger.com/analytics/company/sz/000650/650/detail</t>
  </si>
  <si>
    <t>长久物流</t>
  </si>
  <si>
    <t>www.lixinger.com/analytics/company/sh/603569/603569/detail</t>
  </si>
  <si>
    <t>飞乐音响</t>
  </si>
  <si>
    <t>www.lixinger.com/analytics/company/sh/600651/600651/detail</t>
  </si>
  <si>
    <t>惠而浦</t>
  </si>
  <si>
    <t>www.lixinger.com/analytics/company/sh/600983/600983/detail</t>
  </si>
  <si>
    <t>爱慕股份</t>
  </si>
  <si>
    <t>鞋帽及其他</t>
  </si>
  <si>
    <t>www.lixinger.com/analytics/company/sh/603511/603511/detail</t>
  </si>
  <si>
    <t>浙数文化</t>
  </si>
  <si>
    <t>www.lixinger.com/analytics/company/sh/600633/600633/detail</t>
  </si>
  <si>
    <t>东江环保</t>
  </si>
  <si>
    <t>www.lixinger.com/analytics/company/sz/002672/2672/detail</t>
  </si>
  <si>
    <t>日月股份</t>
  </si>
  <si>
    <t>www.lixinger.com/analytics/company/sh/603218/603218/detail</t>
  </si>
  <si>
    <t>豪美新材</t>
  </si>
  <si>
    <t>www.lixinger.com/analytics/company/sz/002988/2988/detail</t>
  </si>
  <si>
    <t>泰豪科技</t>
  </si>
  <si>
    <t>www.lixinger.com/analytics/company/sh/600590/600590/detail</t>
  </si>
  <si>
    <t>万里扬</t>
  </si>
  <si>
    <t>www.lixinger.com/analytics/company/sz/002434/2434/detail</t>
  </si>
  <si>
    <t>农产品</t>
  </si>
  <si>
    <t>www.lixinger.com/analytics/company/sz/000061/61/detail</t>
  </si>
  <si>
    <t>皖通高速</t>
  </si>
  <si>
    <t>www.lixinger.com/analytics/company/sh/600012/600012/detail</t>
  </si>
  <si>
    <t>昆仑万维</t>
  </si>
  <si>
    <t>www.lixinger.com/analytics/company/sz/300418/300418/detail</t>
  </si>
  <si>
    <t>海能达</t>
  </si>
  <si>
    <t>www.lixinger.com/analytics/company/sz/002583/2583/detail</t>
  </si>
  <si>
    <t>神州泰岳</t>
  </si>
  <si>
    <t>www.lixinger.com/analytics/company/sz/300002/300002/detail</t>
  </si>
  <si>
    <t>南极电商</t>
  </si>
  <si>
    <t>电商服务</t>
  </si>
  <si>
    <t>www.lixinger.com/analytics/company/sz/002127/2127/detail</t>
  </si>
  <si>
    <t>世运电路</t>
  </si>
  <si>
    <t>www.lixinger.com/analytics/company/sh/603920/603920/detail</t>
  </si>
  <si>
    <t>铜冠铜箔</t>
  </si>
  <si>
    <t>www.lixinger.com/analytics/company/sz/301217/301217/detail</t>
  </si>
  <si>
    <t>华大基因</t>
  </si>
  <si>
    <t>www.lixinger.com/analytics/company/sz/300676/300676/detail</t>
  </si>
  <si>
    <t>世联行</t>
  </si>
  <si>
    <t>www.lixinger.com/analytics/company/sz/002285/2285/detail</t>
  </si>
  <si>
    <t>郴电国际</t>
  </si>
  <si>
    <t>www.lixinger.com/analytics/company/sh/600969/600969/detail</t>
  </si>
  <si>
    <t>健友股份</t>
  </si>
  <si>
    <t>www.lixinger.com/analytics/company/sh/603707/603707/detail</t>
  </si>
  <si>
    <t>美克家居</t>
  </si>
  <si>
    <t>www.lixinger.com/analytics/company/sh/600337/600337/detail</t>
  </si>
  <si>
    <t>首旅酒店</t>
  </si>
  <si>
    <t>www.lixinger.com/analytics/company/sh/600258/600258/detail</t>
  </si>
  <si>
    <t>中微公司</t>
  </si>
  <si>
    <t>www.lixinger.com/analytics/company/sh/688012/688012/detail</t>
  </si>
  <si>
    <t>鲁抗医药</t>
  </si>
  <si>
    <t>www.lixinger.com/analytics/company/sh/600789/600789/detail</t>
  </si>
  <si>
    <t>隆华新材</t>
  </si>
  <si>
    <t>www.lixinger.com/analytics/company/sz/301149/301149/detail</t>
  </si>
  <si>
    <t>金山办公</t>
  </si>
  <si>
    <t>www.lixinger.com/analytics/company/sh/688111/688111/detail</t>
  </si>
  <si>
    <t>苏博特</t>
  </si>
  <si>
    <t>www.lixinger.com/analytics/company/sh/603916/603916/detail</t>
  </si>
  <si>
    <t>春秋电子</t>
  </si>
  <si>
    <t>www.lixinger.com/analytics/company/sh/603890/603890/detail</t>
  </si>
  <si>
    <t>通用股份</t>
  </si>
  <si>
    <t>www.lixinger.com/analytics/company/sh/601500/601500/detail</t>
  </si>
  <si>
    <t>萃华珠宝</t>
  </si>
  <si>
    <t>www.lixinger.com/analytics/company/sz/002731/2731/detail</t>
  </si>
  <si>
    <t>穗恒运Ａ</t>
  </si>
  <si>
    <t>www.lixinger.com/analytics/company/sz/000531/531/detail</t>
  </si>
  <si>
    <t>江特电机</t>
  </si>
  <si>
    <t>www.lixinger.com/analytics/company/sz/002176/2176/detail</t>
  </si>
  <si>
    <t>罗欣药业</t>
  </si>
  <si>
    <t>www.lixinger.com/analytics/company/sz/002793/2793/detail</t>
  </si>
  <si>
    <t>美盈森</t>
  </si>
  <si>
    <t>www.lixinger.com/analytics/company/sz/002303/2303/detail</t>
  </si>
  <si>
    <t>*ST银亿</t>
  </si>
  <si>
    <t>www.lixinger.com/analytics/company/sz/000981/981/detail</t>
  </si>
  <si>
    <t>紫光国微</t>
  </si>
  <si>
    <t>www.lixinger.com/analytics/company/sz/002049/2049/detail</t>
  </si>
  <si>
    <t>阳光照明</t>
  </si>
  <si>
    <t>www.lixinger.com/analytics/company/sh/600261/600261/detail</t>
  </si>
  <si>
    <t>珠江股份</t>
  </si>
  <si>
    <t>www.lixinger.com/analytics/company/sh/600684/600684/detail</t>
  </si>
  <si>
    <t>方大炭素</t>
  </si>
  <si>
    <t>www.lixinger.com/analytics/company/sh/600516/600516/detail</t>
  </si>
  <si>
    <t>浙江鼎力</t>
  </si>
  <si>
    <t>www.lixinger.com/analytics/company/sh/603338/603338/detail</t>
  </si>
  <si>
    <t>正海磁材</t>
  </si>
  <si>
    <t>www.lixinger.com/analytics/company/sz/300224/300224/detail</t>
  </si>
  <si>
    <t>正平股份</t>
  </si>
  <si>
    <t>www.lixinger.com/analytics/company/sh/603843/603843/detail</t>
  </si>
  <si>
    <t>五洲特纸</t>
  </si>
  <si>
    <t>www.lixinger.com/analytics/company/sh/605007/605007/detail</t>
  </si>
  <si>
    <t>力帆科技</t>
  </si>
  <si>
    <t>www.lixinger.com/analytics/company/sh/601777/601777/detail</t>
  </si>
  <si>
    <t>科达利</t>
  </si>
  <si>
    <t>www.lixinger.com/analytics/company/sz/002850/2850/detail</t>
  </si>
  <si>
    <t>西子洁能</t>
  </si>
  <si>
    <t>火电设备</t>
  </si>
  <si>
    <t>www.lixinger.com/analytics/company/sz/002534/2534/detail</t>
  </si>
  <si>
    <t>生益电子</t>
  </si>
  <si>
    <t>www.lixinger.com/analytics/company/sh/688183/688183/detail</t>
  </si>
  <si>
    <t>华软科技</t>
  </si>
  <si>
    <t>www.lixinger.com/analytics/company/sz/002453/2453/detail</t>
  </si>
  <si>
    <t>文峰股份</t>
  </si>
  <si>
    <t>www.lixinger.com/analytics/company/sh/601010/601010/detail</t>
  </si>
  <si>
    <t>纽威股份</t>
  </si>
  <si>
    <t>www.lixinger.com/analytics/company/sh/603699/603699/detail</t>
  </si>
  <si>
    <t>永茂泰</t>
  </si>
  <si>
    <t>www.lixinger.com/analytics/company/sh/605208/605208/detail</t>
  </si>
  <si>
    <t>格力地产</t>
  </si>
  <si>
    <t>www.lixinger.com/analytics/company/sh/600185/600185/detail</t>
  </si>
  <si>
    <t>今飞凯达</t>
  </si>
  <si>
    <t>www.lixinger.com/analytics/company/sz/002863/2863/detail</t>
  </si>
  <si>
    <t>天润工业</t>
  </si>
  <si>
    <t>www.lixinger.com/analytics/company/sz/002283/2283/detail</t>
  </si>
  <si>
    <t>亿联网络</t>
  </si>
  <si>
    <t>www.lixinger.com/analytics/company/sz/300628/300628/detail</t>
  </si>
  <si>
    <t>垒知集团</t>
  </si>
  <si>
    <t>www.lixinger.com/analytics/company/sz/002398/2398/detail</t>
  </si>
  <si>
    <t>水羊股份</t>
  </si>
  <si>
    <t>www.lixinger.com/analytics/company/sz/300740/300740/detail</t>
  </si>
  <si>
    <t>普邦股份</t>
  </si>
  <si>
    <t>www.lixinger.com/analytics/company/sz/002663/2663/detail</t>
  </si>
  <si>
    <t>通达股份</t>
  </si>
  <si>
    <t>www.lixinger.com/analytics/company/sz/002560/2560/detail</t>
  </si>
  <si>
    <t>七匹狼</t>
  </si>
  <si>
    <t>www.lixinger.com/analytics/company/sz/002029/2029/detail</t>
  </si>
  <si>
    <t>节能国祯</t>
  </si>
  <si>
    <t>www.lixinger.com/analytics/company/sz/300388/300388/detail</t>
  </si>
  <si>
    <t>中国国贸</t>
  </si>
  <si>
    <t>www.lixinger.com/analytics/company/sh/600007/600007/detail</t>
  </si>
  <si>
    <t>卓越新能</t>
  </si>
  <si>
    <t>www.lixinger.com/analytics/company/sh/688196/688196/detail</t>
  </si>
  <si>
    <t>富临精工</t>
  </si>
  <si>
    <t>www.lixinger.com/analytics/company/sz/300432/300432/detail</t>
  </si>
  <si>
    <t>水晶光电</t>
  </si>
  <si>
    <t>www.lixinger.com/analytics/company/sz/002273/2273/detail</t>
  </si>
  <si>
    <t>五矿稀土</t>
  </si>
  <si>
    <t>www.lixinger.com/analytics/company/sz/000831/831/detail</t>
  </si>
  <si>
    <t>康弘药业</t>
  </si>
  <si>
    <t>www.lixinger.com/analytics/company/sz/002773/2773/detail</t>
  </si>
  <si>
    <t>太龙股份</t>
  </si>
  <si>
    <t>www.lixinger.com/analytics/company/sz/300650/300650/detail</t>
  </si>
  <si>
    <t>华凯创意</t>
  </si>
  <si>
    <t>www.lixinger.com/analytics/company/sz/300592/300592/detail</t>
  </si>
  <si>
    <t>伟明环保</t>
  </si>
  <si>
    <t>www.lixinger.com/analytics/company/sh/603568/603568/detail</t>
  </si>
  <si>
    <t>网宿科技</t>
  </si>
  <si>
    <t>www.lixinger.com/analytics/company/sz/300017/300017/detail</t>
  </si>
  <si>
    <t>珍宝岛</t>
  </si>
  <si>
    <t>www.lixinger.com/analytics/company/sh/603567/603567/detail</t>
  </si>
  <si>
    <t>奥士康</t>
  </si>
  <si>
    <t>www.lixinger.com/analytics/company/sz/002913/2913/detail</t>
  </si>
  <si>
    <t>德尔股份</t>
  </si>
  <si>
    <t>www.lixinger.com/analytics/company/sz/300473/300473/detail</t>
  </si>
  <si>
    <t>海鸥住工</t>
  </si>
  <si>
    <t>www.lixinger.com/analytics/company/sz/002084/2084/detail</t>
  </si>
  <si>
    <t>内蒙一机</t>
  </si>
  <si>
    <t>地面兵装</t>
  </si>
  <si>
    <t>www.lixinger.com/analytics/company/sh/600967/600967/detail</t>
  </si>
  <si>
    <t>东方电缆</t>
  </si>
  <si>
    <t>www.lixinger.com/analytics/company/sh/603606/603606/detail</t>
  </si>
  <si>
    <t>朗姿股份</t>
  </si>
  <si>
    <t>www.lixinger.com/analytics/company/sz/002612/2612/detail</t>
  </si>
  <si>
    <t>中新集团</t>
  </si>
  <si>
    <t>www.lixinger.com/analytics/company/sh/601512/601512/detail</t>
  </si>
  <si>
    <t>鸿合科技</t>
  </si>
  <si>
    <t>www.lixinger.com/analytics/company/sz/002955/2955/detail</t>
  </si>
  <si>
    <t>诺唯赞</t>
  </si>
  <si>
    <t>www.lixinger.com/analytics/company/sh/688105/688105/detail</t>
  </si>
  <si>
    <t>双林股份</t>
  </si>
  <si>
    <t>www.lixinger.com/analytics/company/sz/300100/300100/detail</t>
  </si>
  <si>
    <t>新华联</t>
  </si>
  <si>
    <t>www.lixinger.com/analytics/company/sz/000620/620/detail</t>
  </si>
  <si>
    <t>爱婴室</t>
  </si>
  <si>
    <t>www.lixinger.com/analytics/company/sh/603214/603214/detail</t>
  </si>
  <si>
    <t>浙大网新</t>
  </si>
  <si>
    <t>www.lixinger.com/analytics/company/sh/600797/600797/detail</t>
  </si>
  <si>
    <t>常宝股份</t>
  </si>
  <si>
    <t>www.lixinger.com/analytics/company/sz/002478/2478/detail</t>
  </si>
  <si>
    <t>沃尔核材</t>
  </si>
  <si>
    <t>www.lixinger.com/analytics/company/sz/002130/2130/detail</t>
  </si>
  <si>
    <t>渤海汽车</t>
  </si>
  <si>
    <t>www.lixinger.com/analytics/company/sh/600960/600960/detail</t>
  </si>
  <si>
    <t>爱普股份</t>
  </si>
  <si>
    <t>www.lixinger.com/analytics/company/sh/603020/603020/detail</t>
  </si>
  <si>
    <t>祁连山</t>
  </si>
  <si>
    <t>www.lixinger.com/analytics/company/sh/600720/600720/detail</t>
  </si>
  <si>
    <t>意华股份</t>
  </si>
  <si>
    <t>www.lixinger.com/analytics/company/sz/002897/2897/detail</t>
  </si>
  <si>
    <t>拓斯达</t>
  </si>
  <si>
    <t>机器人</t>
  </si>
  <si>
    <t>www.lixinger.com/analytics/company/sz/300607/300607/detail</t>
  </si>
  <si>
    <t>鑫铂股份</t>
  </si>
  <si>
    <t>www.lixinger.com/analytics/company/sz/003038/3038/detail</t>
  </si>
  <si>
    <t>普利特</t>
  </si>
  <si>
    <t>www.lixinger.com/analytics/company/sz/002324/2324/detail</t>
  </si>
  <si>
    <t>酒鬼酒</t>
  </si>
  <si>
    <t>www.lixinger.com/analytics/company/sz/000799/799/detail</t>
  </si>
  <si>
    <t>九芝堂</t>
  </si>
  <si>
    <t>www.lixinger.com/analytics/company/sz/000989/989/detail</t>
  </si>
  <si>
    <t>富春环保</t>
  </si>
  <si>
    <t>www.lixinger.com/analytics/company/sz/002479/2479/detail</t>
  </si>
  <si>
    <t>银邦股份</t>
  </si>
  <si>
    <t>www.lixinger.com/analytics/company/sz/300337/300337/detail</t>
  </si>
  <si>
    <t>尚品宅配</t>
  </si>
  <si>
    <t>www.lixinger.com/analytics/company/sz/300616/300616/detail</t>
  </si>
  <si>
    <t>水星家纺</t>
  </si>
  <si>
    <t>www.lixinger.com/analytics/company/sh/603365/603365/detail</t>
  </si>
  <si>
    <t>顺络电子</t>
  </si>
  <si>
    <t>www.lixinger.com/analytics/company/sz/002138/2138/detail</t>
  </si>
  <si>
    <t>林洋能源</t>
  </si>
  <si>
    <t>光伏发电</t>
  </si>
  <si>
    <t>www.lixinger.com/analytics/company/sh/601222/601222/detail</t>
  </si>
  <si>
    <t>亿帆医药</t>
  </si>
  <si>
    <t>www.lixinger.com/analytics/company/sz/002019/2019/detail</t>
  </si>
  <si>
    <t>罗牛山</t>
  </si>
  <si>
    <t>www.lixinger.com/analytics/company/sz/000735/735/detail</t>
  </si>
  <si>
    <t>联创光电</t>
  </si>
  <si>
    <t>www.lixinger.com/analytics/company/sh/600363/600363/detail</t>
  </si>
  <si>
    <t>报喜鸟</t>
  </si>
  <si>
    <t>www.lixinger.com/analytics/company/sz/002154/2154/detail</t>
  </si>
  <si>
    <t>扬杰科技</t>
  </si>
  <si>
    <t>www.lixinger.com/analytics/company/sz/300373/300373/detail</t>
  </si>
  <si>
    <t>珠江啤酒</t>
  </si>
  <si>
    <t>www.lixinger.com/analytics/company/sz/002461/2461/detail</t>
  </si>
  <si>
    <t>保隆科技</t>
  </si>
  <si>
    <t>www.lixinger.com/analytics/company/sh/603197/603197/detail</t>
  </si>
  <si>
    <t>日海智能</t>
  </si>
  <si>
    <t>www.lixinger.com/analytics/company/sz/002313/2313/detail</t>
  </si>
  <si>
    <t>丰原药业</t>
  </si>
  <si>
    <t>www.lixinger.com/analytics/company/sz/000153/153/detail</t>
  </si>
  <si>
    <t>北巴传媒</t>
  </si>
  <si>
    <t>www.lixinger.com/analytics/company/sh/600386/600386/detail</t>
  </si>
  <si>
    <t>京运通</t>
  </si>
  <si>
    <t>www.lixinger.com/analytics/company/sh/601908/601908/detail</t>
  </si>
  <si>
    <t>香江控股</t>
  </si>
  <si>
    <t>www.lixinger.com/analytics/company/sh/600162/600162/detail</t>
  </si>
  <si>
    <t>华测检测</t>
  </si>
  <si>
    <t>检测服务</t>
  </si>
  <si>
    <t>www.lixinger.com/analytics/company/sz/300012/300012/detail</t>
  </si>
  <si>
    <t>杰赛科技</t>
  </si>
  <si>
    <t>www.lixinger.com/analytics/company/sz/002544/2544/detail</t>
  </si>
  <si>
    <t>东方精工</t>
  </si>
  <si>
    <t>印刷包装机械</t>
  </si>
  <si>
    <t>www.lixinger.com/analytics/company/sz/002611/2611/detail</t>
  </si>
  <si>
    <t>松霖科技</t>
  </si>
  <si>
    <t>www.lixinger.com/analytics/company/sh/603992/603992/detail</t>
  </si>
  <si>
    <t>云内动力</t>
  </si>
  <si>
    <t>www.lixinger.com/analytics/company/sz/000903/903/detail</t>
  </si>
  <si>
    <t>招商南油</t>
  </si>
  <si>
    <t>www.lixinger.com/analytics/company/sh/601975/601975/detail</t>
  </si>
  <si>
    <t>仙坛股份</t>
  </si>
  <si>
    <t>www.lixinger.com/analytics/company/sz/002746/2746/detail</t>
  </si>
  <si>
    <t>南侨食品</t>
  </si>
  <si>
    <t>www.lixinger.com/analytics/company/sh/605339/605339/detail</t>
  </si>
  <si>
    <t>天通股份</t>
  </si>
  <si>
    <t>www.lixinger.com/analytics/company/sh/600330/600330/detail</t>
  </si>
  <si>
    <t>启明星辰</t>
  </si>
  <si>
    <t>www.lixinger.com/analytics/company/sz/002439/2439/detail</t>
  </si>
  <si>
    <t>开山股份</t>
  </si>
  <si>
    <t>www.lixinger.com/analytics/company/sz/300257/300257/detail</t>
  </si>
  <si>
    <t>飞荣达</t>
  </si>
  <si>
    <t>www.lixinger.com/analytics/company/sz/300602/300602/detail</t>
  </si>
  <si>
    <t>蓝光发展</t>
  </si>
  <si>
    <t>www.lixinger.com/analytics/company/sh/600466/600466/detail</t>
  </si>
  <si>
    <t>志邦家居</t>
  </si>
  <si>
    <t>www.lixinger.com/analytics/company/sh/603801/603801/detail</t>
  </si>
  <si>
    <t>中国出版</t>
  </si>
  <si>
    <t>www.lixinger.com/analytics/company/sh/601949/601949/detail</t>
  </si>
  <si>
    <t>天壕环境</t>
  </si>
  <si>
    <t>www.lixinger.com/analytics/company/sz/300332/300332/detail</t>
  </si>
  <si>
    <t>中光学</t>
  </si>
  <si>
    <t>www.lixinger.com/analytics/company/sz/002189/2189/detail</t>
  </si>
  <si>
    <t>朗新科技</t>
  </si>
  <si>
    <t>www.lixinger.com/analytics/company/sz/300682/300682/detail</t>
  </si>
  <si>
    <t>新朋股份</t>
  </si>
  <si>
    <t>www.lixinger.com/analytics/company/sz/002328/2328/detail</t>
  </si>
  <si>
    <t>仙琚制药</t>
  </si>
  <si>
    <t>www.lixinger.com/analytics/company/sz/002332/2332/detail</t>
  </si>
  <si>
    <t>恺英网络</t>
  </si>
  <si>
    <t>www.lixinger.com/analytics/company/sz/002517/2517/detail</t>
  </si>
  <si>
    <t>建设机械</t>
  </si>
  <si>
    <t>www.lixinger.com/analytics/company/sh/600984/600984/detail</t>
  </si>
  <si>
    <t>节能铁汉</t>
  </si>
  <si>
    <t>www.lixinger.com/analytics/company/sz/300197/300197/detail</t>
  </si>
  <si>
    <t>航锦科技</t>
  </si>
  <si>
    <t>www.lixinger.com/analytics/company/sz/000818/818/detail</t>
  </si>
  <si>
    <t>易事特</t>
  </si>
  <si>
    <t>www.lixinger.com/analytics/company/sz/300376/300376/detail</t>
  </si>
  <si>
    <t>科大智能</t>
  </si>
  <si>
    <t>www.lixinger.com/analytics/company/sz/300222/300222/detail</t>
  </si>
  <si>
    <t>海螺新材</t>
  </si>
  <si>
    <t>www.lixinger.com/analytics/company/sz/000619/619/detail</t>
  </si>
  <si>
    <t>九牧王</t>
  </si>
  <si>
    <t>www.lixinger.com/analytics/company/sh/601566/601566/detail</t>
  </si>
  <si>
    <t>景津装备</t>
  </si>
  <si>
    <t>www.lixinger.com/analytics/company/sh/603279/603279/detail</t>
  </si>
  <si>
    <t>青松股份</t>
  </si>
  <si>
    <t>www.lixinger.com/analytics/company/sz/300132/300132/detail</t>
  </si>
  <si>
    <t>火炬电子</t>
  </si>
  <si>
    <t>www.lixinger.com/analytics/company/sh/603678/603678/detail</t>
  </si>
  <si>
    <t>金诚信</t>
  </si>
  <si>
    <t>www.lixinger.com/analytics/company/sh/603979/603979/detail</t>
  </si>
  <si>
    <t>创世纪</t>
  </si>
  <si>
    <t>www.lixinger.com/analytics/company/sz/300083/300083/detail</t>
  </si>
  <si>
    <t>海格通信</t>
  </si>
  <si>
    <t>www.lixinger.com/analytics/company/sz/002465/2465/detail</t>
  </si>
  <si>
    <t>中控技术</t>
  </si>
  <si>
    <t>www.lixinger.com/analytics/company/sh/688777/688777/detail</t>
  </si>
  <si>
    <t>金龙羽</t>
  </si>
  <si>
    <t>www.lixinger.com/analytics/company/sz/002882/2882/detail</t>
  </si>
  <si>
    <t>深振业Ａ</t>
  </si>
  <si>
    <t>www.lixinger.com/analytics/company/sz/000006/6/detail</t>
  </si>
  <si>
    <t>震裕科技</t>
  </si>
  <si>
    <t>www.lixinger.com/analytics/company/sz/300953/300953/detail</t>
  </si>
  <si>
    <t>兴化股份</t>
  </si>
  <si>
    <t>www.lixinger.com/analytics/company/sz/002109/2109/detail</t>
  </si>
  <si>
    <t>甘李药业</t>
  </si>
  <si>
    <t>www.lixinger.com/analytics/company/sh/603087/603087/detail</t>
  </si>
  <si>
    <t>复旦微电</t>
  </si>
  <si>
    <t>www.lixinger.com/analytics/company/sh/688385/688385/detail</t>
  </si>
  <si>
    <t>智度股份</t>
  </si>
  <si>
    <t>www.lixinger.com/analytics/company/sz/000676/676/detail</t>
  </si>
  <si>
    <t>保利联合</t>
  </si>
  <si>
    <t>www.lixinger.com/analytics/company/sz/002037/2037/detail</t>
  </si>
  <si>
    <t>振东制药</t>
  </si>
  <si>
    <t>www.lixinger.com/analytics/company/sz/300158/300158/detail</t>
  </si>
  <si>
    <t>浙江震元</t>
  </si>
  <si>
    <t>www.lixinger.com/analytics/company/sz/000705/705/detail</t>
  </si>
  <si>
    <t>丽人丽妆</t>
  </si>
  <si>
    <t>www.lixinger.com/analytics/company/sh/605136/605136/detail</t>
  </si>
  <si>
    <t>国星光电</t>
  </si>
  <si>
    <t>www.lixinger.com/analytics/company/sz/002449/2449/detail</t>
  </si>
  <si>
    <t>比音勒芬</t>
  </si>
  <si>
    <t>www.lixinger.com/analytics/company/sz/002832/2832/detail</t>
  </si>
  <si>
    <t>万盛股份</t>
  </si>
  <si>
    <t>其他塑料制品</t>
  </si>
  <si>
    <t>www.lixinger.com/analytics/company/sh/603010/603010/detail</t>
  </si>
  <si>
    <t>松芝股份</t>
  </si>
  <si>
    <t>www.lixinger.com/analytics/company/sz/002454/2454/detail</t>
  </si>
  <si>
    <t>贝泰妮</t>
  </si>
  <si>
    <t>www.lixinger.com/analytics/company/sz/300957/300957/detail</t>
  </si>
  <si>
    <t>通化东宝</t>
  </si>
  <si>
    <t>www.lixinger.com/analytics/company/sh/600867/600867/detail</t>
  </si>
  <si>
    <t>嘉元科技</t>
  </si>
  <si>
    <t>www.lixinger.com/analytics/company/sh/688388/688388/detail</t>
  </si>
  <si>
    <t>吉翔股份</t>
  </si>
  <si>
    <t>www.lixinger.com/analytics/company/sh/603399/603399/detail</t>
  </si>
  <si>
    <t>中国天楹</t>
  </si>
  <si>
    <t>www.lixinger.com/analytics/company/sz/000035/35/detail</t>
  </si>
  <si>
    <t>荣联科技</t>
  </si>
  <si>
    <t>www.lixinger.com/analytics/company/sz/002642/2642/detail</t>
  </si>
  <si>
    <t>悦达投资</t>
  </si>
  <si>
    <t>www.lixinger.com/analytics/company/sh/600805/600805/detail</t>
  </si>
  <si>
    <t>东方铁塔</t>
  </si>
  <si>
    <t>www.lixinger.com/analytics/company/sz/002545/2545/detail</t>
  </si>
  <si>
    <t>惠达卫浴</t>
  </si>
  <si>
    <t>www.lixinger.com/analytics/company/sh/603385/603385/detail</t>
  </si>
  <si>
    <t>思美传媒</t>
  </si>
  <si>
    <t>www.lixinger.com/analytics/company/sz/002712/2712/detail</t>
  </si>
  <si>
    <t>嘉美包装</t>
  </si>
  <si>
    <t>www.lixinger.com/analytics/company/sz/002969/2969/detail</t>
  </si>
  <si>
    <t>赢合科技</t>
  </si>
  <si>
    <t>www.lixinger.com/analytics/company/sz/300457/300457/detail</t>
  </si>
  <si>
    <t>天融信</t>
  </si>
  <si>
    <t>www.lixinger.com/analytics/company/sz/002212/2212/detail</t>
  </si>
  <si>
    <t>华纺股份</t>
  </si>
  <si>
    <t>www.lixinger.com/analytics/company/sh/600448/600448/detail</t>
  </si>
  <si>
    <t>中泰股份</t>
  </si>
  <si>
    <t>www.lixinger.com/analytics/company/sz/300435/300435/detail</t>
  </si>
  <si>
    <t>电连技术</t>
  </si>
  <si>
    <t>www.lixinger.com/analytics/company/sz/300679/300679/detail</t>
  </si>
  <si>
    <t>濮耐股份</t>
  </si>
  <si>
    <t>www.lixinger.com/analytics/company/sz/002225/2225/detail</t>
  </si>
  <si>
    <t>创业环保</t>
  </si>
  <si>
    <t>www.lixinger.com/analytics/company/sh/600874/600874/detail</t>
  </si>
  <si>
    <t>上海机场</t>
  </si>
  <si>
    <t>www.lixinger.com/analytics/company/sh/600009/600009/detail</t>
  </si>
  <si>
    <t>日上集团</t>
  </si>
  <si>
    <t>www.lixinger.com/analytics/company/sz/002593/2593/detail</t>
  </si>
  <si>
    <t>汇金股份</t>
  </si>
  <si>
    <t>www.lixinger.com/analytics/company/sz/300368/300368/detail</t>
  </si>
  <si>
    <t>中化岩土</t>
  </si>
  <si>
    <t>www.lixinger.com/analytics/company/sz/002542/2542/detail</t>
  </si>
  <si>
    <t>侨银股份</t>
  </si>
  <si>
    <t>www.lixinger.com/analytics/company/sz/002973/2973/detail</t>
  </si>
  <si>
    <t>澜起科技</t>
  </si>
  <si>
    <t>www.lixinger.com/analytics/company/sh/688008/688008/detail</t>
  </si>
  <si>
    <t>华正新材</t>
  </si>
  <si>
    <t>www.lixinger.com/analytics/company/sh/603186/603186/detail</t>
  </si>
  <si>
    <t>四维图新</t>
  </si>
  <si>
    <t>www.lixinger.com/analytics/company/sz/002405/2405/detail</t>
  </si>
  <si>
    <t>信立泰</t>
  </si>
  <si>
    <t>www.lixinger.com/analytics/company/sz/002294/2294/detail</t>
  </si>
  <si>
    <t>吴通控股</t>
  </si>
  <si>
    <t>通信应用增值服务</t>
  </si>
  <si>
    <t>www.lixinger.com/analytics/company/sz/300292/300292/detail</t>
  </si>
  <si>
    <t>雄韬股份</t>
  </si>
  <si>
    <t>www.lixinger.com/analytics/company/sz/002733/2733/detail</t>
  </si>
  <si>
    <t>圣邦股份</t>
  </si>
  <si>
    <t>www.lixinger.com/analytics/company/sz/300661/300661/detail</t>
  </si>
  <si>
    <t>东诚药业</t>
  </si>
  <si>
    <t>www.lixinger.com/analytics/company/sz/002675/2675/detail</t>
  </si>
  <si>
    <t>中航电子</t>
  </si>
  <si>
    <t>www.lixinger.com/analytics/company/sh/600372/600372/detail</t>
  </si>
  <si>
    <t>今创集团</t>
  </si>
  <si>
    <t>www.lixinger.com/analytics/company/sh/603680/603680/detail</t>
  </si>
  <si>
    <t>三和管桩</t>
  </si>
  <si>
    <t>www.lixinger.com/analytics/company/sz/003037/3037/detail</t>
  </si>
  <si>
    <t>北斗星通</t>
  </si>
  <si>
    <t>www.lixinger.com/analytics/company/sz/002151/2151/detail</t>
  </si>
  <si>
    <t>创元科技</t>
  </si>
  <si>
    <t>www.lixinger.com/analytics/company/sz/000551/551/detail</t>
  </si>
  <si>
    <t>湘财股份</t>
  </si>
  <si>
    <t>www.lixinger.com/analytics/company/sh/600095/600095/detail</t>
  </si>
  <si>
    <t>泰山石油</t>
  </si>
  <si>
    <t>www.lixinger.com/analytics/company/sz/000554/554/detail</t>
  </si>
  <si>
    <t>云赛智联</t>
  </si>
  <si>
    <t>www.lixinger.com/analytics/company/sh/600602/600602/detail</t>
  </si>
  <si>
    <t>京威股份</t>
  </si>
  <si>
    <t>www.lixinger.com/analytics/company/sz/002662/2662/detail</t>
  </si>
  <si>
    <t>北方导航</t>
  </si>
  <si>
    <t>www.lixinger.com/analytics/company/sh/600435/600435/detail</t>
  </si>
  <si>
    <t>新能泰山</t>
  </si>
  <si>
    <t>www.lixinger.com/analytics/company/sz/000720/720/detail</t>
  </si>
  <si>
    <t>金徽酒</t>
  </si>
  <si>
    <t>www.lixinger.com/analytics/company/sh/603919/603919/detail</t>
  </si>
  <si>
    <t>岳阳兴长</t>
  </si>
  <si>
    <t>www.lixinger.com/analytics/company/sz/000819/819/detail</t>
  </si>
  <si>
    <t>天坛生物</t>
  </si>
  <si>
    <t>www.lixinger.com/analytics/company/sh/600161/600161/detail</t>
  </si>
  <si>
    <t>城发环境</t>
  </si>
  <si>
    <t>www.lixinger.com/analytics/company/sz/000885/885/detail</t>
  </si>
  <si>
    <t>三维股份</t>
  </si>
  <si>
    <t>其他橡胶制品</t>
  </si>
  <si>
    <t>www.lixinger.com/analytics/company/sh/603033/603033/detail</t>
  </si>
  <si>
    <t>捷昌驱动</t>
  </si>
  <si>
    <t>www.lixinger.com/analytics/company/sh/603583/603583/detail</t>
  </si>
  <si>
    <t>尖峰集团</t>
  </si>
  <si>
    <t>www.lixinger.com/analytics/company/sh/600668/600668/detail</t>
  </si>
  <si>
    <t>航天电器</t>
  </si>
  <si>
    <t>www.lixinger.com/analytics/company/sz/002025/2025/detail</t>
  </si>
  <si>
    <t>誉衡药业</t>
  </si>
  <si>
    <t>www.lixinger.com/analytics/company/sz/002437/2437/detail</t>
  </si>
  <si>
    <t>海天精工</t>
  </si>
  <si>
    <t>机床工具</t>
  </si>
  <si>
    <t>www.lixinger.com/analytics/company/sh/601882/601882/detail</t>
  </si>
  <si>
    <t>千金药业</t>
  </si>
  <si>
    <t>www.lixinger.com/analytics/company/sh/600479/600479/detail</t>
  </si>
  <si>
    <t>中原高速</t>
  </si>
  <si>
    <t>www.lixinger.com/analytics/company/sh/600020/600020/detail</t>
  </si>
  <si>
    <t>宝泰隆</t>
  </si>
  <si>
    <t>www.lixinger.com/analytics/company/sh/601011/601011/detail</t>
  </si>
  <si>
    <t>捷佳伟创</t>
  </si>
  <si>
    <t>www.lixinger.com/analytics/company/sz/300724/300724/detail</t>
  </si>
  <si>
    <t>宁波富达</t>
  </si>
  <si>
    <t>www.lixinger.com/analytics/company/sh/600724/600724/detail</t>
  </si>
  <si>
    <t>东方嘉盛</t>
  </si>
  <si>
    <t>www.lixinger.com/analytics/company/sz/002889/2889/detail</t>
  </si>
  <si>
    <t>佳云科技</t>
  </si>
  <si>
    <t>www.lixinger.com/analytics/company/sz/300242/300242/detail</t>
  </si>
  <si>
    <t>广弘控股</t>
  </si>
  <si>
    <t>www.lixinger.com/analytics/company/sz/000529/529/detail</t>
  </si>
  <si>
    <t>乐山电力</t>
  </si>
  <si>
    <t>www.lixinger.com/analytics/company/sh/600644/600644/detail</t>
  </si>
  <si>
    <t>杭州热电</t>
  </si>
  <si>
    <t>www.lixinger.com/analytics/company/sh/605011/605011/detail</t>
  </si>
  <si>
    <t>长鹰信质</t>
  </si>
  <si>
    <t>www.lixinger.com/analytics/company/sz/002664/2664/detail</t>
  </si>
  <si>
    <t>卓然股份</t>
  </si>
  <si>
    <t>www.lixinger.com/analytics/company/sh/688121/688121/detail</t>
  </si>
  <si>
    <t>京新药业</t>
  </si>
  <si>
    <t>www.lixinger.com/analytics/company/sz/002020/2020/detail</t>
  </si>
  <si>
    <t>爱柯迪</t>
  </si>
  <si>
    <t>www.lixinger.com/analytics/company/sh/600933/600933/detail</t>
  </si>
  <si>
    <t>伯特利</t>
  </si>
  <si>
    <t>www.lixinger.com/analytics/company/sh/603596/603596/detail</t>
  </si>
  <si>
    <t>康德莱</t>
  </si>
  <si>
    <t>www.lixinger.com/analytics/company/sh/603987/603987/detail</t>
  </si>
  <si>
    <t>上海易连</t>
  </si>
  <si>
    <t>印刷</t>
  </si>
  <si>
    <t>www.lixinger.com/analytics/company/sh/600836/600836/detail</t>
  </si>
  <si>
    <t>*ST华昌</t>
  </si>
  <si>
    <t>www.lixinger.com/analytics/company/sz/300278/300278/detail</t>
  </si>
  <si>
    <t>华兰生物</t>
  </si>
  <si>
    <t>www.lixinger.com/analytics/company/sz/002007/2007/detail</t>
  </si>
  <si>
    <t>力合科创</t>
  </si>
  <si>
    <t>www.lixinger.com/analytics/company/sz/002243/2243/detail</t>
  </si>
  <si>
    <t>贝因美</t>
  </si>
  <si>
    <t>www.lixinger.com/analytics/company/sz/002570/2570/detail</t>
  </si>
  <si>
    <t>迈克生物</t>
  </si>
  <si>
    <t>www.lixinger.com/analytics/company/sz/300463/300463/detail</t>
  </si>
  <si>
    <t>中洲控股</t>
  </si>
  <si>
    <t>www.lixinger.com/analytics/company/sz/000042/42/detail</t>
  </si>
  <si>
    <t>电子城</t>
  </si>
  <si>
    <t>www.lixinger.com/analytics/company/sh/600658/600658/detail</t>
  </si>
  <si>
    <t>瑞泰科技</t>
  </si>
  <si>
    <t>www.lixinger.com/analytics/company/sz/002066/2066/detail</t>
  </si>
  <si>
    <t>百川股份</t>
  </si>
  <si>
    <t>www.lixinger.com/analytics/company/sz/002455/2455/detail</t>
  </si>
  <si>
    <t>弘信电子</t>
  </si>
  <si>
    <t>www.lixinger.com/analytics/company/sz/300657/300657/detail</t>
  </si>
  <si>
    <t>南京高科</t>
  </si>
  <si>
    <t>www.lixinger.com/analytics/company/sh/600064/600064/detail</t>
  </si>
  <si>
    <t>康达新材</t>
  </si>
  <si>
    <t>www.lixinger.com/analytics/company/sz/002669/2669/detail</t>
  </si>
  <si>
    <t>亚士创能</t>
  </si>
  <si>
    <t>www.lixinger.com/analytics/company/sh/603378/603378/detail</t>
  </si>
  <si>
    <t>利民股份</t>
  </si>
  <si>
    <t>www.lixinger.com/analytics/company/sz/002734/2734/detail</t>
  </si>
  <si>
    <t>帝科股份</t>
  </si>
  <si>
    <t>www.lixinger.com/analytics/company/sz/300842/300842/detail</t>
  </si>
  <si>
    <t>飞凯材料</t>
  </si>
  <si>
    <t>www.lixinger.com/analytics/company/sz/300398/300398/detail</t>
  </si>
  <si>
    <t>奇安信</t>
  </si>
  <si>
    <t>www.lixinger.com/analytics/company/sh/688561/688561/detail</t>
  </si>
  <si>
    <t>天际股份</t>
  </si>
  <si>
    <t>www.lixinger.com/analytics/company/sz/002759/2759/detail</t>
  </si>
  <si>
    <t>指南针</t>
  </si>
  <si>
    <t>www.lixinger.com/analytics/company/sz/300803/300803/detail</t>
  </si>
  <si>
    <t>*ST康美</t>
  </si>
  <si>
    <t>www.lixinger.com/analytics/company/sh/600518/600518/detail</t>
  </si>
  <si>
    <t>全筑股份</t>
  </si>
  <si>
    <t>www.lixinger.com/analytics/company/sh/603030/603030/detail</t>
  </si>
  <si>
    <t>东方电热</t>
  </si>
  <si>
    <t>www.lixinger.com/analytics/company/sz/300217/300217/detail</t>
  </si>
  <si>
    <t>山东药玻</t>
  </si>
  <si>
    <t>www.lixinger.com/analytics/company/sh/600529/600529/detail</t>
  </si>
  <si>
    <t>宁波韵升</t>
  </si>
  <si>
    <t>www.lixinger.com/analytics/company/sh/600366/600366/detail</t>
  </si>
  <si>
    <t>星期六</t>
  </si>
  <si>
    <t>www.lixinger.com/analytics/company/sz/002291/2291/detail</t>
  </si>
  <si>
    <t>伊之密</t>
  </si>
  <si>
    <t>www.lixinger.com/analytics/company/sz/300415/300415/detail</t>
  </si>
  <si>
    <t>中金环境</t>
  </si>
  <si>
    <t>www.lixinger.com/analytics/company/sz/300145/300145/detail</t>
  </si>
  <si>
    <t>柯利达</t>
  </si>
  <si>
    <t>www.lixinger.com/analytics/company/sh/603828/603828/detail</t>
  </si>
  <si>
    <t>广州酒家</t>
  </si>
  <si>
    <t>www.lixinger.com/analytics/company/sh/603043/603043/detail</t>
  </si>
  <si>
    <t>东风股份</t>
  </si>
  <si>
    <t>www.lixinger.com/analytics/company/sh/601515/601515/detail</t>
  </si>
  <si>
    <t>双良节能</t>
  </si>
  <si>
    <t>www.lixinger.com/analytics/company/sh/600481/600481/detail</t>
  </si>
  <si>
    <t>伟星股份</t>
  </si>
  <si>
    <t>辅料</t>
  </si>
  <si>
    <t>www.lixinger.com/analytics/company/sz/002003/2003/detail</t>
  </si>
  <si>
    <t>中航重机</t>
  </si>
  <si>
    <t>www.lixinger.com/analytics/company/sh/600765/600765/detail</t>
  </si>
  <si>
    <t>派能科技</t>
  </si>
  <si>
    <t>www.lixinger.com/analytics/company/sh/688063/688063/detail</t>
  </si>
  <si>
    <t>梦网科技</t>
  </si>
  <si>
    <t>www.lixinger.com/analytics/company/sz/002123/2123/detail</t>
  </si>
  <si>
    <t>四川九洲</t>
  </si>
  <si>
    <t>www.lixinger.com/analytics/company/sz/000801/801/detail</t>
  </si>
  <si>
    <t>法拉电子</t>
  </si>
  <si>
    <t>www.lixinger.com/analytics/company/sh/600563/600563/detail</t>
  </si>
  <si>
    <t>台华新材</t>
  </si>
  <si>
    <t>www.lixinger.com/analytics/company/sh/603055/603055/detail</t>
  </si>
  <si>
    <t>沧州大化</t>
  </si>
  <si>
    <t>www.lixinger.com/analytics/company/sh/600230/600230/detail</t>
  </si>
  <si>
    <t>埃斯顿</t>
  </si>
  <si>
    <t>www.lixinger.com/analytics/company/sz/002747/2747/detail</t>
  </si>
  <si>
    <t>依顿电子</t>
  </si>
  <si>
    <t>www.lixinger.com/analytics/company/sh/603328/603328/detail</t>
  </si>
  <si>
    <t>湘佳股份</t>
  </si>
  <si>
    <t>www.lixinger.com/analytics/company/sz/002982/2982/detail</t>
  </si>
  <si>
    <t>中成股份</t>
  </si>
  <si>
    <t>www.lixinger.com/analytics/company/sz/000151/151/detail</t>
  </si>
  <si>
    <t>新亚制程</t>
  </si>
  <si>
    <t>www.lixinger.com/analytics/company/sz/002388/2388/detail</t>
  </si>
  <si>
    <t>浩通科技</t>
  </si>
  <si>
    <t>www.lixinger.com/analytics/company/sz/301026/301026/detail</t>
  </si>
  <si>
    <t>爱仕达</t>
  </si>
  <si>
    <t>www.lixinger.com/analytics/company/sz/002403/2403/detail</t>
  </si>
  <si>
    <t>天沃科技</t>
  </si>
  <si>
    <t>www.lixinger.com/analytics/company/sz/002564/2564/detail</t>
  </si>
  <si>
    <t>麒盛科技</t>
  </si>
  <si>
    <t>www.lixinger.com/analytics/company/sh/603610/603610/detail</t>
  </si>
  <si>
    <t>久祺股份</t>
  </si>
  <si>
    <t>www.lixinger.com/analytics/company/sz/300994/300994/detail</t>
  </si>
  <si>
    <t>赛腾股份</t>
  </si>
  <si>
    <t>www.lixinger.com/analytics/company/sh/603283/603283/detail</t>
  </si>
  <si>
    <t>中兵红箭</t>
  </si>
  <si>
    <t>www.lixinger.com/analytics/company/sz/000519/519/detail</t>
  </si>
  <si>
    <t>南宁糖业</t>
  </si>
  <si>
    <t>www.lixinger.com/analytics/company/sz/000911/911/detail</t>
  </si>
  <si>
    <t>安彩高科</t>
  </si>
  <si>
    <t>www.lixinger.com/analytics/company/sh/600207/600207/detail</t>
  </si>
  <si>
    <t>天地在线</t>
  </si>
  <si>
    <t>www.lixinger.com/analytics/company/sz/002995/2995/detail</t>
  </si>
  <si>
    <t>节能风电</t>
  </si>
  <si>
    <t>www.lixinger.com/analytics/company/sh/601016/601016/detail</t>
  </si>
  <si>
    <t>唯捷创芯</t>
  </si>
  <si>
    <t>www.lixinger.com/analytics/company/sh/688153/688153/detail</t>
  </si>
  <si>
    <t>承德露露</t>
  </si>
  <si>
    <t>www.lixinger.com/analytics/company/sz/000848/848/detail</t>
  </si>
  <si>
    <t>国光连锁</t>
  </si>
  <si>
    <t>www.lixinger.com/analytics/company/sh/605188/605188/detail</t>
  </si>
  <si>
    <t>养元饮品</t>
  </si>
  <si>
    <t>www.lixinger.com/analytics/company/sh/603156/603156/detail</t>
  </si>
  <si>
    <t>东易日盛</t>
  </si>
  <si>
    <t>www.lixinger.com/analytics/company/sz/002713/2713/detail</t>
  </si>
  <si>
    <t>聚石化学</t>
  </si>
  <si>
    <t>www.lixinger.com/analytics/company/sh/688669/688669/detail</t>
  </si>
  <si>
    <t>美好置业</t>
  </si>
  <si>
    <t>www.lixinger.com/analytics/company/sz/000667/667/detail</t>
  </si>
  <si>
    <t>道恩股份</t>
  </si>
  <si>
    <t>www.lixinger.com/analytics/company/sz/002838/2838/detail</t>
  </si>
  <si>
    <t>南亚新材</t>
  </si>
  <si>
    <t>www.lixinger.com/analytics/company/sh/688519/688519/detail</t>
  </si>
  <si>
    <t>ST中安</t>
  </si>
  <si>
    <t>www.lixinger.com/analytics/company/sh/600654/600654/detail</t>
  </si>
  <si>
    <t>奥康国际</t>
  </si>
  <si>
    <t>www.lixinger.com/analytics/company/sh/603001/603001/detail</t>
  </si>
  <si>
    <t>之江生物</t>
  </si>
  <si>
    <t>www.lixinger.com/analytics/company/sh/688317/688317/detail</t>
  </si>
  <si>
    <t>钧达股份</t>
  </si>
  <si>
    <t>www.lixinger.com/analytics/company/sz/002865/2865/detail</t>
  </si>
  <si>
    <t>回天新材</t>
  </si>
  <si>
    <t>www.lixinger.com/analytics/company/sz/300041/300041/detail</t>
  </si>
  <si>
    <t>华夏航空</t>
  </si>
  <si>
    <t>www.lixinger.com/analytics/company/sz/002928/2928/detail</t>
  </si>
  <si>
    <t>中航西飞</t>
  </si>
  <si>
    <t>www.lixinger.com/analytics/company/sz/000768/768/detail</t>
  </si>
  <si>
    <t>中通客车</t>
  </si>
  <si>
    <t>www.lixinger.com/analytics/company/sz/000957/957/detail</t>
  </si>
  <si>
    <t>春兴精工</t>
  </si>
  <si>
    <t>www.lixinger.com/analytics/company/sz/002547/2547/detail</t>
  </si>
  <si>
    <t>华旺科技</t>
  </si>
  <si>
    <t>www.lixinger.com/analytics/company/sh/605377/605377/detail</t>
  </si>
  <si>
    <t>城地香江</t>
  </si>
  <si>
    <t>www.lixinger.com/analytics/company/sh/603887/603887/detail</t>
  </si>
  <si>
    <t>禾望电气</t>
  </si>
  <si>
    <t>www.lixinger.com/analytics/company/sh/603063/603063/detail</t>
  </si>
  <si>
    <t>涪陵榨菜</t>
  </si>
  <si>
    <t>www.lixinger.com/analytics/company/sz/002507/2507/detail</t>
  </si>
  <si>
    <t>上海雅仕</t>
  </si>
  <si>
    <t>www.lixinger.com/analytics/company/sh/603329/603329/detail</t>
  </si>
  <si>
    <t>海峡股份</t>
  </si>
  <si>
    <t>www.lixinger.com/analytics/company/sz/002320/2320/detail</t>
  </si>
  <si>
    <t>三维化学</t>
  </si>
  <si>
    <t>www.lixinger.com/analytics/company/sz/002469/2469/detail</t>
  </si>
  <si>
    <t>光峰科技</t>
  </si>
  <si>
    <t>www.lixinger.com/analytics/company/sh/688007/688007/detail</t>
  </si>
  <si>
    <t>新澳股份</t>
  </si>
  <si>
    <t>www.lixinger.com/analytics/company/sh/603889/603889/detail</t>
  </si>
  <si>
    <t>立高食品</t>
  </si>
  <si>
    <t>www.lixinger.com/analytics/company/sz/300973/300973/detail</t>
  </si>
  <si>
    <t>五洲新春</t>
  </si>
  <si>
    <t>www.lixinger.com/analytics/company/sh/603667/603667/detail</t>
  </si>
  <si>
    <t>大禹节水</t>
  </si>
  <si>
    <t>www.lixinger.com/analytics/company/sz/300021/300021/detail</t>
  </si>
  <si>
    <t>贵州百灵</t>
  </si>
  <si>
    <t>www.lixinger.com/analytics/company/sz/002424/2424/detail</t>
  </si>
  <si>
    <t>爱建集团</t>
  </si>
  <si>
    <t>www.lixinger.com/analytics/company/sh/600643/600643/detail</t>
  </si>
  <si>
    <t>平治信息</t>
  </si>
  <si>
    <t>www.lixinger.com/analytics/company/sz/300571/300571/detail</t>
  </si>
  <si>
    <t>天奇股份</t>
  </si>
  <si>
    <t>www.lixinger.com/analytics/company/sz/002009/2009/detail</t>
  </si>
  <si>
    <t>楚天高速</t>
  </si>
  <si>
    <t>www.lixinger.com/analytics/company/sh/600035/600035/detail</t>
  </si>
  <si>
    <t>亚太股份</t>
  </si>
  <si>
    <t>www.lixinger.com/analytics/company/sz/002284/2284/detail</t>
  </si>
  <si>
    <t>江海股份</t>
  </si>
  <si>
    <t>www.lixinger.com/analytics/company/sz/002484/2484/detail</t>
  </si>
  <si>
    <t>华映科技</t>
  </si>
  <si>
    <t>www.lixinger.com/analytics/company/sz/000536/536/detail</t>
  </si>
  <si>
    <t>永和股份</t>
  </si>
  <si>
    <t>www.lixinger.com/analytics/company/sh/605020/605020/detail</t>
  </si>
  <si>
    <t>易成新能</t>
  </si>
  <si>
    <t>磨具磨料</t>
  </si>
  <si>
    <t>www.lixinger.com/analytics/company/sz/300080/300080/detail</t>
  </si>
  <si>
    <t>飞龙股份</t>
  </si>
  <si>
    <t>www.lixinger.com/analytics/company/sz/002536/2536/detail</t>
  </si>
  <si>
    <t>*ST浪奇</t>
  </si>
  <si>
    <t>洗护用品</t>
  </si>
  <si>
    <t>www.lixinger.com/analytics/company/sz/000523/523/detail</t>
  </si>
  <si>
    <t>华西股份</t>
  </si>
  <si>
    <t>www.lixinger.com/analytics/company/sz/000936/936/detail</t>
  </si>
  <si>
    <t>宇通重工</t>
  </si>
  <si>
    <t>www.lixinger.com/analytics/company/sh/600817/600817/detail</t>
  </si>
  <si>
    <t>锦浪科技</t>
  </si>
  <si>
    <t>www.lixinger.com/analytics/company/sz/300763/300763/detail</t>
  </si>
  <si>
    <t>深纺织Ｂ</t>
  </si>
  <si>
    <t>www.lixinger.com/analytics/company/sz/200045/200045/detail</t>
  </si>
  <si>
    <t>常熟汽饰</t>
  </si>
  <si>
    <t>www.lixinger.com/analytics/company/sh/603035/603035/detail</t>
  </si>
  <si>
    <t>广安爱众</t>
  </si>
  <si>
    <t>www.lixinger.com/analytics/company/sh/600979/600979/detail</t>
  </si>
  <si>
    <t>光华科技</t>
  </si>
  <si>
    <t>www.lixinger.com/analytics/company/sz/002741/2741/detail</t>
  </si>
  <si>
    <t>中牧股份</t>
  </si>
  <si>
    <t>动物保健</t>
  </si>
  <si>
    <t>www.lixinger.com/analytics/company/sh/600195/600195/detail</t>
  </si>
  <si>
    <t>中京电子</t>
  </si>
  <si>
    <t>www.lixinger.com/analytics/company/sz/002579/2579/detail</t>
  </si>
  <si>
    <t>安凯客车</t>
  </si>
  <si>
    <t>www.lixinger.com/analytics/company/sz/000868/868/detail</t>
  </si>
  <si>
    <t>巨星农牧</t>
  </si>
  <si>
    <t>www.lixinger.com/analytics/company/sh/603477/603477/detail</t>
  </si>
  <si>
    <t>龙头股份</t>
  </si>
  <si>
    <t>www.lixinger.com/analytics/company/sh/600630/600630/detail</t>
  </si>
  <si>
    <t>浩物股份</t>
  </si>
  <si>
    <t>汽车综合服务</t>
  </si>
  <si>
    <t>www.lixinger.com/analytics/company/sz/000757/757/detail</t>
  </si>
  <si>
    <t>新易盛</t>
  </si>
  <si>
    <t>www.lixinger.com/analytics/company/sz/300502/300502/detail</t>
  </si>
  <si>
    <t>黑芝麻</t>
  </si>
  <si>
    <t>www.lixinger.com/analytics/company/sz/000716/716/detail</t>
  </si>
  <si>
    <t>*ST澄星</t>
  </si>
  <si>
    <t>www.lixinger.com/analytics/company/sh/600078/600078/detail</t>
  </si>
  <si>
    <t>江中药业</t>
  </si>
  <si>
    <t>www.lixinger.com/analytics/company/sh/600750/600750/detail</t>
  </si>
  <si>
    <t>爱康科技</t>
  </si>
  <si>
    <t>www.lixinger.com/analytics/company/sz/002610/2610/detail</t>
  </si>
  <si>
    <t>卡倍亿</t>
  </si>
  <si>
    <t>www.lixinger.com/analytics/company/sz/300863/300863/detail</t>
  </si>
  <si>
    <t>康泰生物</t>
  </si>
  <si>
    <t>www.lixinger.com/analytics/company/sz/300601/300601/detail</t>
  </si>
  <si>
    <t>芯原股份</t>
  </si>
  <si>
    <t>www.lixinger.com/analytics/company/sh/688521/688521/detail</t>
  </si>
  <si>
    <t>沪硅产业</t>
  </si>
  <si>
    <t>www.lixinger.com/analytics/company/sh/688126/688126/detail</t>
  </si>
  <si>
    <t>通鼎互联</t>
  </si>
  <si>
    <t>www.lixinger.com/analytics/company/sz/002491/2491/detail</t>
  </si>
  <si>
    <t>富安娜</t>
  </si>
  <si>
    <t>www.lixinger.com/analytics/company/sz/002327/2327/detail</t>
  </si>
  <si>
    <t>博迈科</t>
  </si>
  <si>
    <t>www.lixinger.com/analytics/company/sh/603727/603727/detail</t>
  </si>
  <si>
    <t>祥鑫科技</t>
  </si>
  <si>
    <t>www.lixinger.com/analytics/company/sz/002965/2965/detail</t>
  </si>
  <si>
    <t>博敏电子</t>
  </si>
  <si>
    <t>www.lixinger.com/analytics/company/sh/603936/603936/detail</t>
  </si>
  <si>
    <t>宁波联合</t>
  </si>
  <si>
    <t>www.lixinger.com/analytics/company/sh/600051/600051/detail</t>
  </si>
  <si>
    <t>西藏药业</t>
  </si>
  <si>
    <t>www.lixinger.com/analytics/company/sh/600211/600211/detail</t>
  </si>
  <si>
    <t>赣能股份</t>
  </si>
  <si>
    <t>www.lixinger.com/analytics/company/sz/000899/899/detail</t>
  </si>
  <si>
    <t>经纬辉开</t>
  </si>
  <si>
    <t>www.lixinger.com/analytics/company/sz/300120/300120/detail</t>
  </si>
  <si>
    <t>绿盟科技</t>
  </si>
  <si>
    <t>www.lixinger.com/analytics/company/sz/300369/300369/detail</t>
  </si>
  <si>
    <t>*ST围海</t>
  </si>
  <si>
    <t>www.lixinger.com/analytics/company/sz/002586/2586/detail</t>
  </si>
  <si>
    <t>www.lixinger.com/analytics/company/sz/300024/300024/detail</t>
  </si>
  <si>
    <t>麦捷科技</t>
  </si>
  <si>
    <t>www.lixinger.com/analytics/company/sz/300319/300319/detail</t>
  </si>
  <si>
    <t>*ST恒康</t>
  </si>
  <si>
    <t>www.lixinger.com/analytics/company/sz/002219/2219/detail</t>
  </si>
  <si>
    <t>海兴电力</t>
  </si>
  <si>
    <t>www.lixinger.com/analytics/company/sh/603556/603556/detail</t>
  </si>
  <si>
    <t>农发种业</t>
  </si>
  <si>
    <t>种子</t>
  </si>
  <si>
    <t>www.lixinger.com/analytics/company/sh/600313/600313/detail</t>
  </si>
  <si>
    <t>SST佳通</t>
  </si>
  <si>
    <t>www.lixinger.com/analytics/company/sh/600182/600182/detail</t>
  </si>
  <si>
    <t>横店影视</t>
  </si>
  <si>
    <t>www.lixinger.com/analytics/company/sh/603103/603103/detail</t>
  </si>
  <si>
    <t>华铁应急</t>
  </si>
  <si>
    <t>www.lixinger.com/analytics/company/sh/603300/603300/detail</t>
  </si>
  <si>
    <t>马应龙</t>
  </si>
  <si>
    <t>www.lixinger.com/analytics/company/sh/600993/600993/detail</t>
  </si>
  <si>
    <t>中宠股份</t>
  </si>
  <si>
    <t>宠物食品</t>
  </si>
  <si>
    <t>www.lixinger.com/analytics/company/sz/002891/2891/detail</t>
  </si>
  <si>
    <t>乐歌股份</t>
  </si>
  <si>
    <t>www.lixinger.com/analytics/company/sz/300729/300729/detail</t>
  </si>
  <si>
    <t>德昌股份</t>
  </si>
  <si>
    <t>www.lixinger.com/analytics/company/sh/605555/605555/detail</t>
  </si>
  <si>
    <t>恒星科技</t>
  </si>
  <si>
    <t>www.lixinger.com/analytics/company/sz/002132/2132/detail</t>
  </si>
  <si>
    <t>永新股份</t>
  </si>
  <si>
    <t>www.lixinger.com/analytics/company/sz/002014/2014/detail</t>
  </si>
  <si>
    <t>富佳股份</t>
  </si>
  <si>
    <t>www.lixinger.com/analytics/company/sh/603219/603219/detail</t>
  </si>
  <si>
    <t>江苏雷利</t>
  </si>
  <si>
    <t>www.lixinger.com/analytics/company/sz/300660/300660/detail</t>
  </si>
  <si>
    <t>辰欣药业</t>
  </si>
  <si>
    <t>www.lixinger.com/analytics/company/sh/603367/603367/detail</t>
  </si>
  <si>
    <t>宝通科技</t>
  </si>
  <si>
    <t>www.lixinger.com/analytics/company/sz/300031/300031/detail</t>
  </si>
  <si>
    <t>中曼石油</t>
  </si>
  <si>
    <t>www.lixinger.com/analytics/company/sh/603619/603619/detail</t>
  </si>
  <si>
    <t>盛新锂能</t>
  </si>
  <si>
    <t>www.lixinger.com/analytics/company/sz/002240/2240/detail</t>
  </si>
  <si>
    <t>保龄宝</t>
  </si>
  <si>
    <t>www.lixinger.com/analytics/company/sz/002286/2286/detail</t>
  </si>
  <si>
    <t>齐峰新材</t>
  </si>
  <si>
    <t>www.lixinger.com/analytics/company/sz/002521/2521/detail</t>
  </si>
  <si>
    <t>金信诺</t>
  </si>
  <si>
    <t>www.lixinger.com/analytics/company/sz/300252/300252/detail</t>
  </si>
  <si>
    <t>大众交通</t>
  </si>
  <si>
    <t>www.lixinger.com/analytics/company/sh/600611/600611/detail</t>
  </si>
  <si>
    <t>京山轻机</t>
  </si>
  <si>
    <t>www.lixinger.com/analytics/company/sz/000821/821/detail</t>
  </si>
  <si>
    <t>八方股份</t>
  </si>
  <si>
    <t>www.lixinger.com/analytics/company/sh/603489/603489/detail</t>
  </si>
  <si>
    <t>威海广泰</t>
  </si>
  <si>
    <t>www.lixinger.com/analytics/company/sz/002111/2111/detail</t>
  </si>
  <si>
    <t>东睦股份</t>
  </si>
  <si>
    <t>www.lixinger.com/analytics/company/sh/600114/600114/detail</t>
  </si>
  <si>
    <t>中兴商业</t>
  </si>
  <si>
    <t>www.lixinger.com/analytics/company/sz/000715/715/detail</t>
  </si>
  <si>
    <t>韶能股份</t>
  </si>
  <si>
    <t>www.lixinger.com/analytics/company/sz/000601/601/detail</t>
  </si>
  <si>
    <t>日丰股份</t>
  </si>
  <si>
    <t>www.lixinger.com/analytics/company/sz/002953/2953/detail</t>
  </si>
  <si>
    <t>福达合金</t>
  </si>
  <si>
    <t>www.lixinger.com/analytics/company/sh/603045/603045/detail</t>
  </si>
  <si>
    <t>鸿利智汇</t>
  </si>
  <si>
    <t>www.lixinger.com/analytics/company/sz/300219/300219/detail</t>
  </si>
  <si>
    <t>丽臣实业</t>
  </si>
  <si>
    <t>www.lixinger.com/analytics/company/sz/001218/1218/detail</t>
  </si>
  <si>
    <t>上工申贝</t>
  </si>
  <si>
    <t>www.lixinger.com/analytics/company/sh/600843/600843/detail</t>
  </si>
  <si>
    <t>天味食品</t>
  </si>
  <si>
    <t>www.lixinger.com/analytics/company/sh/603317/603317/detail</t>
  </si>
  <si>
    <t>*ST云城</t>
  </si>
  <si>
    <t>www.lixinger.com/analytics/company/sh/600239/600239/detail</t>
  </si>
  <si>
    <t>健民集团</t>
  </si>
  <si>
    <t>www.lixinger.com/analytics/company/sh/600976/600976/detail</t>
  </si>
  <si>
    <t>亚翔集成</t>
  </si>
  <si>
    <t>www.lixinger.com/analytics/company/sh/603929/603929/detail</t>
  </si>
  <si>
    <t>大庆华科</t>
  </si>
  <si>
    <t>www.lixinger.com/analytics/company/sz/000985/985/detail</t>
  </si>
  <si>
    <t>艾为电子</t>
  </si>
  <si>
    <t>www.lixinger.com/analytics/company/sh/688798/688798/detail</t>
  </si>
  <si>
    <t>奥飞娱乐</t>
  </si>
  <si>
    <t>www.lixinger.com/analytics/company/sz/002292/2292/detail</t>
  </si>
  <si>
    <t>华峰超纤</t>
  </si>
  <si>
    <t>www.lixinger.com/analytics/company/sz/300180/300180/detail</t>
  </si>
  <si>
    <t>捷荣技术</t>
  </si>
  <si>
    <t>www.lixinger.com/analytics/company/sz/002855/2855/detail</t>
  </si>
  <si>
    <t>中船科技</t>
  </si>
  <si>
    <t>www.lixinger.com/analytics/company/sh/600072/600072/detail</t>
  </si>
  <si>
    <t>露笑科技</t>
  </si>
  <si>
    <t>www.lixinger.com/analytics/company/sz/002617/2617/detail</t>
  </si>
  <si>
    <t>昇辉科技</t>
  </si>
  <si>
    <t>www.lixinger.com/analytics/company/sz/300423/300423/detail</t>
  </si>
  <si>
    <t>一鸣食品</t>
  </si>
  <si>
    <t>www.lixinger.com/analytics/company/sh/605179/605179/detail</t>
  </si>
  <si>
    <t>博汇股份</t>
  </si>
  <si>
    <t>www.lixinger.com/analytics/company/sz/300839/300839/detail</t>
  </si>
  <si>
    <t>芭田股份</t>
  </si>
  <si>
    <t>www.lixinger.com/analytics/company/sz/002170/2170/detail</t>
  </si>
  <si>
    <t>文山电力</t>
  </si>
  <si>
    <t>www.lixinger.com/analytics/company/sh/600995/600995/detail</t>
  </si>
  <si>
    <t>金鹰重工</t>
  </si>
  <si>
    <t>www.lixinger.com/analytics/company/sz/301048/301048/detail</t>
  </si>
  <si>
    <t>国邦医药</t>
  </si>
  <si>
    <t>www.lixinger.com/analytics/company/sh/605507/605507/detail</t>
  </si>
  <si>
    <t>通程控股</t>
  </si>
  <si>
    <t>www.lixinger.com/analytics/company/sz/000419/419/detail</t>
  </si>
  <si>
    <t>长青集团</t>
  </si>
  <si>
    <t>其他能源发电</t>
  </si>
  <si>
    <t>www.lixinger.com/analytics/company/sz/002616/2616/detail</t>
  </si>
  <si>
    <t>电声股份</t>
  </si>
  <si>
    <t>www.lixinger.com/analytics/company/sz/300805/300805/detail</t>
  </si>
  <si>
    <t>得利斯</t>
  </si>
  <si>
    <t>www.lixinger.com/analytics/company/sz/002330/2330/detail</t>
  </si>
  <si>
    <t>鼎信通讯</t>
  </si>
  <si>
    <t>www.lixinger.com/analytics/company/sh/603421/603421/detail</t>
  </si>
  <si>
    <t>利元亨</t>
  </si>
  <si>
    <t>www.lixinger.com/analytics/company/sh/688499/688499/detail</t>
  </si>
  <si>
    <t>森特股份</t>
  </si>
  <si>
    <t>www.lixinger.com/analytics/company/sh/603098/603098/detail</t>
  </si>
  <si>
    <t>京能置业</t>
  </si>
  <si>
    <t>www.lixinger.com/analytics/company/sh/600791/600791/detail</t>
  </si>
  <si>
    <t>诺普信</t>
  </si>
  <si>
    <t>www.lixinger.com/analytics/company/sz/002215/2215/detail</t>
  </si>
  <si>
    <t>百洋股份</t>
  </si>
  <si>
    <t>www.lixinger.com/analytics/company/sz/002696/2696/detail</t>
  </si>
  <si>
    <t>*ST香梨</t>
  </si>
  <si>
    <t>www.lixinger.com/analytics/company/sh/600506/600506/detail</t>
  </si>
  <si>
    <t>金达威</t>
  </si>
  <si>
    <t>www.lixinger.com/analytics/company/sz/002626/2626/detail</t>
  </si>
  <si>
    <t>太原重工</t>
  </si>
  <si>
    <t>www.lixinger.com/analytics/company/sh/600169/600169/detail</t>
  </si>
  <si>
    <t>蓝黛科技</t>
  </si>
  <si>
    <t>www.lixinger.com/analytics/company/sz/002765/2765/detail</t>
  </si>
  <si>
    <t>凯普生物</t>
  </si>
  <si>
    <t>www.lixinger.com/analytics/company/sz/300639/300639/detail</t>
  </si>
  <si>
    <t>歌力思</t>
  </si>
  <si>
    <t>www.lixinger.com/analytics/company/sh/603808/603808/detail</t>
  </si>
  <si>
    <t>旋极信息</t>
  </si>
  <si>
    <t>www.lixinger.com/analytics/company/sz/300324/300324/detail</t>
  </si>
  <si>
    <t>英飞拓</t>
  </si>
  <si>
    <t>www.lixinger.com/analytics/company/sz/002528/2528/detail</t>
  </si>
  <si>
    <t>川能动力</t>
  </si>
  <si>
    <t>www.lixinger.com/analytics/company/sz/000155/155/detail</t>
  </si>
  <si>
    <t>大丰实业</t>
  </si>
  <si>
    <t>www.lixinger.com/analytics/company/sh/603081/603081/detail</t>
  </si>
  <si>
    <t>山东威达</t>
  </si>
  <si>
    <t>www.lixinger.com/analytics/company/sz/002026/2026/detail</t>
  </si>
  <si>
    <t>白云电器</t>
  </si>
  <si>
    <t>www.lixinger.com/analytics/company/sh/603861/603861/detail</t>
  </si>
  <si>
    <t>鹏鹞环保</t>
  </si>
  <si>
    <t>www.lixinger.com/analytics/company/sz/300664/300664/detail</t>
  </si>
  <si>
    <t>永泰运</t>
  </si>
  <si>
    <t>www.lixinger.com/analytics/company/sz/001228/1228/detail</t>
  </si>
  <si>
    <t>青岛双星</t>
  </si>
  <si>
    <t>www.lixinger.com/analytics/company/sz/000599/599/detail</t>
  </si>
  <si>
    <t>益佰制药</t>
  </si>
  <si>
    <t>www.lixinger.com/analytics/company/sh/600594/600594/detail</t>
  </si>
  <si>
    <t>中信海直</t>
  </si>
  <si>
    <t>www.lixinger.com/analytics/company/sz/000099/99/detail</t>
  </si>
  <si>
    <t>*ST盈方</t>
  </si>
  <si>
    <t>www.lixinger.com/analytics/company/sz/000670/670/detail</t>
  </si>
  <si>
    <t>健帆生物</t>
  </si>
  <si>
    <t>www.lixinger.com/analytics/company/sz/300529/300529/detail</t>
  </si>
  <si>
    <t>亚盛集团</t>
  </si>
  <si>
    <t>www.lixinger.com/analytics/company/sh/600108/600108/detail</t>
  </si>
  <si>
    <t>中恒集团</t>
  </si>
  <si>
    <t>www.lixinger.com/analytics/company/sh/600252/600252/detail</t>
  </si>
  <si>
    <t>银龙股份</t>
  </si>
  <si>
    <t>www.lixinger.com/analytics/company/sh/603969/603969/detail</t>
  </si>
  <si>
    <t>美达股份</t>
  </si>
  <si>
    <t>www.lixinger.com/analytics/company/sz/000782/782/detail</t>
  </si>
  <si>
    <t>游族网络</t>
  </si>
  <si>
    <t>www.lixinger.com/analytics/company/sz/002174/2174/detail</t>
  </si>
  <si>
    <t>华特达因</t>
  </si>
  <si>
    <t>www.lixinger.com/analytics/company/sz/000915/915/detail</t>
  </si>
  <si>
    <t>利安隆</t>
  </si>
  <si>
    <t>www.lixinger.com/analytics/company/sz/300596/300596/detail</t>
  </si>
  <si>
    <t>奥赛康</t>
  </si>
  <si>
    <t>www.lixinger.com/analytics/company/sz/002755/2755/detail</t>
  </si>
  <si>
    <t>良信股份</t>
  </si>
  <si>
    <t>www.lixinger.com/analytics/company/sz/002706/2706/detail</t>
  </si>
  <si>
    <t>东方银星</t>
  </si>
  <si>
    <t>www.lixinger.com/analytics/company/sh/600753/600753/detail</t>
  </si>
  <si>
    <t>吉峰科技</t>
  </si>
  <si>
    <t>www.lixinger.com/analytics/company/sz/300022/300022/detail</t>
  </si>
  <si>
    <t>鸣志电器</t>
  </si>
  <si>
    <t>www.lixinger.com/analytics/company/sh/603728/603728/detail</t>
  </si>
  <si>
    <t>电气风电</t>
  </si>
  <si>
    <t>www.lixinger.com/analytics/company/sh/688660/688660/detail</t>
  </si>
  <si>
    <t>固德威</t>
  </si>
  <si>
    <t>www.lixinger.com/analytics/company/sh/688390/688390/detail</t>
  </si>
  <si>
    <t>凯中精密</t>
  </si>
  <si>
    <t>www.lixinger.com/analytics/company/sz/002823/2823/detail</t>
  </si>
  <si>
    <t>南兴股份</t>
  </si>
  <si>
    <t>www.lixinger.com/analytics/company/sz/002757/2757/detail</t>
  </si>
  <si>
    <t>协创数据</t>
  </si>
  <si>
    <t>www.lixinger.com/analytics/company/sz/300857/300857/detail</t>
  </si>
  <si>
    <t>科陆电子</t>
  </si>
  <si>
    <t>www.lixinger.com/analytics/company/sz/002121/2121/detail</t>
  </si>
  <si>
    <t>银禧科技</t>
  </si>
  <si>
    <t>www.lixinger.com/analytics/company/sz/300221/300221/detail</t>
  </si>
  <si>
    <t>百润股份</t>
  </si>
  <si>
    <t>www.lixinger.com/analytics/company/sz/002568/2568/detail</t>
  </si>
  <si>
    <t>醋化股份</t>
  </si>
  <si>
    <t>www.lixinger.com/analytics/company/sh/603968/603968/detail</t>
  </si>
  <si>
    <t>银宝山新</t>
  </si>
  <si>
    <t>www.lixinger.com/analytics/company/sz/002786/2786/detail</t>
  </si>
  <si>
    <t>振华新材</t>
  </si>
  <si>
    <t>www.lixinger.com/analytics/company/sh/688707/688707/detail</t>
  </si>
  <si>
    <t>大西洋</t>
  </si>
  <si>
    <t>www.lixinger.com/analytics/company/sh/600558/600558/detail</t>
  </si>
  <si>
    <t>东旭蓝天</t>
  </si>
  <si>
    <t>www.lixinger.com/analytics/company/sz/000040/40/detail</t>
  </si>
  <si>
    <t>同力日升</t>
  </si>
  <si>
    <t>www.lixinger.com/analytics/company/sh/605286/605286/detail</t>
  </si>
  <si>
    <t>三峡旅游</t>
  </si>
  <si>
    <t>www.lixinger.com/analytics/company/sz/002627/2627/detail</t>
  </si>
  <si>
    <t>江山欧派</t>
  </si>
  <si>
    <t>www.lixinger.com/analytics/company/sh/603208/603208/detail</t>
  </si>
  <si>
    <t>永鼎股份</t>
  </si>
  <si>
    <t>www.lixinger.com/analytics/company/sh/600105/600105/detail</t>
  </si>
  <si>
    <t>精研科技</t>
  </si>
  <si>
    <t>www.lixinger.com/analytics/company/sz/300709/300709/detail</t>
  </si>
  <si>
    <t>汇洁股份</t>
  </si>
  <si>
    <t>www.lixinger.com/analytics/company/sz/002763/2763/detail</t>
  </si>
  <si>
    <t>东宏股份</t>
  </si>
  <si>
    <t>www.lixinger.com/analytics/company/sh/603856/603856/detail</t>
  </si>
  <si>
    <t>沪光股份</t>
  </si>
  <si>
    <t>www.lixinger.com/analytics/company/sh/605333/605333/detail</t>
  </si>
  <si>
    <t>金盘科技</t>
  </si>
  <si>
    <t>www.lixinger.com/analytics/company/sh/688676/688676/detail</t>
  </si>
  <si>
    <t>全柴动力</t>
  </si>
  <si>
    <t>www.lixinger.com/analytics/company/sh/600218/600218/detail</t>
  </si>
  <si>
    <t>深圳机场</t>
  </si>
  <si>
    <t>www.lixinger.com/analytics/company/sz/000089/89/detail</t>
  </si>
  <si>
    <t>振江股份</t>
  </si>
  <si>
    <t>www.lixinger.com/analytics/company/sh/603507/603507/detail</t>
  </si>
  <si>
    <t>翱捷科技</t>
  </si>
  <si>
    <t>www.lixinger.com/analytics/company/sh/688220/688220/detail</t>
  </si>
  <si>
    <t>永创智能</t>
  </si>
  <si>
    <t>www.lixinger.com/analytics/company/sh/603901/603901/detail</t>
  </si>
  <si>
    <t>泰胜风能</t>
  </si>
  <si>
    <t>www.lixinger.com/analytics/company/sz/300129/300129/detail</t>
  </si>
  <si>
    <t>神驰机电</t>
  </si>
  <si>
    <t>www.lixinger.com/analytics/company/sh/603109/603109/detail</t>
  </si>
  <si>
    <t>朗科智能</t>
  </si>
  <si>
    <t>www.lixinger.com/analytics/company/sz/300543/300543/detail</t>
  </si>
  <si>
    <t>金固股份</t>
  </si>
  <si>
    <t>www.lixinger.com/analytics/company/sz/002488/2488/detail</t>
  </si>
  <si>
    <t>方大集团</t>
  </si>
  <si>
    <t>www.lixinger.com/analytics/company/sz/000055/55/detail</t>
  </si>
  <si>
    <t>财信发展</t>
  </si>
  <si>
    <t>www.lixinger.com/analytics/company/sz/000838/838/detail</t>
  </si>
  <si>
    <t>光大嘉宝</t>
  </si>
  <si>
    <t>www.lixinger.com/analytics/company/sh/600622/600622/detail</t>
  </si>
  <si>
    <t>红豆股份</t>
  </si>
  <si>
    <t>www.lixinger.com/analytics/company/sh/600400/600400/detail</t>
  </si>
  <si>
    <t>巨一科技</t>
  </si>
  <si>
    <t>www.lixinger.com/analytics/company/sh/688162/688162/detail</t>
  </si>
  <si>
    <t>圣济堂</t>
  </si>
  <si>
    <t>www.lixinger.com/analytics/company/sh/600227/600227/detail</t>
  </si>
  <si>
    <t>广联达</t>
  </si>
  <si>
    <t>www.lixinger.com/analytics/company/sz/002410/2410/detail</t>
  </si>
  <si>
    <t>万邦达</t>
  </si>
  <si>
    <t>www.lixinger.com/analytics/company/sz/300055/300055/detail</t>
  </si>
  <si>
    <t>同花顺</t>
  </si>
  <si>
    <t>www.lixinger.com/analytics/company/sz/300033/300033/detail</t>
  </si>
  <si>
    <t>海优新材</t>
  </si>
  <si>
    <t>www.lixinger.com/analytics/company/sh/688680/688680/detail</t>
  </si>
  <si>
    <t>环球印务</t>
  </si>
  <si>
    <t>www.lixinger.com/analytics/company/sz/002799/2799/detail</t>
  </si>
  <si>
    <t>金一文化</t>
  </si>
  <si>
    <t>www.lixinger.com/analytics/company/sz/002721/2721/detail</t>
  </si>
  <si>
    <t>粤桂股份</t>
  </si>
  <si>
    <t>www.lixinger.com/analytics/company/sz/000833/833/detail</t>
  </si>
  <si>
    <t>创力集团</t>
  </si>
  <si>
    <t>www.lixinger.com/analytics/company/sh/603012/603012/detail</t>
  </si>
  <si>
    <t>中国电研</t>
  </si>
  <si>
    <t>www.lixinger.com/analytics/company/sh/688128/688128/detail</t>
  </si>
  <si>
    <t>振华股份</t>
  </si>
  <si>
    <t>www.lixinger.com/analytics/company/sh/603067/603067/detail</t>
  </si>
  <si>
    <t>金轮股份</t>
  </si>
  <si>
    <t>www.lixinger.com/analytics/company/sz/002722/2722/detail</t>
  </si>
  <si>
    <t>好莱客</t>
  </si>
  <si>
    <t>www.lixinger.com/analytics/company/sh/603898/603898/detail</t>
  </si>
  <si>
    <t>鲁阳节能</t>
  </si>
  <si>
    <t>www.lixinger.com/analytics/company/sz/002088/2088/detail</t>
  </si>
  <si>
    <t>佳禾食品</t>
  </si>
  <si>
    <t>www.lixinger.com/analytics/company/sh/605300/605300/detail</t>
  </si>
  <si>
    <t>开润股份</t>
  </si>
  <si>
    <t>www.lixinger.com/analytics/company/sz/300577/300577/detail</t>
  </si>
  <si>
    <t>伊力特</t>
  </si>
  <si>
    <t>www.lixinger.com/analytics/company/sh/600197/600197/detail</t>
  </si>
  <si>
    <t>华灿光电</t>
  </si>
  <si>
    <t>www.lixinger.com/analytics/company/sz/300323/300323/detail</t>
  </si>
  <si>
    <t>香飘飘</t>
  </si>
  <si>
    <t>www.lixinger.com/analytics/company/sh/603711/603711/detail</t>
  </si>
  <si>
    <t>金城医药</t>
  </si>
  <si>
    <t>www.lixinger.com/analytics/company/sz/300233/300233/detail</t>
  </si>
  <si>
    <t>地素时尚</t>
  </si>
  <si>
    <t>www.lixinger.com/analytics/company/sh/603587/603587/detail</t>
  </si>
  <si>
    <t>漳州发展</t>
  </si>
  <si>
    <t>www.lixinger.com/analytics/company/sz/000753/753/detail</t>
  </si>
  <si>
    <t>毅昌科技</t>
  </si>
  <si>
    <t>www.lixinger.com/analytics/company/sz/002420/2420/detail</t>
  </si>
  <si>
    <t>航天发展</t>
  </si>
  <si>
    <t>www.lixinger.com/analytics/company/sz/000547/547/detail</t>
  </si>
  <si>
    <t>美丽生态</t>
  </si>
  <si>
    <t>www.lixinger.com/analytics/company/sz/000010/10/detail</t>
  </si>
  <si>
    <t>国科微</t>
  </si>
  <si>
    <t>www.lixinger.com/analytics/company/sz/300672/300672/detail</t>
  </si>
  <si>
    <t>太阳能</t>
  </si>
  <si>
    <t>www.lixinger.com/analytics/company/sz/000591/591/detail</t>
  </si>
  <si>
    <t>中天精装</t>
  </si>
  <si>
    <t>www.lixinger.com/analytics/company/sz/002989/2989/detail</t>
  </si>
  <si>
    <t>苏宁环球</t>
  </si>
  <si>
    <t>www.lixinger.com/analytics/company/sz/000718/718/detail</t>
  </si>
  <si>
    <t>鼎龙股份</t>
  </si>
  <si>
    <t>www.lixinger.com/analytics/company/sz/300054/300054/detail</t>
  </si>
  <si>
    <t>咸亨国际</t>
  </si>
  <si>
    <t>www.lixinger.com/analytics/company/sh/605056/605056/detail</t>
  </si>
  <si>
    <t>明星电力</t>
  </si>
  <si>
    <t>www.lixinger.com/analytics/company/sh/600101/600101/detail</t>
  </si>
  <si>
    <t>科士达</t>
  </si>
  <si>
    <t>www.lixinger.com/analytics/company/sz/002518/2518/detail</t>
  </si>
  <si>
    <t>法本信息</t>
  </si>
  <si>
    <t>www.lixinger.com/analytics/company/sz/300925/300925/detail</t>
  </si>
  <si>
    <t>海思科</t>
  </si>
  <si>
    <t>www.lixinger.com/analytics/company/sz/002653/2653/detail</t>
  </si>
  <si>
    <t>羚锐制药</t>
  </si>
  <si>
    <t>www.lixinger.com/analytics/company/sh/600285/600285/detail</t>
  </si>
  <si>
    <t>红宝丽</t>
  </si>
  <si>
    <t>www.lixinger.com/analytics/company/sz/002165/2165/detail</t>
  </si>
  <si>
    <t>新产业</t>
  </si>
  <si>
    <t>www.lixinger.com/analytics/company/sz/300832/300832/detail</t>
  </si>
  <si>
    <t>星源材质</t>
  </si>
  <si>
    <t>www.lixinger.com/analytics/company/sz/300568/300568/detail</t>
  </si>
  <si>
    <t>药易购</t>
  </si>
  <si>
    <t>www.lixinger.com/analytics/company/sz/300937/300937/detail</t>
  </si>
  <si>
    <t>盐津铺子</t>
  </si>
  <si>
    <t>www.lixinger.com/analytics/company/sz/002847/2847/detail</t>
  </si>
  <si>
    <t>安正时尚</t>
  </si>
  <si>
    <t>www.lixinger.com/analytics/company/sh/603839/603839/detail</t>
  </si>
  <si>
    <t>豪悦护理</t>
  </si>
  <si>
    <t>www.lixinger.com/analytics/company/sh/605009/605009/detail</t>
  </si>
  <si>
    <t>天顺风能</t>
  </si>
  <si>
    <t>www.lixinger.com/analytics/company/sz/002531/2531/detail</t>
  </si>
  <si>
    <t>鲁银投资</t>
  </si>
  <si>
    <t>www.lixinger.com/analytics/company/sh/600784/600784/detail</t>
  </si>
  <si>
    <t>ST远程</t>
  </si>
  <si>
    <t>www.lixinger.com/analytics/company/sz/002692/2692/detail</t>
  </si>
  <si>
    <t>恒生电子</t>
  </si>
  <si>
    <t>www.lixinger.com/analytics/company/sh/600570/600570/detail</t>
  </si>
  <si>
    <t>日科化学</t>
  </si>
  <si>
    <t>www.lixinger.com/analytics/company/sz/300214/300214/detail</t>
  </si>
  <si>
    <t>深物业B</t>
  </si>
  <si>
    <t>www.lixinger.com/analytics/company/sz/200011/200011/detail</t>
  </si>
  <si>
    <t>大叶股份</t>
  </si>
  <si>
    <t>www.lixinger.com/analytics/company/sz/300879/300879/detail</t>
  </si>
  <si>
    <t>福建高速</t>
  </si>
  <si>
    <t>www.lixinger.com/analytics/company/sh/600033/600033/detail</t>
  </si>
  <si>
    <t>信隆健康</t>
  </si>
  <si>
    <t>www.lixinger.com/analytics/company/sz/002105/2105/detail</t>
  </si>
  <si>
    <t>沃森生物</t>
  </si>
  <si>
    <t>www.lixinger.com/analytics/company/sz/300142/300142/detail</t>
  </si>
  <si>
    <t>苏州固锝</t>
  </si>
  <si>
    <t>www.lixinger.com/analytics/company/sz/002079/2079/detail</t>
  </si>
  <si>
    <t>日出东方</t>
  </si>
  <si>
    <t>www.lixinger.com/analytics/company/sh/603366/603366/detail</t>
  </si>
  <si>
    <t>利柏特</t>
  </si>
  <si>
    <t>www.lixinger.com/analytics/company/sh/605167/605167/detail</t>
  </si>
  <si>
    <t>海南发展</t>
  </si>
  <si>
    <t>www.lixinger.com/analytics/company/sz/002163/2163/detail</t>
  </si>
  <si>
    <t>赛伍技术</t>
  </si>
  <si>
    <t>www.lixinger.com/analytics/company/sh/603212/603212/detail</t>
  </si>
  <si>
    <t>西部超导</t>
  </si>
  <si>
    <t>www.lixinger.com/analytics/company/sh/688122/688122/detail</t>
  </si>
  <si>
    <t>航天工程</t>
  </si>
  <si>
    <t>www.lixinger.com/analytics/company/sh/603698/603698/detail</t>
  </si>
  <si>
    <t>皇氏集团</t>
  </si>
  <si>
    <t>www.lixinger.com/analytics/company/sz/002329/2329/detail</t>
  </si>
  <si>
    <t>山东矿机</t>
  </si>
  <si>
    <t>www.lixinger.com/analytics/company/sz/002526/2526/detail</t>
  </si>
  <si>
    <t>冰山B</t>
  </si>
  <si>
    <t>www.lixinger.com/analytics/company/sz/200530/200530/detail</t>
  </si>
  <si>
    <t>聚光科技</t>
  </si>
  <si>
    <t>www.lixinger.com/analytics/company/sz/300203/300203/detail</t>
  </si>
  <si>
    <t>中贝通信</t>
  </si>
  <si>
    <t>www.lixinger.com/analytics/company/sh/603220/603220/detail</t>
  </si>
  <si>
    <t>金陵药业</t>
  </si>
  <si>
    <t>www.lixinger.com/analytics/company/sz/000919/919/detail</t>
  </si>
  <si>
    <t>青山纸业</t>
  </si>
  <si>
    <t>www.lixinger.com/analytics/company/sh/600103/600103/detail</t>
  </si>
  <si>
    <t>镇洋发展</t>
  </si>
  <si>
    <t>www.lixinger.com/analytics/company/sh/603213/603213/detail</t>
  </si>
  <si>
    <t>新时达</t>
  </si>
  <si>
    <t>www.lixinger.com/analytics/company/sz/002527/2527/detail</t>
  </si>
  <si>
    <t>航发科技</t>
  </si>
  <si>
    <t>www.lixinger.com/analytics/company/sh/600391/600391/detail</t>
  </si>
  <si>
    <t>黑猫股份</t>
  </si>
  <si>
    <t>炭黑</t>
  </si>
  <si>
    <t>www.lixinger.com/analytics/company/sz/002068/2068/detail</t>
  </si>
  <si>
    <t>黄河旋风</t>
  </si>
  <si>
    <t>www.lixinger.com/analytics/company/sh/600172/600172/detail</t>
  </si>
  <si>
    <t>广汇物流</t>
  </si>
  <si>
    <t>www.lixinger.com/analytics/company/sh/600603/600603/detail</t>
  </si>
  <si>
    <t>渤海化学</t>
  </si>
  <si>
    <t>www.lixinger.com/analytics/company/sh/600800/600800/detail</t>
  </si>
  <si>
    <t>凯龙股份</t>
  </si>
  <si>
    <t>www.lixinger.com/analytics/company/sz/002783/2783/detail</t>
  </si>
  <si>
    <t>凯赛生物</t>
  </si>
  <si>
    <t>www.lixinger.com/analytics/company/sh/688065/688065/detail</t>
  </si>
  <si>
    <t>中再资环</t>
  </si>
  <si>
    <t>www.lixinger.com/analytics/company/sh/600217/600217/detail</t>
  </si>
  <si>
    <t>聚飞光电</t>
  </si>
  <si>
    <t>www.lixinger.com/analytics/company/sz/300303/300303/detail</t>
  </si>
  <si>
    <t>大金重工</t>
  </si>
  <si>
    <t>www.lixinger.com/analytics/company/sz/002487/2487/detail</t>
  </si>
  <si>
    <t>浙文影业</t>
  </si>
  <si>
    <t>www.lixinger.com/analytics/company/sh/601599/601599/detail</t>
  </si>
  <si>
    <t>中科软</t>
  </si>
  <si>
    <t>www.lixinger.com/analytics/company/sh/603927/603927/detail</t>
  </si>
  <si>
    <t>天安新材</t>
  </si>
  <si>
    <t>www.lixinger.com/analytics/company/sh/603725/603725/detail</t>
  </si>
  <si>
    <t>新黄浦</t>
  </si>
  <si>
    <t>www.lixinger.com/analytics/company/sh/600638/600638/detail</t>
  </si>
  <si>
    <t>青鸟消防</t>
  </si>
  <si>
    <t>www.lixinger.com/analytics/company/sz/002960/2960/detail</t>
  </si>
  <si>
    <t>昭衍新药</t>
  </si>
  <si>
    <t>www.lixinger.com/analytics/company/sh/603127/603127/detail</t>
  </si>
  <si>
    <t>水发燃气</t>
  </si>
  <si>
    <t>www.lixinger.com/analytics/company/sh/603318/603318/detail</t>
  </si>
  <si>
    <t>中粮工科</t>
  </si>
  <si>
    <t>www.lixinger.com/analytics/company/sz/301058/301058/detail</t>
  </si>
  <si>
    <t>特发服务</t>
  </si>
  <si>
    <t>www.lixinger.com/analytics/company/sz/300917/300917/detail</t>
  </si>
  <si>
    <t>仙乐健康</t>
  </si>
  <si>
    <t>www.lixinger.com/analytics/company/sz/300791/300791/detail</t>
  </si>
  <si>
    <t>东珠生态</t>
  </si>
  <si>
    <t>www.lixinger.com/analytics/company/sh/603359/603359/detail</t>
  </si>
  <si>
    <t>瑞和股份</t>
  </si>
  <si>
    <t>www.lixinger.com/analytics/company/sz/002620/2620/detail</t>
  </si>
  <si>
    <t>深纺织Ａ</t>
  </si>
  <si>
    <t>www.lixinger.com/analytics/company/sz/000045/45/detail</t>
  </si>
  <si>
    <t>ST鹏博士</t>
  </si>
  <si>
    <t>www.lixinger.com/analytics/company/sh/600804/600804/detail</t>
  </si>
  <si>
    <t>银江技术</t>
  </si>
  <si>
    <t>www.lixinger.com/analytics/company/sz/300020/300020/detail</t>
  </si>
  <si>
    <t>哈尔斯</t>
  </si>
  <si>
    <t>www.lixinger.com/analytics/company/sz/002615/2615/detail</t>
  </si>
  <si>
    <t>黔源电力</t>
  </si>
  <si>
    <t>www.lixinger.com/analytics/company/sz/002039/2039/detail</t>
  </si>
  <si>
    <t>佳禾智能</t>
  </si>
  <si>
    <t>www.lixinger.com/analytics/company/sz/300793/300793/detail</t>
  </si>
  <si>
    <t>博雅生物</t>
  </si>
  <si>
    <t>www.lixinger.com/analytics/company/sz/300294/300294/detail</t>
  </si>
  <si>
    <t>*ST数知</t>
  </si>
  <si>
    <t>www.lixinger.com/analytics/company/sz/300038/300038/detail</t>
  </si>
  <si>
    <t>中体产业</t>
  </si>
  <si>
    <t>体育</t>
  </si>
  <si>
    <t>www.lixinger.com/analytics/company/sh/600158/600158/detail</t>
  </si>
  <si>
    <t>天药股份</t>
  </si>
  <si>
    <t>www.lixinger.com/analytics/company/sh/600488/600488/detail</t>
  </si>
  <si>
    <t>章源钨业</t>
  </si>
  <si>
    <t>www.lixinger.com/analytics/company/sz/002378/2378/detail</t>
  </si>
  <si>
    <t>大富科技</t>
  </si>
  <si>
    <t>www.lixinger.com/analytics/company/sz/300134/300134/detail</t>
  </si>
  <si>
    <t>普路通</t>
  </si>
  <si>
    <t>www.lixinger.com/analytics/company/sz/002769/2769/detail</t>
  </si>
  <si>
    <t>汉得信息</t>
  </si>
  <si>
    <t>www.lixinger.com/analytics/company/sz/300170/300170/detail</t>
  </si>
  <si>
    <t>石基信息</t>
  </si>
  <si>
    <t>www.lixinger.com/analytics/company/sz/002153/2153/detail</t>
  </si>
  <si>
    <t>荣晟环保</t>
  </si>
  <si>
    <t>www.lixinger.com/analytics/company/sh/603165/603165/detail</t>
  </si>
  <si>
    <t>明阳电路</t>
  </si>
  <si>
    <t>www.lixinger.com/analytics/company/sz/300739/300739/detail</t>
  </si>
  <si>
    <t>经纬恒润</t>
  </si>
  <si>
    <t>www.lixinger.com/analytics/company/sh/688326/688326/detail</t>
  </si>
  <si>
    <t>绿色动力</t>
  </si>
  <si>
    <t>www.lixinger.com/analytics/company/sh/601330/601330/detail</t>
  </si>
  <si>
    <t>蒙草生态</t>
  </si>
  <si>
    <t>www.lixinger.com/analytics/company/sz/300355/300355/detail</t>
  </si>
  <si>
    <t>苏常柴Ｂ</t>
  </si>
  <si>
    <t>www.lixinger.com/analytics/company/sz/200570/200570/detail</t>
  </si>
  <si>
    <t>天宇股份</t>
  </si>
  <si>
    <t>www.lixinger.com/analytics/company/sz/300702/300702/detail</t>
  </si>
  <si>
    <t>斯达半导</t>
  </si>
  <si>
    <t>www.lixinger.com/analytics/company/sh/603290/603290/detail</t>
  </si>
  <si>
    <t>芳源股份</t>
  </si>
  <si>
    <t>www.lixinger.com/analytics/company/sh/688148/688148/detail</t>
  </si>
  <si>
    <t>方正电机</t>
  </si>
  <si>
    <t>www.lixinger.com/analytics/company/sz/002196/2196/detail</t>
  </si>
  <si>
    <t>和胜股份</t>
  </si>
  <si>
    <t>www.lixinger.com/analytics/company/sz/002824/2824/detail</t>
  </si>
  <si>
    <t>金龙机电</t>
  </si>
  <si>
    <t>www.lixinger.com/analytics/company/sz/300032/300032/detail</t>
  </si>
  <si>
    <t>苏利股份</t>
  </si>
  <si>
    <t>www.lixinger.com/analytics/company/sh/603585/603585/detail</t>
  </si>
  <si>
    <t>海容冷链</t>
  </si>
  <si>
    <t>www.lixinger.com/analytics/company/sh/603187/603187/detail</t>
  </si>
  <si>
    <t>科力远</t>
  </si>
  <si>
    <t>www.lixinger.com/analytics/company/sh/600478/600478/detail</t>
  </si>
  <si>
    <t>先达股份</t>
  </si>
  <si>
    <t>www.lixinger.com/analytics/company/sh/603086/603086/detail</t>
  </si>
  <si>
    <t>兄弟科技</t>
  </si>
  <si>
    <t>www.lixinger.com/analytics/company/sz/002562/2562/detail</t>
  </si>
  <si>
    <t>华策影视</t>
  </si>
  <si>
    <t>www.lixinger.com/analytics/company/sz/300133/300133/detail</t>
  </si>
  <si>
    <t>电工合金</t>
  </si>
  <si>
    <t>www.lixinger.com/analytics/company/sz/300697/300697/detail</t>
  </si>
  <si>
    <t>亚宝药业</t>
  </si>
  <si>
    <t>www.lixinger.com/analytics/company/sh/600351/600351/detail</t>
  </si>
  <si>
    <t>国茂股份</t>
  </si>
  <si>
    <t>www.lixinger.com/analytics/company/sh/603915/603915/detail</t>
  </si>
  <si>
    <t>荣泰健康</t>
  </si>
  <si>
    <t>www.lixinger.com/analytics/company/sh/603579/603579/detail</t>
  </si>
  <si>
    <t>龙星化工</t>
  </si>
  <si>
    <t>www.lixinger.com/analytics/company/sz/002442/2442/detail</t>
  </si>
  <si>
    <t>剑桥科技</t>
  </si>
  <si>
    <t>www.lixinger.com/analytics/company/sh/603083/603083/detail</t>
  </si>
  <si>
    <t>海能实业</t>
  </si>
  <si>
    <t>www.lixinger.com/analytics/company/sz/300787/300787/detail</t>
  </si>
  <si>
    <t>天邑股份</t>
  </si>
  <si>
    <t>www.lixinger.com/analytics/company/sz/300504/300504/detail</t>
  </si>
  <si>
    <t>英维克</t>
  </si>
  <si>
    <t>www.lixinger.com/analytics/company/sz/002837/2837/detail</t>
  </si>
  <si>
    <t>高德红外</t>
  </si>
  <si>
    <t>www.lixinger.com/analytics/company/sz/002414/2414/detail</t>
  </si>
  <si>
    <t>美康生物</t>
  </si>
  <si>
    <t>www.lixinger.com/analytics/company/sz/300439/300439/detail</t>
  </si>
  <si>
    <t>梦洁股份</t>
  </si>
  <si>
    <t>www.lixinger.com/analytics/company/sz/002397/2397/detail</t>
  </si>
  <si>
    <t>三人行</t>
  </si>
  <si>
    <t>www.lixinger.com/analytics/company/sh/605168/605168/detail</t>
  </si>
  <si>
    <t>隆基机械</t>
  </si>
  <si>
    <t>www.lixinger.com/analytics/company/sz/002363/2363/detail</t>
  </si>
  <si>
    <t>汉嘉设计</t>
  </si>
  <si>
    <t>www.lixinger.com/analytics/company/sz/300746/300746/detail</t>
  </si>
  <si>
    <t>ST洲际</t>
  </si>
  <si>
    <t>www.lixinger.com/analytics/company/sh/600759/600759/detail</t>
  </si>
  <si>
    <t>通策医疗</t>
  </si>
  <si>
    <t>www.lixinger.com/analytics/company/sh/600763/600763/detail</t>
  </si>
  <si>
    <t>保变电气</t>
  </si>
  <si>
    <t>www.lixinger.com/analytics/company/sh/600550/600550/detail</t>
  </si>
  <si>
    <t>中衡设计</t>
  </si>
  <si>
    <t>www.lixinger.com/analytics/company/sh/603017/603017/detail</t>
  </si>
  <si>
    <t>山东墨龙</t>
  </si>
  <si>
    <t>www.lixinger.com/analytics/company/sz/002490/2490/detail</t>
  </si>
  <si>
    <t>欧陆通</t>
  </si>
  <si>
    <t>www.lixinger.com/analytics/company/sz/300870/300870/detail</t>
  </si>
  <si>
    <t>中信国安</t>
  </si>
  <si>
    <t>www.lixinger.com/analytics/company/sz/000839/839/detail</t>
  </si>
  <si>
    <t>宏创控股</t>
  </si>
  <si>
    <t>www.lixinger.com/analytics/company/sz/002379/2379/detail</t>
  </si>
  <si>
    <t>西藏珠峰</t>
  </si>
  <si>
    <t>www.lixinger.com/analytics/company/sh/600338/600338/detail</t>
  </si>
  <si>
    <t>超华科技</t>
  </si>
  <si>
    <t>www.lixinger.com/analytics/company/sz/002288/2288/detail</t>
  </si>
  <si>
    <t>东方通信</t>
  </si>
  <si>
    <t>其他通信设备</t>
  </si>
  <si>
    <t>www.lixinger.com/analytics/company/sh/600776/600776/detail</t>
  </si>
  <si>
    <t>浪潮软件</t>
  </si>
  <si>
    <t>www.lixinger.com/analytics/company/sh/600756/600756/detail</t>
  </si>
  <si>
    <t>科瑞技术</t>
  </si>
  <si>
    <t>www.lixinger.com/analytics/company/sz/002957/2957/detail</t>
  </si>
  <si>
    <t>成都路桥</t>
  </si>
  <si>
    <t>www.lixinger.com/analytics/company/sz/002628/2628/detail</t>
  </si>
  <si>
    <t>健盛集团</t>
  </si>
  <si>
    <t>www.lixinger.com/analytics/company/sh/603558/603558/detail</t>
  </si>
  <si>
    <t>共创草坪</t>
  </si>
  <si>
    <t>www.lixinger.com/analytics/company/sh/605099/605099/detail</t>
  </si>
  <si>
    <t>山东海化</t>
  </si>
  <si>
    <t>www.lixinger.com/analytics/company/sz/000822/822/detail</t>
  </si>
  <si>
    <t>新化股份</t>
  </si>
  <si>
    <t>www.lixinger.com/analytics/company/sh/603867/603867/detail</t>
  </si>
  <si>
    <t>华荣股份</t>
  </si>
  <si>
    <t>www.lixinger.com/analytics/company/sh/603855/603855/detail</t>
  </si>
  <si>
    <t>国芳集团</t>
  </si>
  <si>
    <t>www.lixinger.com/analytics/company/sh/601086/601086/detail</t>
  </si>
  <si>
    <t>瑞芯微</t>
  </si>
  <si>
    <t>www.lixinger.com/analytics/company/sh/603893/603893/detail</t>
  </si>
  <si>
    <t>汇金通</t>
  </si>
  <si>
    <t>www.lixinger.com/analytics/company/sh/603577/603577/detail</t>
  </si>
  <si>
    <t>长海股份</t>
  </si>
  <si>
    <t>www.lixinger.com/analytics/company/sz/300196/300196/detail</t>
  </si>
  <si>
    <t>新柴股份</t>
  </si>
  <si>
    <t>www.lixinger.com/analytics/company/sz/301032/301032/detail</t>
  </si>
  <si>
    <t>通裕重工</t>
  </si>
  <si>
    <t>www.lixinger.com/analytics/company/sz/300185/300185/detail</t>
  </si>
  <si>
    <t>长春燃气</t>
  </si>
  <si>
    <t>www.lixinger.com/analytics/company/sh/600333/600333/detail</t>
  </si>
  <si>
    <t>红蜻蜓</t>
  </si>
  <si>
    <t>www.lixinger.com/analytics/company/sh/603116/603116/detail</t>
  </si>
  <si>
    <t>佛塑科技</t>
  </si>
  <si>
    <t>www.lixinger.com/analytics/company/sz/000973/973/detail</t>
  </si>
  <si>
    <t>久其软件</t>
  </si>
  <si>
    <t>www.lixinger.com/analytics/company/sz/002279/2279/detail</t>
  </si>
  <si>
    <t>国瓷材料</t>
  </si>
  <si>
    <t>www.lixinger.com/analytics/company/sz/300285/300285/detail</t>
  </si>
  <si>
    <t>融捷股份</t>
  </si>
  <si>
    <t>www.lixinger.com/analytics/company/sz/002192/2192/detail</t>
  </si>
  <si>
    <t>易华录</t>
  </si>
  <si>
    <t>www.lixinger.com/analytics/company/sz/300212/300212/detail</t>
  </si>
  <si>
    <t>银都股份</t>
  </si>
  <si>
    <t>www.lixinger.com/analytics/company/sh/603277/603277/detail</t>
  </si>
  <si>
    <t>富瀚微</t>
  </si>
  <si>
    <t>www.lixinger.com/analytics/company/sz/300613/300613/detail</t>
  </si>
  <si>
    <t>日发精机</t>
  </si>
  <si>
    <t>www.lixinger.com/analytics/company/sz/002520/2520/detail</t>
  </si>
  <si>
    <t>创意信息</t>
  </si>
  <si>
    <t>www.lixinger.com/analytics/company/sz/300366/300366/detail</t>
  </si>
  <si>
    <t>海利尔</t>
  </si>
  <si>
    <t>www.lixinger.com/analytics/company/sh/603639/603639/detail</t>
  </si>
  <si>
    <t>科恒股份</t>
  </si>
  <si>
    <t>www.lixinger.com/analytics/company/sz/300340/300340/detail</t>
  </si>
  <si>
    <t>海尔生物</t>
  </si>
  <si>
    <t>www.lixinger.com/analytics/company/sh/688139/688139/detail</t>
  </si>
  <si>
    <t>三诺生物</t>
  </si>
  <si>
    <t>www.lixinger.com/analytics/company/sz/300298/300298/detail</t>
  </si>
  <si>
    <t>泰坦科技</t>
  </si>
  <si>
    <t>www.lixinger.com/analytics/company/sh/688133/688133/detail</t>
  </si>
  <si>
    <t>常山药业</t>
  </si>
  <si>
    <t>www.lixinger.com/analytics/company/sz/300255/300255/detail</t>
  </si>
  <si>
    <t>天润乳业</t>
  </si>
  <si>
    <t>www.lixinger.com/analytics/company/sh/600419/600419/detail</t>
  </si>
  <si>
    <t>闽发铝业</t>
  </si>
  <si>
    <t>www.lixinger.com/analytics/company/sz/002578/2578/detail</t>
  </si>
  <si>
    <t>传艺科技</t>
  </si>
  <si>
    <t>www.lixinger.com/analytics/company/sz/002866/2866/detail</t>
  </si>
  <si>
    <t>神州高铁</t>
  </si>
  <si>
    <t>www.lixinger.com/analytics/company/sz/000008/8/detail</t>
  </si>
  <si>
    <t>星徽股份</t>
  </si>
  <si>
    <t>www.lixinger.com/analytics/company/sz/300464/300464/detail</t>
  </si>
  <si>
    <t>九联科技</t>
  </si>
  <si>
    <t>www.lixinger.com/analytics/company/sh/688609/688609/detail</t>
  </si>
  <si>
    <t>新莱应材</t>
  </si>
  <si>
    <t>www.lixinger.com/analytics/company/sz/300260/300260/detail</t>
  </si>
  <si>
    <t>中电兴发</t>
  </si>
  <si>
    <t>www.lixinger.com/analytics/company/sz/002298/2298/detail</t>
  </si>
  <si>
    <t>至纯科技</t>
  </si>
  <si>
    <t>www.lixinger.com/analytics/company/sh/603690/603690/detail</t>
  </si>
  <si>
    <t>优刻得</t>
  </si>
  <si>
    <t>www.lixinger.com/analytics/company/sh/688158/688158/detail</t>
  </si>
  <si>
    <t>润和软件</t>
  </si>
  <si>
    <t>www.lixinger.com/analytics/company/sz/300339/300339/detail</t>
  </si>
  <si>
    <t>德方纳米</t>
  </si>
  <si>
    <t>www.lixinger.com/analytics/company/sz/300769/300769/detail</t>
  </si>
  <si>
    <t>闽灿坤Ｂ</t>
  </si>
  <si>
    <t>www.lixinger.com/analytics/company/sz/200512/200512/detail</t>
  </si>
  <si>
    <t>宜通世纪</t>
  </si>
  <si>
    <t>www.lixinger.com/analytics/company/sz/300310/300310/detail</t>
  </si>
  <si>
    <t>海达股份</t>
  </si>
  <si>
    <t>www.lixinger.com/analytics/company/sz/300320/300320/detail</t>
  </si>
  <si>
    <t>南微医学</t>
  </si>
  <si>
    <t>www.lixinger.com/analytics/company/sh/688029/688029/detail</t>
  </si>
  <si>
    <t>有研粉材</t>
  </si>
  <si>
    <t>www.lixinger.com/analytics/company/sh/688456/688456/detail</t>
  </si>
  <si>
    <t>元祖股份</t>
  </si>
  <si>
    <t>www.lixinger.com/analytics/company/sh/603886/603886/detail</t>
  </si>
  <si>
    <t>一品红</t>
  </si>
  <si>
    <t>www.lixinger.com/analytics/company/sz/300723/300723/detail</t>
  </si>
  <si>
    <t>漫步者</t>
  </si>
  <si>
    <t>www.lixinger.com/analytics/company/sz/002351/2351/detail</t>
  </si>
  <si>
    <t>千禾味业</t>
  </si>
  <si>
    <t>www.lixinger.com/analytics/company/sh/603027/603027/detail</t>
  </si>
  <si>
    <t>旺能环境</t>
  </si>
  <si>
    <t>www.lixinger.com/analytics/company/sz/002034/2034/detail</t>
  </si>
  <si>
    <t>雪榕生物</t>
  </si>
  <si>
    <t>食用菌</t>
  </si>
  <si>
    <t>www.lixinger.com/analytics/company/sz/300511/300511/detail</t>
  </si>
  <si>
    <t>苏大维格</t>
  </si>
  <si>
    <t>www.lixinger.com/analytics/company/sz/300331/300331/detail</t>
  </si>
  <si>
    <t>华微电子</t>
  </si>
  <si>
    <t>www.lixinger.com/analytics/company/sh/600360/600360/detail</t>
  </si>
  <si>
    <t>晋亿实业</t>
  </si>
  <si>
    <t>www.lixinger.com/analytics/company/sh/601002/601002/detail</t>
  </si>
  <si>
    <t>汇得科技</t>
  </si>
  <si>
    <t>www.lixinger.com/analytics/company/sh/603192/603192/detail</t>
  </si>
  <si>
    <t>南国置业</t>
  </si>
  <si>
    <t>www.lixinger.com/analytics/company/sz/002305/2305/detail</t>
  </si>
  <si>
    <t>福安药业</t>
  </si>
  <si>
    <t>www.lixinger.com/analytics/company/sz/300194/300194/detail</t>
  </si>
  <si>
    <t>兴业股份</t>
  </si>
  <si>
    <t>www.lixinger.com/analytics/company/sh/603928/603928/detail</t>
  </si>
  <si>
    <t>宁夏建材</t>
  </si>
  <si>
    <t>www.lixinger.com/analytics/company/sh/600449/600449/detail</t>
  </si>
  <si>
    <t>掌阅科技</t>
  </si>
  <si>
    <t>文字媒体</t>
  </si>
  <si>
    <t>www.lixinger.com/analytics/company/sh/603533/603533/detail</t>
  </si>
  <si>
    <t>*ST尤夫</t>
  </si>
  <si>
    <t>www.lixinger.com/analytics/company/sz/002427/2427/detail</t>
  </si>
  <si>
    <t>隆平高科</t>
  </si>
  <si>
    <t>www.lixinger.com/analytics/company/sz/000998/998/detail</t>
  </si>
  <si>
    <t>华仁药业</t>
  </si>
  <si>
    <t>www.lixinger.com/analytics/company/sz/300110/300110/detail</t>
  </si>
  <si>
    <t>香雪制药</t>
  </si>
  <si>
    <t>www.lixinger.com/analytics/company/sz/300147/300147/detail</t>
  </si>
  <si>
    <t>歌华有线</t>
  </si>
  <si>
    <t>www.lixinger.com/analytics/company/sh/600037/600037/detail</t>
  </si>
  <si>
    <t>绿城水务</t>
  </si>
  <si>
    <t>www.lixinger.com/analytics/company/sh/601368/601368/detail</t>
  </si>
  <si>
    <t>国城矿业</t>
  </si>
  <si>
    <t>www.lixinger.com/analytics/company/sz/000688/688/detail</t>
  </si>
  <si>
    <t>中旗股份</t>
  </si>
  <si>
    <t>www.lixinger.com/analytics/company/sz/300575/300575/detail</t>
  </si>
  <si>
    <t>海得控制</t>
  </si>
  <si>
    <t>www.lixinger.com/analytics/company/sz/002184/2184/detail</t>
  </si>
  <si>
    <t>煌上煌</t>
  </si>
  <si>
    <t>www.lixinger.com/analytics/company/sz/002695/2695/detail</t>
  </si>
  <si>
    <t>杭可科技</t>
  </si>
  <si>
    <t>www.lixinger.com/analytics/company/sh/688006/688006/detail</t>
  </si>
  <si>
    <t>洪涛股份</t>
  </si>
  <si>
    <t>www.lixinger.com/analytics/company/sz/002325/2325/detail</t>
  </si>
  <si>
    <t>达实智能</t>
  </si>
  <si>
    <t>www.lixinger.com/analytics/company/sz/002421/2421/detail</t>
  </si>
  <si>
    <t>欣贺股份</t>
  </si>
  <si>
    <t>www.lixinger.com/analytics/company/sz/003016/3016/detail</t>
  </si>
  <si>
    <t>加加食品</t>
  </si>
  <si>
    <t>www.lixinger.com/analytics/company/sz/002650/2650/detail</t>
  </si>
  <si>
    <t>天保基建</t>
  </si>
  <si>
    <t>www.lixinger.com/analytics/company/sz/000965/965/detail</t>
  </si>
  <si>
    <t>高新兴</t>
  </si>
  <si>
    <t>www.lixinger.com/analytics/company/sz/300098/300098/detail</t>
  </si>
  <si>
    <t>同益股份</t>
  </si>
  <si>
    <t>www.lixinger.com/analytics/company/sz/300538/300538/detail</t>
  </si>
  <si>
    <t>国机精工</t>
  </si>
  <si>
    <t>www.lixinger.com/analytics/company/sz/002046/2046/detail</t>
  </si>
  <si>
    <t>川恒股份</t>
  </si>
  <si>
    <t>www.lixinger.com/analytics/company/sz/002895/2895/detail</t>
  </si>
  <si>
    <t>罗平锌电</t>
  </si>
  <si>
    <t>www.lixinger.com/analytics/company/sz/002114/2114/detail</t>
  </si>
  <si>
    <t>宏达股份</t>
  </si>
  <si>
    <t>www.lixinger.com/analytics/company/sh/600331/600331/detail</t>
  </si>
  <si>
    <t>久盛电气</t>
  </si>
  <si>
    <t>www.lixinger.com/analytics/company/sz/301082/301082/detail</t>
  </si>
  <si>
    <t>智光电气</t>
  </si>
  <si>
    <t>www.lixinger.com/analytics/company/sz/002169/2169/detail</t>
  </si>
  <si>
    <t>美联新材</t>
  </si>
  <si>
    <t>www.lixinger.com/analytics/company/sz/300586/300586/detail</t>
  </si>
  <si>
    <t>博力威</t>
  </si>
  <si>
    <t>www.lixinger.com/analytics/company/sh/688345/688345/detail</t>
  </si>
  <si>
    <t>众生药业</t>
  </si>
  <si>
    <t>www.lixinger.com/analytics/company/sz/002317/2317/detail</t>
  </si>
  <si>
    <t>智动力</t>
  </si>
  <si>
    <t>www.lixinger.com/analytics/company/sz/300686/300686/detail</t>
  </si>
  <si>
    <t>中科微至</t>
  </si>
  <si>
    <t>www.lixinger.com/analytics/company/sh/688211/688211/detail</t>
  </si>
  <si>
    <t>通润装备</t>
  </si>
  <si>
    <t>www.lixinger.com/analytics/company/sz/002150/2150/detail</t>
  </si>
  <si>
    <t>桂林三金</t>
  </si>
  <si>
    <t>www.lixinger.com/analytics/company/sz/002275/2275/detail</t>
  </si>
  <si>
    <t>双塔食品</t>
  </si>
  <si>
    <t>www.lixinger.com/analytics/company/sz/002481/2481/detail</t>
  </si>
  <si>
    <t>金岭矿业</t>
  </si>
  <si>
    <t>www.lixinger.com/analytics/company/sz/000655/655/detail</t>
  </si>
  <si>
    <t>武汉控股</t>
  </si>
  <si>
    <t>www.lixinger.com/analytics/company/sh/600168/600168/detail</t>
  </si>
  <si>
    <t>巨人网络</t>
  </si>
  <si>
    <t>www.lixinger.com/analytics/company/sz/002558/2558/detail</t>
  </si>
  <si>
    <t>海陆重工</t>
  </si>
  <si>
    <t>www.lixinger.com/analytics/company/sz/002255/2255/detail</t>
  </si>
  <si>
    <t>澳洋健康</t>
  </si>
  <si>
    <t>www.lixinger.com/analytics/company/sz/002172/2172/detail</t>
  </si>
  <si>
    <t>美邦服饰</t>
  </si>
  <si>
    <t>www.lixinger.com/analytics/company/sz/002269/2269/detail</t>
  </si>
  <si>
    <t>艾比森</t>
  </si>
  <si>
    <t>www.lixinger.com/analytics/company/sz/300389/300389/detail</t>
  </si>
  <si>
    <t>福蓉科技</t>
  </si>
  <si>
    <t>www.lixinger.com/analytics/company/sh/603327/603327/detail</t>
  </si>
  <si>
    <t>嘉友国际</t>
  </si>
  <si>
    <t>www.lixinger.com/analytics/company/sh/603871/603871/detail</t>
  </si>
  <si>
    <t>特发信息</t>
  </si>
  <si>
    <t>www.lixinger.com/analytics/company/sz/000070/70/detail</t>
  </si>
  <si>
    <t>天能重工</t>
  </si>
  <si>
    <t>www.lixinger.com/analytics/company/sz/300569/300569/detail</t>
  </si>
  <si>
    <t>千红制药</t>
  </si>
  <si>
    <t>www.lixinger.com/analytics/company/sz/002550/2550/detail</t>
  </si>
  <si>
    <t>卧龙地产</t>
  </si>
  <si>
    <t>www.lixinger.com/analytics/company/sh/600173/600173/detail</t>
  </si>
  <si>
    <t>卓翼科技</t>
  </si>
  <si>
    <t>www.lixinger.com/analytics/company/sz/002369/2369/detail</t>
  </si>
  <si>
    <t>钱江生化</t>
  </si>
  <si>
    <t>www.lixinger.com/analytics/company/sh/600796/600796/detail</t>
  </si>
  <si>
    <t>中天金融</t>
  </si>
  <si>
    <t>www.lixinger.com/analytics/company/sz/000540/540/detail</t>
  </si>
  <si>
    <t>古越龙山</t>
  </si>
  <si>
    <t>www.lixinger.com/analytics/company/sh/600059/600059/detail</t>
  </si>
  <si>
    <t>华翔股份</t>
  </si>
  <si>
    <t>www.lixinger.com/analytics/company/sh/603112/603112/detail</t>
  </si>
  <si>
    <t>中钢天源</t>
  </si>
  <si>
    <t>www.lixinger.com/analytics/company/sz/002057/2057/detail</t>
  </si>
  <si>
    <t>安宁股份</t>
  </si>
  <si>
    <t>www.lixinger.com/analytics/company/sz/002978/2978/detail</t>
  </si>
  <si>
    <t>神农集团</t>
  </si>
  <si>
    <t>www.lixinger.com/analytics/company/sh/605296/605296/detail</t>
  </si>
  <si>
    <t>迈为股份</t>
  </si>
  <si>
    <t>www.lixinger.com/analytics/company/sz/300751/300751/detail</t>
  </si>
  <si>
    <t>维科技术</t>
  </si>
  <si>
    <t>www.lixinger.com/analytics/company/sh/600152/600152/detail</t>
  </si>
  <si>
    <t>易德龙</t>
  </si>
  <si>
    <t>www.lixinger.com/analytics/company/sh/603380/603380/detail</t>
  </si>
  <si>
    <t>永利股份</t>
  </si>
  <si>
    <t>www.lixinger.com/analytics/company/sz/300230/300230/detail</t>
  </si>
  <si>
    <t>泰和新材</t>
  </si>
  <si>
    <t>www.lixinger.com/analytics/company/sz/002254/2254/detail</t>
  </si>
  <si>
    <t>风华高科</t>
  </si>
  <si>
    <t>www.lixinger.com/analytics/company/sz/000636/636/detail</t>
  </si>
  <si>
    <t>湖南海利</t>
  </si>
  <si>
    <t>www.lixinger.com/analytics/company/sh/600731/600731/detail</t>
  </si>
  <si>
    <t>基蛋生物</t>
  </si>
  <si>
    <t>www.lixinger.com/analytics/company/sh/603387/603387/detail</t>
  </si>
  <si>
    <t>科林电气</t>
  </si>
  <si>
    <t>www.lixinger.com/analytics/company/sh/603050/603050/detail</t>
  </si>
  <si>
    <t>七一二</t>
  </si>
  <si>
    <t>www.lixinger.com/analytics/company/sh/603712/603712/detail</t>
  </si>
  <si>
    <t>均普智能</t>
  </si>
  <si>
    <t>www.lixinger.com/analytics/company/sh/688306/688306/detail</t>
  </si>
  <si>
    <t>英科再生</t>
  </si>
  <si>
    <t>www.lixinger.com/analytics/company/sh/688087/688087/detail</t>
  </si>
  <si>
    <t>贵广网络</t>
  </si>
  <si>
    <t>www.lixinger.com/analytics/company/sh/600996/600996/detail</t>
  </si>
  <si>
    <t>美晨生态</t>
  </si>
  <si>
    <t>www.lixinger.com/analytics/company/sz/300237/300237/detail</t>
  </si>
  <si>
    <t>学大教育</t>
  </si>
  <si>
    <t>www.lixinger.com/analytics/company/sz/000526/526/detail</t>
  </si>
  <si>
    <t>博世科</t>
  </si>
  <si>
    <t>www.lixinger.com/analytics/company/sz/300422/300422/detail</t>
  </si>
  <si>
    <t>勘设股份</t>
  </si>
  <si>
    <t>www.lixinger.com/analytics/company/sh/603458/603458/detail</t>
  </si>
  <si>
    <t>弘亚数控</t>
  </si>
  <si>
    <t>www.lixinger.com/analytics/company/sz/002833/2833/detail</t>
  </si>
  <si>
    <t>远达环保</t>
  </si>
  <si>
    <t>www.lixinger.com/analytics/company/sh/600292/600292/detail</t>
  </si>
  <si>
    <t>嘉澳环保</t>
  </si>
  <si>
    <t>www.lixinger.com/analytics/company/sh/603822/603822/detail</t>
  </si>
  <si>
    <t>申菱环境</t>
  </si>
  <si>
    <t>www.lixinger.com/analytics/company/sz/301018/301018/detail</t>
  </si>
  <si>
    <t>国创高新</t>
  </si>
  <si>
    <t>www.lixinger.com/analytics/company/sz/002377/2377/detail</t>
  </si>
  <si>
    <t>德业股份</t>
  </si>
  <si>
    <t>www.lixinger.com/analytics/company/sh/605117/605117/detail</t>
  </si>
  <si>
    <t>硕贝德</t>
  </si>
  <si>
    <t>www.lixinger.com/analytics/company/sz/300322/300322/detail</t>
  </si>
  <si>
    <t>大族数控</t>
  </si>
  <si>
    <t>www.lixinger.com/analytics/company/sz/301200/301200/detail</t>
  </si>
  <si>
    <t>大地熊</t>
  </si>
  <si>
    <t>www.lixinger.com/analytics/company/sh/688077/688077/detail</t>
  </si>
  <si>
    <t>卫宁健康</t>
  </si>
  <si>
    <t>www.lixinger.com/analytics/company/sz/300253/300253/detail</t>
  </si>
  <si>
    <t>中一科技</t>
  </si>
  <si>
    <t>www.lixinger.com/analytics/company/sz/301150/301150/detail</t>
  </si>
  <si>
    <t>立昂微</t>
  </si>
  <si>
    <t>www.lixinger.com/analytics/company/sh/605358/605358/detail</t>
  </si>
  <si>
    <t>青龙管业</t>
  </si>
  <si>
    <t>www.lixinger.com/analytics/company/sz/002457/2457/detail</t>
  </si>
  <si>
    <t>东岳硅材</t>
  </si>
  <si>
    <t>www.lixinger.com/analytics/company/sz/300821/300821/detail</t>
  </si>
  <si>
    <t>隆利科技</t>
  </si>
  <si>
    <t>www.lixinger.com/analytics/company/sz/300752/300752/detail</t>
  </si>
  <si>
    <t>金牌厨柜</t>
  </si>
  <si>
    <t>www.lixinger.com/analytics/company/sh/603180/603180/detail</t>
  </si>
  <si>
    <t>京泉华</t>
  </si>
  <si>
    <t>www.lixinger.com/analytics/company/sz/002885/2885/detail</t>
  </si>
  <si>
    <t>聚灿光电</t>
  </si>
  <si>
    <t>www.lixinger.com/analytics/company/sz/300708/300708/detail</t>
  </si>
  <si>
    <t>博实股份</t>
  </si>
  <si>
    <t>www.lixinger.com/analytics/company/sz/002698/2698/detail</t>
  </si>
  <si>
    <t>永福股份</t>
  </si>
  <si>
    <t>www.lixinger.com/analytics/company/sz/300712/300712/detail</t>
  </si>
  <si>
    <t>中国海防</t>
  </si>
  <si>
    <t>www.lixinger.com/analytics/company/sh/600764/600764/detail</t>
  </si>
  <si>
    <t>长华股份</t>
  </si>
  <si>
    <t>www.lixinger.com/analytics/company/sh/605018/605018/detail</t>
  </si>
  <si>
    <t>兴源环境</t>
  </si>
  <si>
    <t>www.lixinger.com/analytics/company/sz/300266/300266/detail</t>
  </si>
  <si>
    <t>合众思壮</t>
  </si>
  <si>
    <t>www.lixinger.com/analytics/company/sz/002383/2383/detail</t>
  </si>
  <si>
    <t>和晶科技</t>
  </si>
  <si>
    <t>www.lixinger.com/analytics/company/sz/300279/300279/detail</t>
  </si>
  <si>
    <t>昊海生科</t>
  </si>
  <si>
    <t>www.lixinger.com/analytics/company/sh/688366/688366/detail</t>
  </si>
  <si>
    <t>美畅股份</t>
  </si>
  <si>
    <t>www.lixinger.com/analytics/company/sz/300861/300861/detail</t>
  </si>
  <si>
    <t>达嘉维康</t>
  </si>
  <si>
    <t>www.lixinger.com/analytics/company/sz/301126/301126/detail</t>
  </si>
  <si>
    <t>宁波海运</t>
  </si>
  <si>
    <t>www.lixinger.com/analytics/company/sh/600798/600798/detail</t>
  </si>
  <si>
    <t>华源控股</t>
  </si>
  <si>
    <t>www.lixinger.com/analytics/company/sz/002787/2787/detail</t>
  </si>
  <si>
    <t>亚钾国际</t>
  </si>
  <si>
    <t>www.lixinger.com/analytics/company/sz/000893/893/detail</t>
  </si>
  <si>
    <t>星辉环材</t>
  </si>
  <si>
    <t>www.lixinger.com/analytics/company/sz/300834/300834/detail</t>
  </si>
  <si>
    <t>达华智能</t>
  </si>
  <si>
    <t>www.lixinger.com/analytics/company/sz/002512/2512/detail</t>
  </si>
  <si>
    <t>东箭科技</t>
  </si>
  <si>
    <t>www.lixinger.com/analytics/company/sz/300978/300978/detail</t>
  </si>
  <si>
    <t>汉钟精机</t>
  </si>
  <si>
    <t>www.lixinger.com/analytics/company/sz/002158/2158/detail</t>
  </si>
  <si>
    <t>神奇制药</t>
  </si>
  <si>
    <t>www.lixinger.com/analytics/company/sh/600613/600613/detail</t>
  </si>
  <si>
    <t>三湘印象</t>
  </si>
  <si>
    <t>www.lixinger.com/analytics/company/sz/000863/863/detail</t>
  </si>
  <si>
    <t>金浦钛业</t>
  </si>
  <si>
    <t>www.lixinger.com/analytics/company/sz/000545/545/detail</t>
  </si>
  <si>
    <t>维尔利</t>
  </si>
  <si>
    <t>www.lixinger.com/analytics/company/sz/300190/300190/detail</t>
  </si>
  <si>
    <t>中复神鹰</t>
  </si>
  <si>
    <t>www.lixinger.com/analytics/company/sh/688295/688295/detail</t>
  </si>
  <si>
    <t>安科生物</t>
  </si>
  <si>
    <t>www.lixinger.com/analytics/company/sz/300009/300009/detail</t>
  </si>
  <si>
    <t>深物业A</t>
  </si>
  <si>
    <t>www.lixinger.com/analytics/company/sz/000011/11/detail</t>
  </si>
  <si>
    <t>东方中科</t>
  </si>
  <si>
    <t>www.lixinger.com/analytics/company/sz/002819/2819/detail</t>
  </si>
  <si>
    <t>拓荆科技</t>
  </si>
  <si>
    <t>www.lixinger.com/analytics/company/sh/688072/688072/detail</t>
  </si>
  <si>
    <t>津滨发展</t>
  </si>
  <si>
    <t>www.lixinger.com/analytics/company/sz/000897/897/detail</t>
  </si>
  <si>
    <t>荃银高科</t>
  </si>
  <si>
    <t>www.lixinger.com/analytics/company/sz/300087/300087/detail</t>
  </si>
  <si>
    <t>科博达</t>
  </si>
  <si>
    <t>www.lixinger.com/analytics/company/sh/603786/603786/detail</t>
  </si>
  <si>
    <t>*ST大集</t>
  </si>
  <si>
    <t>www.lixinger.com/analytics/company/sz/000564/564/detail</t>
  </si>
  <si>
    <t>可孚医疗</t>
  </si>
  <si>
    <t>www.lixinger.com/analytics/company/sz/301087/301087/detail</t>
  </si>
  <si>
    <t>沧州明珠</t>
  </si>
  <si>
    <t>www.lixinger.com/analytics/company/sz/002108/2108/detail</t>
  </si>
  <si>
    <t>美格智能</t>
  </si>
  <si>
    <t>www.lixinger.com/analytics/company/sz/002881/2881/detail</t>
  </si>
  <si>
    <t>北大医药</t>
  </si>
  <si>
    <t>www.lixinger.com/analytics/company/sz/000788/788/detail</t>
  </si>
  <si>
    <t>冰山冷热</t>
  </si>
  <si>
    <t>www.lixinger.com/analytics/company/sz/000530/530/detail</t>
  </si>
  <si>
    <t>思瑞浦</t>
  </si>
  <si>
    <t>www.lixinger.com/analytics/company/sh/688536/688536/detail</t>
  </si>
  <si>
    <t>国立科技</t>
  </si>
  <si>
    <t>www.lixinger.com/analytics/company/sz/300716/300716/detail</t>
  </si>
  <si>
    <t>捷捷微电</t>
  </si>
  <si>
    <t>www.lixinger.com/analytics/company/sz/300623/300623/detail</t>
  </si>
  <si>
    <t>建业股份</t>
  </si>
  <si>
    <t>www.lixinger.com/analytics/company/sh/603948/603948/detail</t>
  </si>
  <si>
    <t>亿嘉和</t>
  </si>
  <si>
    <t>www.lixinger.com/analytics/company/sh/603666/603666/detail</t>
  </si>
  <si>
    <t>鹏翎股份</t>
  </si>
  <si>
    <t>www.lixinger.com/analytics/company/sz/300375/300375/detail</t>
  </si>
  <si>
    <t>富春染织</t>
  </si>
  <si>
    <t>www.lixinger.com/analytics/company/sh/605189/605189/detail</t>
  </si>
  <si>
    <t>宇瞳光学</t>
  </si>
  <si>
    <t>www.lixinger.com/analytics/company/sz/300790/300790/detail</t>
  </si>
  <si>
    <t>睿能科技</t>
  </si>
  <si>
    <t>www.lixinger.com/analytics/company/sh/603933/603933/detail</t>
  </si>
  <si>
    <t>泰和科技</t>
  </si>
  <si>
    <t>www.lixinger.com/analytics/company/sz/300801/300801/detail</t>
  </si>
  <si>
    <t>锦江在线</t>
  </si>
  <si>
    <t>www.lixinger.com/analytics/company/sh/600650/600650/detail</t>
  </si>
  <si>
    <t>艾华集团</t>
  </si>
  <si>
    <t>www.lixinger.com/analytics/company/sh/603989/603989/detail</t>
  </si>
  <si>
    <t>中科电气</t>
  </si>
  <si>
    <t>www.lixinger.com/analytics/company/sz/300035/300035/detail</t>
  </si>
  <si>
    <t>伊戈尔</t>
  </si>
  <si>
    <t>www.lixinger.com/analytics/company/sz/002922/2922/detail</t>
  </si>
  <si>
    <t>钱江水利</t>
  </si>
  <si>
    <t>www.lixinger.com/analytics/company/sh/600283/600283/detail</t>
  </si>
  <si>
    <t>三利谱</t>
  </si>
  <si>
    <t>www.lixinger.com/analytics/company/sz/002876/2876/detail</t>
  </si>
  <si>
    <t>航发控制</t>
  </si>
  <si>
    <t>www.lixinger.com/analytics/company/sz/000738/738/detail</t>
  </si>
  <si>
    <t>光威复材</t>
  </si>
  <si>
    <t>www.lixinger.com/analytics/company/sz/300699/300699/detail</t>
  </si>
  <si>
    <t>纽威数控</t>
  </si>
  <si>
    <t>www.lixinger.com/analytics/company/sh/688697/688697/detail</t>
  </si>
  <si>
    <t>新金路</t>
  </si>
  <si>
    <t>www.lixinger.com/analytics/company/sz/000510/510/detail</t>
  </si>
  <si>
    <t>润欣科技</t>
  </si>
  <si>
    <t>www.lixinger.com/analytics/company/sz/300493/300493/detail</t>
  </si>
  <si>
    <t>浔兴股份</t>
  </si>
  <si>
    <t>www.lixinger.com/analytics/company/sz/002098/2098/detail</t>
  </si>
  <si>
    <t>汉商集团</t>
  </si>
  <si>
    <t>www.lixinger.com/analytics/company/sh/600774/600774/detail</t>
  </si>
  <si>
    <t>深赛格B</t>
  </si>
  <si>
    <t>www.lixinger.com/analytics/company/sz/200058/200058/detail</t>
  </si>
  <si>
    <t>锐科激光</t>
  </si>
  <si>
    <t>www.lixinger.com/analytics/company/sz/300747/300747/detail</t>
  </si>
  <si>
    <t>广东骏亚</t>
  </si>
  <si>
    <t>www.lixinger.com/analytics/company/sh/603386/603386/detail</t>
  </si>
  <si>
    <t>恒顺醋业</t>
  </si>
  <si>
    <t>www.lixinger.com/analytics/company/sh/600305/600305/detail</t>
  </si>
  <si>
    <t>海欣食品</t>
  </si>
  <si>
    <t>www.lixinger.com/analytics/company/sz/002702/2702/detail</t>
  </si>
  <si>
    <t>湖北广电</t>
  </si>
  <si>
    <t>www.lixinger.com/analytics/company/sz/000665/665/detail</t>
  </si>
  <si>
    <t>九典制药</t>
  </si>
  <si>
    <t>www.lixinger.com/analytics/company/sz/300705/300705/detail</t>
  </si>
  <si>
    <t>雪峰科技</t>
  </si>
  <si>
    <t>www.lixinger.com/analytics/company/sh/603227/603227/detail</t>
  </si>
  <si>
    <t>郑中设计</t>
  </si>
  <si>
    <t>www.lixinger.com/analytics/company/sz/002811/2811/detail</t>
  </si>
  <si>
    <t>洛阳玻璃</t>
  </si>
  <si>
    <t>www.lixinger.com/analytics/company/sh/600876/600876/detail</t>
  </si>
  <si>
    <t>东百集团</t>
  </si>
  <si>
    <t>www.lixinger.com/analytics/company/sh/600693/600693/detail</t>
  </si>
  <si>
    <t>汇宇制药</t>
  </si>
  <si>
    <t>www.lixinger.com/analytics/company/sh/688553/688553/detail</t>
  </si>
  <si>
    <t>汉威科技</t>
  </si>
  <si>
    <t>www.lixinger.com/analytics/company/sz/300007/300007/detail</t>
  </si>
  <si>
    <t>应流股份</t>
  </si>
  <si>
    <t>www.lixinger.com/analytics/company/sh/603308/603308/detail</t>
  </si>
  <si>
    <t>浙江新能</t>
  </si>
  <si>
    <t>www.lixinger.com/analytics/company/sh/600032/600032/detail</t>
  </si>
  <si>
    <t>幸福蓝海</t>
  </si>
  <si>
    <t>www.lixinger.com/analytics/company/sz/300528/300528/detail</t>
  </si>
  <si>
    <t>德尔未来</t>
  </si>
  <si>
    <t>www.lixinger.com/analytics/company/sz/002631/2631/detail</t>
  </si>
  <si>
    <t>奥特维</t>
  </si>
  <si>
    <t>www.lixinger.com/analytics/company/sh/688516/688516/detail</t>
  </si>
  <si>
    <t>金河生物</t>
  </si>
  <si>
    <t>www.lixinger.com/analytics/company/sz/002688/2688/detail</t>
  </si>
  <si>
    <t>激智科技</t>
  </si>
  <si>
    <t>www.lixinger.com/analytics/company/sz/300566/300566/detail</t>
  </si>
  <si>
    <t>瑞斯康达</t>
  </si>
  <si>
    <t>www.lixinger.com/analytics/company/sh/603803/603803/detail</t>
  </si>
  <si>
    <t>金宏气体</t>
  </si>
  <si>
    <t>www.lixinger.com/analytics/company/sh/688106/688106/detail</t>
  </si>
  <si>
    <t>北京科锐</t>
  </si>
  <si>
    <t>www.lixinger.com/analytics/company/sz/002350/2350/detail</t>
  </si>
  <si>
    <t>苏常柴Ａ</t>
  </si>
  <si>
    <t>www.lixinger.com/analytics/company/sz/000570/570/detail</t>
  </si>
  <si>
    <t>*ST华英</t>
  </si>
  <si>
    <t>www.lixinger.com/analytics/company/sz/002321/2321/detail</t>
  </si>
  <si>
    <t>江丰电子</t>
  </si>
  <si>
    <t>www.lixinger.com/analytics/company/sz/300666/300666/detail</t>
  </si>
  <si>
    <t>华宝股份</t>
  </si>
  <si>
    <t>www.lixinger.com/analytics/company/sz/300741/300741/detail</t>
  </si>
  <si>
    <t>贝达药业</t>
  </si>
  <si>
    <t>www.lixinger.com/analytics/company/sz/300558/300558/detail</t>
  </si>
  <si>
    <t>浙江众成</t>
  </si>
  <si>
    <t>www.lixinger.com/analytics/company/sz/002522/2522/detail</t>
  </si>
  <si>
    <t>华兴源创</t>
  </si>
  <si>
    <t>www.lixinger.com/analytics/company/sh/688001/688001/detail</t>
  </si>
  <si>
    <t>康跃科技</t>
  </si>
  <si>
    <t>www.lixinger.com/analytics/company/sz/300391/300391/detail</t>
  </si>
  <si>
    <t>联美控股</t>
  </si>
  <si>
    <t>www.lixinger.com/analytics/company/sh/600167/600167/detail</t>
  </si>
  <si>
    <t>宜宾纸业</t>
  </si>
  <si>
    <t>www.lixinger.com/analytics/company/sh/600793/600793/detail</t>
  </si>
  <si>
    <t>赛意信息</t>
  </si>
  <si>
    <t>www.lixinger.com/analytics/company/sz/300687/300687/detail</t>
  </si>
  <si>
    <t>谱尼测试</t>
  </si>
  <si>
    <t>www.lixinger.com/analytics/company/sz/300887/300887/detail</t>
  </si>
  <si>
    <t>菲达环保</t>
  </si>
  <si>
    <t>www.lixinger.com/analytics/company/sh/600526/600526/detail</t>
  </si>
  <si>
    <t>江苏神通</t>
  </si>
  <si>
    <t>www.lixinger.com/analytics/company/sz/002438/2438/detail</t>
  </si>
  <si>
    <t>今天国际</t>
  </si>
  <si>
    <t>www.lixinger.com/analytics/company/sz/300532/300532/detail</t>
  </si>
  <si>
    <t>科华生物</t>
  </si>
  <si>
    <t>www.lixinger.com/analytics/company/sz/002022/2022/detail</t>
  </si>
  <si>
    <t>中山公用</t>
  </si>
  <si>
    <t>www.lixinger.com/analytics/company/sz/000685/685/detail</t>
  </si>
  <si>
    <t>四方科技</t>
  </si>
  <si>
    <t>www.lixinger.com/analytics/company/sh/603339/603339/detail</t>
  </si>
  <si>
    <t>凯伦股份</t>
  </si>
  <si>
    <t>www.lixinger.com/analytics/company/sz/300715/300715/detail</t>
  </si>
  <si>
    <t>乐心医疗</t>
  </si>
  <si>
    <t>www.lixinger.com/analytics/company/sz/300562/300562/detail</t>
  </si>
  <si>
    <t>科华控股</t>
  </si>
  <si>
    <t>www.lixinger.com/analytics/company/sh/603161/603161/detail</t>
  </si>
  <si>
    <t>顺灏股份</t>
  </si>
  <si>
    <t>www.lixinger.com/analytics/company/sz/002565/2565/detail</t>
  </si>
  <si>
    <t>英威腾</t>
  </si>
  <si>
    <t>www.lixinger.com/analytics/company/sz/002334/2334/detail</t>
  </si>
  <si>
    <t>上海电影</t>
  </si>
  <si>
    <t>www.lixinger.com/analytics/company/sh/601595/601595/detail</t>
  </si>
  <si>
    <t>铭利达</t>
  </si>
  <si>
    <t>www.lixinger.com/analytics/company/sz/301268/301268/detail</t>
  </si>
  <si>
    <t>丰乐种业</t>
  </si>
  <si>
    <t>www.lixinger.com/analytics/company/sz/000713/713/detail</t>
  </si>
  <si>
    <t>中材节能</t>
  </si>
  <si>
    <t>www.lixinger.com/analytics/company/sh/603126/603126/detail</t>
  </si>
  <si>
    <t>火星人</t>
  </si>
  <si>
    <t>www.lixinger.com/analytics/company/sz/300894/300894/detail</t>
  </si>
  <si>
    <t>万安科技</t>
  </si>
  <si>
    <t>www.lixinger.com/analytics/company/sz/002590/2590/detail</t>
  </si>
  <si>
    <t>潍柴重机</t>
  </si>
  <si>
    <t>www.lixinger.com/analytics/company/sz/000880/880/detail</t>
  </si>
  <si>
    <t>广博股份</t>
  </si>
  <si>
    <t>www.lixinger.com/analytics/company/sz/002103/2103/detail</t>
  </si>
  <si>
    <t>睿创微纳</t>
  </si>
  <si>
    <t>www.lixinger.com/analytics/company/sh/688002/688002/detail</t>
  </si>
  <si>
    <t>铭普光磁</t>
  </si>
  <si>
    <t>www.lixinger.com/analytics/company/sz/002902/2902/detail</t>
  </si>
  <si>
    <t>秦川机床</t>
  </si>
  <si>
    <t>www.lixinger.com/analytics/company/sz/000837/837/detail</t>
  </si>
  <si>
    <t>长青股份</t>
  </si>
  <si>
    <t>www.lixinger.com/analytics/company/sz/002391/2391/detail</t>
  </si>
  <si>
    <t>彩虹集团</t>
  </si>
  <si>
    <t>www.lixinger.com/analytics/company/sz/003023/3023/detail</t>
  </si>
  <si>
    <t>莲花健康</t>
  </si>
  <si>
    <t>www.lixinger.com/analytics/company/sh/600186/600186/detail</t>
  </si>
  <si>
    <t>科翔股份</t>
  </si>
  <si>
    <t>www.lixinger.com/analytics/company/sz/300903/300903/detail</t>
  </si>
  <si>
    <t>国风新材</t>
  </si>
  <si>
    <t>www.lixinger.com/analytics/company/sz/000859/859/detail</t>
  </si>
  <si>
    <t>新华锦</t>
  </si>
  <si>
    <t>其他饰品</t>
  </si>
  <si>
    <t>www.lixinger.com/analytics/company/sh/600735/600735/detail</t>
  </si>
  <si>
    <t>科大国创</t>
  </si>
  <si>
    <t>www.lixinger.com/analytics/company/sz/300520/300520/detail</t>
  </si>
  <si>
    <t>信濠光电</t>
  </si>
  <si>
    <t>www.lixinger.com/analytics/company/sz/301051/301051/detail</t>
  </si>
  <si>
    <t>首华燃气</t>
  </si>
  <si>
    <t>www.lixinger.com/analytics/company/sz/300483/300483/detail</t>
  </si>
  <si>
    <t>丰林集团</t>
  </si>
  <si>
    <t>www.lixinger.com/analytics/company/sh/601996/601996/detail</t>
  </si>
  <si>
    <t>华宇软件</t>
  </si>
  <si>
    <t>www.lixinger.com/analytics/company/sz/300271/300271/detail</t>
  </si>
  <si>
    <t>国投中鲁</t>
  </si>
  <si>
    <t>www.lixinger.com/analytics/company/sh/600962/600962/detail</t>
  </si>
  <si>
    <t>南网能源</t>
  </si>
  <si>
    <t>www.lixinger.com/analytics/company/sz/003035/3035/detail</t>
  </si>
  <si>
    <t>海马汽车</t>
  </si>
  <si>
    <t>www.lixinger.com/analytics/company/sz/000572/572/detail</t>
  </si>
  <si>
    <t>秦安股份</t>
  </si>
  <si>
    <t>www.lixinger.com/analytics/company/sh/603758/603758/detail</t>
  </si>
  <si>
    <t>天娱数科</t>
  </si>
  <si>
    <t>www.lixinger.com/analytics/company/sz/002354/2354/detail</t>
  </si>
  <si>
    <t>众兴菌业</t>
  </si>
  <si>
    <t>www.lixinger.com/analytics/company/sz/002772/2772/detail</t>
  </si>
  <si>
    <t>中辰股份</t>
  </si>
  <si>
    <t>www.lixinger.com/analytics/company/sz/300933/300933/detail</t>
  </si>
  <si>
    <t>辰安科技</t>
  </si>
  <si>
    <t>www.lixinger.com/analytics/company/sz/300523/300523/detail</t>
  </si>
  <si>
    <t>ST大洲</t>
  </si>
  <si>
    <t>www.lixinger.com/analytics/company/sz/000571/571/detail</t>
  </si>
  <si>
    <t>中原内配</t>
  </si>
  <si>
    <t>www.lixinger.com/analytics/company/sz/002448/2448/detail</t>
  </si>
  <si>
    <t>天汽模</t>
  </si>
  <si>
    <t>www.lixinger.com/analytics/company/sz/002510/2510/detail</t>
  </si>
  <si>
    <t>同庆楼</t>
  </si>
  <si>
    <t>餐饮</t>
  </si>
  <si>
    <t>www.lixinger.com/analytics/company/sh/605108/605108/detail</t>
  </si>
  <si>
    <t>正帆科技</t>
  </si>
  <si>
    <t>www.lixinger.com/analytics/company/sh/688596/688596/detail</t>
  </si>
  <si>
    <t>精测电子</t>
  </si>
  <si>
    <t>www.lixinger.com/analytics/company/sz/300567/300567/detail</t>
  </si>
  <si>
    <t>彤程新材</t>
  </si>
  <si>
    <t>橡胶助剂</t>
  </si>
  <si>
    <t>www.lixinger.com/analytics/company/sh/603650/603650/detail</t>
  </si>
  <si>
    <t>腾龙股份</t>
  </si>
  <si>
    <t>www.lixinger.com/analytics/company/sh/603158/603158/detail</t>
  </si>
  <si>
    <t>中颖电子</t>
  </si>
  <si>
    <t>www.lixinger.com/analytics/company/sz/300327/300327/detail</t>
  </si>
  <si>
    <t>派林生物</t>
  </si>
  <si>
    <t>www.lixinger.com/analytics/company/sz/000403/403/detail</t>
  </si>
  <si>
    <t>海南瑞泽</t>
  </si>
  <si>
    <t>www.lixinger.com/analytics/company/sz/002596/2596/detail</t>
  </si>
  <si>
    <t>宸展光电</t>
  </si>
  <si>
    <t>www.lixinger.com/analytics/company/sz/003019/3019/detail</t>
  </si>
  <si>
    <t>盛通股份</t>
  </si>
  <si>
    <t>www.lixinger.com/analytics/company/sz/002599/2599/detail</t>
  </si>
  <si>
    <t>兴业矿业</t>
  </si>
  <si>
    <t>www.lixinger.com/analytics/company/sz/000426/426/detail</t>
  </si>
  <si>
    <t>启迪设计</t>
  </si>
  <si>
    <t>www.lixinger.com/analytics/company/sz/300500/300500/detail</t>
  </si>
  <si>
    <t>金卡智能</t>
  </si>
  <si>
    <t>www.lixinger.com/analytics/company/sz/300349/300349/detail</t>
  </si>
  <si>
    <t>开立医疗</t>
  </si>
  <si>
    <t>www.lixinger.com/analytics/company/sz/300633/300633/detail</t>
  </si>
  <si>
    <t>塞力医疗</t>
  </si>
  <si>
    <t>www.lixinger.com/analytics/company/sh/603716/603716/detail</t>
  </si>
  <si>
    <t>金逸影视</t>
  </si>
  <si>
    <t>www.lixinger.com/analytics/company/sz/002905/2905/detail</t>
  </si>
  <si>
    <t>森林包装</t>
  </si>
  <si>
    <t>www.lixinger.com/analytics/company/sh/605500/605500/detail</t>
  </si>
  <si>
    <t>ST奇信</t>
  </si>
  <si>
    <t>www.lixinger.com/analytics/company/sz/002781/2781/detail</t>
  </si>
  <si>
    <t>天海防务</t>
  </si>
  <si>
    <t>www.lixinger.com/analytics/company/sz/300008/300008/detail</t>
  </si>
  <si>
    <t>新北洋</t>
  </si>
  <si>
    <t>www.lixinger.com/analytics/company/sz/002376/2376/detail</t>
  </si>
  <si>
    <t>广电计量</t>
  </si>
  <si>
    <t>www.lixinger.com/analytics/company/sz/002967/2967/detail</t>
  </si>
  <si>
    <t>沃特股份</t>
  </si>
  <si>
    <t>www.lixinger.com/analytics/company/sz/002886/2886/detail</t>
  </si>
  <si>
    <t>金力泰</t>
  </si>
  <si>
    <t>涂料油墨</t>
  </si>
  <si>
    <t>www.lixinger.com/analytics/company/sz/300225/300225/detail</t>
  </si>
  <si>
    <t>天正电气</t>
  </si>
  <si>
    <t>www.lixinger.com/analytics/company/sh/605066/605066/detail</t>
  </si>
  <si>
    <t>云南能投</t>
  </si>
  <si>
    <t>www.lixinger.com/analytics/company/sz/002053/2053/detail</t>
  </si>
  <si>
    <t>甘咨询</t>
  </si>
  <si>
    <t>www.lixinger.com/analytics/company/sz/000779/779/detail</t>
  </si>
  <si>
    <t>威高骨科</t>
  </si>
  <si>
    <t>www.lixinger.com/analytics/company/sh/688161/688161/detail</t>
  </si>
  <si>
    <t>昂利康</t>
  </si>
  <si>
    <t>www.lixinger.com/analytics/company/sz/002940/2940/detail</t>
  </si>
  <si>
    <t>长荣股份</t>
  </si>
  <si>
    <t>www.lixinger.com/analytics/company/sz/300195/300195/detail</t>
  </si>
  <si>
    <t>可立克</t>
  </si>
  <si>
    <t>www.lixinger.com/analytics/company/sz/002782/2782/detail</t>
  </si>
  <si>
    <t>福莱新材</t>
  </si>
  <si>
    <t>www.lixinger.com/analytics/company/sh/605488/605488/detail</t>
  </si>
  <si>
    <t>天佑德酒</t>
  </si>
  <si>
    <t>www.lixinger.com/analytics/company/sz/002646/2646/detail</t>
  </si>
  <si>
    <t>万控智造</t>
  </si>
  <si>
    <t>www.lixinger.com/analytics/company/sh/603070/603070/detail</t>
  </si>
  <si>
    <t>朝阳科技</t>
  </si>
  <si>
    <t>www.lixinger.com/analytics/company/sz/002981/2981/detail</t>
  </si>
  <si>
    <t>爱美客</t>
  </si>
  <si>
    <t>www.lixinger.com/analytics/company/sz/300896/300896/detail</t>
  </si>
  <si>
    <t>尚纬股份</t>
  </si>
  <si>
    <t>www.lixinger.com/analytics/company/sh/603333/603333/detail</t>
  </si>
  <si>
    <t>永东股份</t>
  </si>
  <si>
    <t>www.lixinger.com/analytics/company/sz/002753/2753/detail</t>
  </si>
  <si>
    <t>海翔药业</t>
  </si>
  <si>
    <t>www.lixinger.com/analytics/company/sz/002099/2099/detail</t>
  </si>
  <si>
    <t>奇精机械</t>
  </si>
  <si>
    <t>www.lixinger.com/analytics/company/sh/603677/603677/detail</t>
  </si>
  <si>
    <t>纳尔股份</t>
  </si>
  <si>
    <t>www.lixinger.com/analytics/company/sz/002825/2825/detail</t>
  </si>
  <si>
    <t>雄塑科技</t>
  </si>
  <si>
    <t>www.lixinger.com/analytics/company/sz/300599/300599/detail</t>
  </si>
  <si>
    <t>天顺股份</t>
  </si>
  <si>
    <t>www.lixinger.com/analytics/company/sz/002800/2800/detail</t>
  </si>
  <si>
    <t>王力安防</t>
  </si>
  <si>
    <t>www.lixinger.com/analytics/company/sh/605268/605268/detail</t>
  </si>
  <si>
    <t>ST德豪</t>
  </si>
  <si>
    <t>www.lixinger.com/analytics/company/sz/002005/2005/detail</t>
  </si>
  <si>
    <t>德龙汇能</t>
  </si>
  <si>
    <t>www.lixinger.com/analytics/company/sz/000593/593/detail</t>
  </si>
  <si>
    <t>华康股份</t>
  </si>
  <si>
    <t>www.lixinger.com/analytics/company/sh/605077/605077/detail</t>
  </si>
  <si>
    <t>设研院</t>
  </si>
  <si>
    <t>www.lixinger.com/analytics/company/sz/300732/300732/detail</t>
  </si>
  <si>
    <t>ST金鸿</t>
  </si>
  <si>
    <t>www.lixinger.com/analytics/company/sz/000669/669/detail</t>
  </si>
  <si>
    <t>新点软件</t>
  </si>
  <si>
    <t>www.lixinger.com/analytics/company/sh/688232/688232/detail</t>
  </si>
  <si>
    <t>盛美上海</t>
  </si>
  <si>
    <t>www.lixinger.com/analytics/company/sh/688082/688082/detail</t>
  </si>
  <si>
    <t>中红医疗</t>
  </si>
  <si>
    <t>www.lixinger.com/analytics/company/sz/300981/300981/detail</t>
  </si>
  <si>
    <t>东材科技</t>
  </si>
  <si>
    <t>www.lixinger.com/analytics/company/sh/601208/601208/detail</t>
  </si>
  <si>
    <t>中关村</t>
  </si>
  <si>
    <t>www.lixinger.com/analytics/company/sz/000931/931/detail</t>
  </si>
  <si>
    <t>凤凰光学</t>
  </si>
  <si>
    <t>www.lixinger.com/analytics/company/sh/600071/600071/detail</t>
  </si>
  <si>
    <t>獐子岛</t>
  </si>
  <si>
    <t>www.lixinger.com/analytics/company/sz/002069/2069/detail</t>
  </si>
  <si>
    <t>凌霄泵业</t>
  </si>
  <si>
    <t>www.lixinger.com/analytics/company/sz/002884/2884/detail</t>
  </si>
  <si>
    <t>康尼机电</t>
  </si>
  <si>
    <t>www.lixinger.com/analytics/company/sh/603111/603111/detail</t>
  </si>
  <si>
    <t>冰川网络</t>
  </si>
  <si>
    <t>www.lixinger.com/analytics/company/sz/300533/300533/detail</t>
  </si>
  <si>
    <t>中信博</t>
  </si>
  <si>
    <t>www.lixinger.com/analytics/company/sh/688408/688408/detail</t>
  </si>
  <si>
    <t>先进数通</t>
  </si>
  <si>
    <t>www.lixinger.com/analytics/company/sz/300541/300541/detail</t>
  </si>
  <si>
    <t>道通科技</t>
  </si>
  <si>
    <t>www.lixinger.com/analytics/company/sh/688208/688208/detail</t>
  </si>
  <si>
    <t>瑞尔特</t>
  </si>
  <si>
    <t>www.lixinger.com/analytics/company/sz/002790/2790/detail</t>
  </si>
  <si>
    <t>富瑞特装</t>
  </si>
  <si>
    <t>www.lixinger.com/analytics/company/sz/300228/300228/detail</t>
  </si>
  <si>
    <t>晶科科技</t>
  </si>
  <si>
    <t>www.lixinger.com/analytics/company/sh/601778/601778/detail</t>
  </si>
  <si>
    <t>雪人股份</t>
  </si>
  <si>
    <t>www.lixinger.com/analytics/company/sz/002639/2639/detail</t>
  </si>
  <si>
    <t>惠发食品</t>
  </si>
  <si>
    <t>www.lixinger.com/analytics/company/sh/603536/603536/detail</t>
  </si>
  <si>
    <t>鸿博股份</t>
  </si>
  <si>
    <t>www.lixinger.com/analytics/company/sz/002229/2229/detail</t>
  </si>
  <si>
    <t>连云港</t>
  </si>
  <si>
    <t>www.lixinger.com/analytics/company/sh/601008/601008/detail</t>
  </si>
  <si>
    <t>百亚股份</t>
  </si>
  <si>
    <t>www.lixinger.com/analytics/company/sz/003006/3006/detail</t>
  </si>
  <si>
    <t>方盛制药</t>
  </si>
  <si>
    <t>www.lixinger.com/analytics/company/sh/603998/603998/detail</t>
  </si>
  <si>
    <t>溢多利</t>
  </si>
  <si>
    <t>www.lixinger.com/analytics/company/sz/300381/300381/detail</t>
  </si>
  <si>
    <t>汤姆猫</t>
  </si>
  <si>
    <t>www.lixinger.com/analytics/company/sz/300459/300459/detail</t>
  </si>
  <si>
    <t>海南海药</t>
  </si>
  <si>
    <t>www.lixinger.com/analytics/company/sz/000566/566/detail</t>
  </si>
  <si>
    <t>联环药业</t>
  </si>
  <si>
    <t>www.lixinger.com/analytics/company/sh/600513/600513/detail</t>
  </si>
  <si>
    <t>青松建化</t>
  </si>
  <si>
    <t>www.lixinger.com/analytics/company/sh/600425/600425/detail</t>
  </si>
  <si>
    <t>春雪食品</t>
  </si>
  <si>
    <t>www.lixinger.com/analytics/company/sh/605567/605567/detail</t>
  </si>
  <si>
    <t>山东章鼓</t>
  </si>
  <si>
    <t>www.lixinger.com/analytics/company/sz/002598/2598/detail</t>
  </si>
  <si>
    <t>设计总院</t>
  </si>
  <si>
    <t>www.lixinger.com/analytics/company/sh/603357/603357/detail</t>
  </si>
  <si>
    <t>安利股份</t>
  </si>
  <si>
    <t>www.lixinger.com/analytics/company/sz/300218/300218/detail</t>
  </si>
  <si>
    <t>温州宏丰</t>
  </si>
  <si>
    <t>www.lixinger.com/analytics/company/sz/300283/300283/detail</t>
  </si>
  <si>
    <t>元利科技</t>
  </si>
  <si>
    <t>www.lixinger.com/analytics/company/sh/603217/603217/detail</t>
  </si>
  <si>
    <t>立方制药</t>
  </si>
  <si>
    <t>www.lixinger.com/analytics/company/sz/003020/3020/detail</t>
  </si>
  <si>
    <t>燕塘乳业</t>
  </si>
  <si>
    <t>www.lixinger.com/analytics/company/sz/002732/2732/detail</t>
  </si>
  <si>
    <t>金陵饭店</t>
  </si>
  <si>
    <t>www.lixinger.com/analytics/company/sh/601007/601007/detail</t>
  </si>
  <si>
    <t>交控科技</t>
  </si>
  <si>
    <t>www.lixinger.com/analytics/company/sh/688015/688015/detail</t>
  </si>
  <si>
    <t>新大正</t>
  </si>
  <si>
    <t>www.lixinger.com/analytics/company/sz/002968/2968/detail</t>
  </si>
  <si>
    <t>朗科科技</t>
  </si>
  <si>
    <t>www.lixinger.com/analytics/company/sz/300042/300042/detail</t>
  </si>
  <si>
    <t>万业企业</t>
  </si>
  <si>
    <t>www.lixinger.com/analytics/company/sh/600641/600641/detail</t>
  </si>
  <si>
    <t>神通科技</t>
  </si>
  <si>
    <t>www.lixinger.com/analytics/company/sh/605228/605228/detail</t>
  </si>
  <si>
    <t>千味央厨</t>
  </si>
  <si>
    <t>www.lixinger.com/analytics/company/sz/001215/1215/detail</t>
  </si>
  <si>
    <t>湘电股份</t>
  </si>
  <si>
    <t>www.lixinger.com/analytics/company/sh/600416/600416/detail</t>
  </si>
  <si>
    <t>福建水泥</t>
  </si>
  <si>
    <t>www.lixinger.com/analytics/company/sh/600802/600802/detail</t>
  </si>
  <si>
    <t>洁美科技</t>
  </si>
  <si>
    <t>www.lixinger.com/analytics/company/sz/002859/2859/detail</t>
  </si>
  <si>
    <t>航天彩虹</t>
  </si>
  <si>
    <t>www.lixinger.com/analytics/company/sz/002389/2389/detail</t>
  </si>
  <si>
    <t>雅本化学</t>
  </si>
  <si>
    <t>www.lixinger.com/analytics/company/sz/300261/300261/detail</t>
  </si>
  <si>
    <t>雅创电子</t>
  </si>
  <si>
    <t>www.lixinger.com/analytics/company/sz/301099/301099/detail</t>
  </si>
  <si>
    <t>长鸿高科</t>
  </si>
  <si>
    <t>www.lixinger.com/analytics/company/sh/605008/605008/detail</t>
  </si>
  <si>
    <t>恒丰纸业</t>
  </si>
  <si>
    <t>www.lixinger.com/analytics/company/sh/600356/600356/detail</t>
  </si>
  <si>
    <t>武汉凡谷</t>
  </si>
  <si>
    <t>www.lixinger.com/analytics/company/sz/002194/2194/detail</t>
  </si>
  <si>
    <t>恒玄科技</t>
  </si>
  <si>
    <t>www.lixinger.com/analytics/company/sh/688608/688608/detail</t>
  </si>
  <si>
    <t>慈星股份</t>
  </si>
  <si>
    <t>www.lixinger.com/analytics/company/sz/300307/300307/detail</t>
  </si>
  <si>
    <t>泉峰汽车</t>
  </si>
  <si>
    <t>www.lixinger.com/analytics/company/sh/603982/603982/detail</t>
  </si>
  <si>
    <t>新洁能</t>
  </si>
  <si>
    <t>www.lixinger.com/analytics/company/sh/605111/605111/detail</t>
  </si>
  <si>
    <t>国泰集团</t>
  </si>
  <si>
    <t>www.lixinger.com/analytics/company/sh/603977/603977/detail</t>
  </si>
  <si>
    <t>双箭股份</t>
  </si>
  <si>
    <t>www.lixinger.com/analytics/company/sz/002381/2381/detail</t>
  </si>
  <si>
    <t>东尼电子</t>
  </si>
  <si>
    <t>www.lixinger.com/analytics/company/sh/603595/603595/detail</t>
  </si>
  <si>
    <t>东方锆业</t>
  </si>
  <si>
    <t>www.lixinger.com/analytics/company/sz/002167/2167/detail</t>
  </si>
  <si>
    <t>川金诺</t>
  </si>
  <si>
    <t>www.lixinger.com/analytics/company/sz/300505/300505/detail</t>
  </si>
  <si>
    <t>海象新材</t>
  </si>
  <si>
    <t>www.lixinger.com/analytics/company/sz/003011/3011/detail</t>
  </si>
  <si>
    <t>理邦仪器</t>
  </si>
  <si>
    <t>www.lixinger.com/analytics/company/sz/300206/300206/detail</t>
  </si>
  <si>
    <t>沃格光电</t>
  </si>
  <si>
    <t>www.lixinger.com/analytics/company/sh/603773/603773/detail</t>
  </si>
  <si>
    <t>正丹股份</t>
  </si>
  <si>
    <t>www.lixinger.com/analytics/company/sz/300641/300641/detail</t>
  </si>
  <si>
    <t>苏州科达</t>
  </si>
  <si>
    <t>www.lixinger.com/analytics/company/sh/603660/603660/detail</t>
  </si>
  <si>
    <t>ST升达</t>
  </si>
  <si>
    <t>www.lixinger.com/analytics/company/sz/002259/2259/detail</t>
  </si>
  <si>
    <t>广宇发展</t>
  </si>
  <si>
    <t>www.lixinger.com/analytics/company/sz/000537/537/detail</t>
  </si>
  <si>
    <t>国检集团</t>
  </si>
  <si>
    <t>www.lixinger.com/analytics/company/sh/603060/603060/detail</t>
  </si>
  <si>
    <t>皇马科技</t>
  </si>
  <si>
    <t>www.lixinger.com/analytics/company/sh/603181/603181/detail</t>
  </si>
  <si>
    <t>诚迈科技</t>
  </si>
  <si>
    <t>www.lixinger.com/analytics/company/sz/300598/300598/detail</t>
  </si>
  <si>
    <t>星辉娱乐</t>
  </si>
  <si>
    <t>www.lixinger.com/analytics/company/sz/300043/300043/detail</t>
  </si>
  <si>
    <t>民丰特纸</t>
  </si>
  <si>
    <t>www.lixinger.com/analytics/company/sh/600235/600235/detail</t>
  </si>
  <si>
    <t>精锻科技</t>
  </si>
  <si>
    <t>www.lixinger.com/analytics/company/sz/300258/300258/detail</t>
  </si>
  <si>
    <t>保立佳</t>
  </si>
  <si>
    <t>www.lixinger.com/analytics/company/sz/301037/301037/detail</t>
  </si>
  <si>
    <t>圣阳股份</t>
  </si>
  <si>
    <t>www.lixinger.com/analytics/company/sz/002580/2580/detail</t>
  </si>
  <si>
    <t>贵航股份</t>
  </si>
  <si>
    <t>www.lixinger.com/analytics/company/sh/600523/600523/detail</t>
  </si>
  <si>
    <t>元力股份</t>
  </si>
  <si>
    <t>www.lixinger.com/analytics/company/sz/300174/300174/detail</t>
  </si>
  <si>
    <t>顺发恒业</t>
  </si>
  <si>
    <t>www.lixinger.com/analytics/company/sz/000631/631/detail</t>
  </si>
  <si>
    <t>迪生力</t>
  </si>
  <si>
    <t>www.lixinger.com/analytics/company/sh/603335/603335/detail</t>
  </si>
  <si>
    <t>奥普家居</t>
  </si>
  <si>
    <t>www.lixinger.com/analytics/company/sh/603551/603551/detail</t>
  </si>
  <si>
    <t>英力股份</t>
  </si>
  <si>
    <t>www.lixinger.com/analytics/company/sz/300956/300956/detail</t>
  </si>
  <si>
    <t>西部创业</t>
  </si>
  <si>
    <t>www.lixinger.com/analytics/company/sz/000557/557/detail</t>
  </si>
  <si>
    <t>全志科技</t>
  </si>
  <si>
    <t>www.lixinger.com/analytics/company/sz/300458/300458/detail</t>
  </si>
  <si>
    <t>比依股份</t>
  </si>
  <si>
    <t>www.lixinger.com/analytics/company/sh/603215/603215/detail</t>
  </si>
  <si>
    <t>华菱精工</t>
  </si>
  <si>
    <t>www.lixinger.com/analytics/company/sh/603356/603356/detail</t>
  </si>
  <si>
    <t>佐力药业</t>
  </si>
  <si>
    <t>www.lixinger.com/analytics/company/sz/300181/300181/detail</t>
  </si>
  <si>
    <t>徐家汇</t>
  </si>
  <si>
    <t>www.lixinger.com/analytics/company/sz/002561/2561/detail</t>
  </si>
  <si>
    <t>江西长运</t>
  </si>
  <si>
    <t>www.lixinger.com/analytics/company/sh/600561/600561/detail</t>
  </si>
  <si>
    <t>泛微网络</t>
  </si>
  <si>
    <t>www.lixinger.com/analytics/company/sh/603039/603039/detail</t>
  </si>
  <si>
    <t>龙版传媒</t>
  </si>
  <si>
    <t>www.lixinger.com/analytics/company/sh/605577/605577/detail</t>
  </si>
  <si>
    <t>天元股份</t>
  </si>
  <si>
    <t>综合包装</t>
  </si>
  <si>
    <t>www.lixinger.com/analytics/company/sz/003003/3003/detail</t>
  </si>
  <si>
    <t>汉马科技</t>
  </si>
  <si>
    <t>www.lixinger.com/analytics/company/sh/600375/600375/detail</t>
  </si>
  <si>
    <t>南纺股份</t>
  </si>
  <si>
    <t>www.lixinger.com/analytics/company/sh/600250/600250/detail</t>
  </si>
  <si>
    <t>新筑股份</t>
  </si>
  <si>
    <t>www.lixinger.com/analytics/company/sz/002480/2480/detail</t>
  </si>
  <si>
    <t>华明装备</t>
  </si>
  <si>
    <t>www.lixinger.com/analytics/company/sz/002270/2270/detail</t>
  </si>
  <si>
    <t>合纵科技</t>
  </si>
  <si>
    <t>www.lixinger.com/analytics/company/sz/300477/300477/detail</t>
  </si>
  <si>
    <t>长川科技</t>
  </si>
  <si>
    <t>www.lixinger.com/analytics/company/sz/300604/300604/detail</t>
  </si>
  <si>
    <t>红星发展</t>
  </si>
  <si>
    <t>www.lixinger.com/analytics/company/sh/600367/600367/detail</t>
  </si>
  <si>
    <t>豪森股份</t>
  </si>
  <si>
    <t>www.lixinger.com/analytics/company/sh/688529/688529/detail</t>
  </si>
  <si>
    <t>宇信科技</t>
  </si>
  <si>
    <t>www.lixinger.com/analytics/company/sz/300674/300674/detail</t>
  </si>
  <si>
    <t>呈和科技</t>
  </si>
  <si>
    <t>www.lixinger.com/analytics/company/sh/688625/688625/detail</t>
  </si>
  <si>
    <t>无锡振华</t>
  </si>
  <si>
    <t>www.lixinger.com/analytics/company/sh/605319/605319/detail</t>
  </si>
  <si>
    <t>紫天科技</t>
  </si>
  <si>
    <t>www.lixinger.com/analytics/company/sz/300280/300280/detail</t>
  </si>
  <si>
    <t>山东玻纤</t>
  </si>
  <si>
    <t>www.lixinger.com/analytics/company/sh/605006/605006/detail</t>
  </si>
  <si>
    <t>尔康制药</t>
  </si>
  <si>
    <t>www.lixinger.com/analytics/company/sz/300267/300267/detail</t>
  </si>
  <si>
    <t>格林精密</t>
  </si>
  <si>
    <t>www.lixinger.com/analytics/company/sz/300968/300968/detail</t>
  </si>
  <si>
    <t>海目星</t>
  </si>
  <si>
    <t>www.lixinger.com/analytics/company/sh/688559/688559/detail</t>
  </si>
  <si>
    <t>通达动力</t>
  </si>
  <si>
    <t>www.lixinger.com/analytics/company/sz/002576/2576/detail</t>
  </si>
  <si>
    <t>ST贵人</t>
  </si>
  <si>
    <t>运动服装</t>
  </si>
  <si>
    <t>www.lixinger.com/analytics/company/sh/603555/603555/detail</t>
  </si>
  <si>
    <t>康强电子</t>
  </si>
  <si>
    <t>www.lixinger.com/analytics/company/sz/002119/2119/detail</t>
  </si>
  <si>
    <t>广西广电</t>
  </si>
  <si>
    <t>www.lixinger.com/analytics/company/sh/600936/600936/detail</t>
  </si>
  <si>
    <t>拱东医疗</t>
  </si>
  <si>
    <t>www.lixinger.com/analytics/company/sh/605369/605369/detail</t>
  </si>
  <si>
    <t>瑞丰新材</t>
  </si>
  <si>
    <t>www.lixinger.com/analytics/company/sz/300910/300910/detail</t>
  </si>
  <si>
    <t>康盛股份</t>
  </si>
  <si>
    <t>www.lixinger.com/analytics/company/sz/002418/2418/detail</t>
  </si>
  <si>
    <t>联合光电</t>
  </si>
  <si>
    <t>www.lixinger.com/analytics/company/sz/300691/300691/detail</t>
  </si>
  <si>
    <t>西藏矿业</t>
  </si>
  <si>
    <t>www.lixinger.com/analytics/company/sz/000762/762/detail</t>
  </si>
  <si>
    <t>鼎捷软件</t>
  </si>
  <si>
    <t>www.lixinger.com/analytics/company/sz/300378/300378/detail</t>
  </si>
  <si>
    <t>好想你</t>
  </si>
  <si>
    <t>www.lixinger.com/analytics/company/sz/002582/2582/detail</t>
  </si>
  <si>
    <t>阳谷华泰</t>
  </si>
  <si>
    <t>www.lixinger.com/analytics/company/sz/300121/300121/detail</t>
  </si>
  <si>
    <t>富森美</t>
  </si>
  <si>
    <t>www.lixinger.com/analytics/company/sz/002818/2818/detail</t>
  </si>
  <si>
    <t>冀东装备</t>
  </si>
  <si>
    <t>www.lixinger.com/analytics/company/sz/000856/856/detail</t>
  </si>
  <si>
    <t>花园生物</t>
  </si>
  <si>
    <t>www.lixinger.com/analytics/company/sz/300401/300401/detail</t>
  </si>
  <si>
    <t>司太立</t>
  </si>
  <si>
    <t>www.lixinger.com/analytics/company/sh/603520/603520/detail</t>
  </si>
  <si>
    <t>新诺威</t>
  </si>
  <si>
    <t>www.lixinger.com/analytics/company/sz/300765/300765/detail</t>
  </si>
  <si>
    <t>新五丰</t>
  </si>
  <si>
    <t>www.lixinger.com/analytics/company/sh/600975/600975/detail</t>
  </si>
  <si>
    <t>兆龙互连</t>
  </si>
  <si>
    <t>www.lixinger.com/analytics/company/sz/300913/300913/detail</t>
  </si>
  <si>
    <t>圣龙股份</t>
  </si>
  <si>
    <t>www.lixinger.com/analytics/company/sh/603178/603178/detail</t>
  </si>
  <si>
    <t>兰卫医学</t>
  </si>
  <si>
    <t>www.lixinger.com/analytics/company/sz/301060/301060/detail</t>
  </si>
  <si>
    <t>铁流股份</t>
  </si>
  <si>
    <t>www.lixinger.com/analytics/company/sh/603926/603926/detail</t>
  </si>
  <si>
    <t>深赛格</t>
  </si>
  <si>
    <t>www.lixinger.com/analytics/company/sz/000058/58/detail</t>
  </si>
  <si>
    <t>大博医疗</t>
  </si>
  <si>
    <t>www.lixinger.com/analytics/company/sz/002901/2901/detail</t>
  </si>
  <si>
    <t>中源协和</t>
  </si>
  <si>
    <t>www.lixinger.com/analytics/company/sh/600645/600645/detail</t>
  </si>
  <si>
    <t>大恒科技</t>
  </si>
  <si>
    <t>www.lixinger.com/analytics/company/sh/600288/600288/detail</t>
  </si>
  <si>
    <t>第一医药</t>
  </si>
  <si>
    <t>www.lixinger.com/analytics/company/sh/600833/600833/detail</t>
  </si>
  <si>
    <t>万达信息</t>
  </si>
  <si>
    <t>www.lixinger.com/analytics/company/sz/300168/300168/detail</t>
  </si>
  <si>
    <t>乐鑫科技</t>
  </si>
  <si>
    <t>www.lixinger.com/analytics/company/sh/688018/688018/detail</t>
  </si>
  <si>
    <t>三孚股份</t>
  </si>
  <si>
    <t>www.lixinger.com/analytics/company/sh/603938/603938/detail</t>
  </si>
  <si>
    <t>泛海控股</t>
  </si>
  <si>
    <t>www.lixinger.com/analytics/company/sz/000046/46/detail</t>
  </si>
  <si>
    <t>畅联股份</t>
  </si>
  <si>
    <t>www.lixinger.com/analytics/company/sh/603648/603648/detail</t>
  </si>
  <si>
    <t>宝利国际</t>
  </si>
  <si>
    <t>www.lixinger.com/analytics/company/sz/300135/300135/detail</t>
  </si>
  <si>
    <t>李子园</t>
  </si>
  <si>
    <t>www.lixinger.com/analytics/company/sh/605337/605337/detail</t>
  </si>
  <si>
    <t>万邦德</t>
  </si>
  <si>
    <t>www.lixinger.com/analytics/company/sz/002082/2082/detail</t>
  </si>
  <si>
    <t>金智科技</t>
  </si>
  <si>
    <t>www.lixinger.com/analytics/company/sz/002090/2090/detail</t>
  </si>
  <si>
    <t>欧普康视</t>
  </si>
  <si>
    <t>www.lixinger.com/analytics/company/sz/300595/300595/detail</t>
  </si>
  <si>
    <t>东芯股份</t>
  </si>
  <si>
    <t>www.lixinger.com/analytics/company/sh/688110/688110/detail</t>
  </si>
  <si>
    <t>九洲集团</t>
  </si>
  <si>
    <t>www.lixinger.com/analytics/company/sz/300040/300040/detail</t>
  </si>
  <si>
    <t>蓝晓科技</t>
  </si>
  <si>
    <t>www.lixinger.com/analytics/company/sz/300487/300487/detail</t>
  </si>
  <si>
    <t>海晨股份</t>
  </si>
  <si>
    <t>www.lixinger.com/analytics/company/sz/300873/300873/detail</t>
  </si>
  <si>
    <t>春光科技</t>
  </si>
  <si>
    <t>www.lixinger.com/analytics/company/sh/603657/603657/detail</t>
  </si>
  <si>
    <t>合兴股份</t>
  </si>
  <si>
    <t>www.lixinger.com/analytics/company/sh/605005/605005/detail</t>
  </si>
  <si>
    <t>禾盛新材</t>
  </si>
  <si>
    <t>www.lixinger.com/analytics/company/sz/002290/2290/detail</t>
  </si>
  <si>
    <t>天成自控</t>
  </si>
  <si>
    <t>www.lixinger.com/analytics/company/sh/603085/603085/detail</t>
  </si>
  <si>
    <t>地铁设计</t>
  </si>
  <si>
    <t>www.lixinger.com/analytics/company/sz/003013/3013/detail</t>
  </si>
  <si>
    <t>中闽能源</t>
  </si>
  <si>
    <t>www.lixinger.com/analytics/company/sh/600163/600163/detail</t>
  </si>
  <si>
    <t>永安药业</t>
  </si>
  <si>
    <t>www.lixinger.com/analytics/company/sz/002365/2365/detail</t>
  </si>
  <si>
    <t>依依股份</t>
  </si>
  <si>
    <t>www.lixinger.com/analytics/company/sz/001206/1206/detail</t>
  </si>
  <si>
    <t>华媒控股</t>
  </si>
  <si>
    <t>www.lixinger.com/analytics/company/sz/000607/607/detail</t>
  </si>
  <si>
    <t>京北方</t>
  </si>
  <si>
    <t>www.lixinger.com/analytics/company/sz/002987/2987/detail</t>
  </si>
  <si>
    <t>涪陵电力</t>
  </si>
  <si>
    <t>www.lixinger.com/analytics/company/sh/600452/600452/detail</t>
  </si>
  <si>
    <t>山西路桥</t>
  </si>
  <si>
    <t>www.lixinger.com/analytics/company/sz/000755/755/detail</t>
  </si>
  <si>
    <t>贝瑞基因</t>
  </si>
  <si>
    <t>www.lixinger.com/analytics/company/sz/000710/710/detail</t>
  </si>
  <si>
    <t>斯迪克</t>
  </si>
  <si>
    <t>www.lixinger.com/analytics/company/sz/300806/300806/detail</t>
  </si>
  <si>
    <t>四创电子</t>
  </si>
  <si>
    <t>www.lixinger.com/analytics/company/sh/600990/600990/detail</t>
  </si>
  <si>
    <t>王子新材</t>
  </si>
  <si>
    <t>www.lixinger.com/analytics/company/sz/002735/2735/detail</t>
  </si>
  <si>
    <t>开能健康</t>
  </si>
  <si>
    <t>www.lixinger.com/analytics/company/sz/300272/300272/detail</t>
  </si>
  <si>
    <t>风语筑</t>
  </si>
  <si>
    <t>其他数字媒体</t>
  </si>
  <si>
    <t>www.lixinger.com/analytics/company/sh/603466/603466/detail</t>
  </si>
  <si>
    <t>积成电子</t>
  </si>
  <si>
    <t>www.lixinger.com/analytics/company/sz/002339/2339/detail</t>
  </si>
  <si>
    <t>奇正藏药</t>
  </si>
  <si>
    <t>www.lixinger.com/analytics/company/sz/002287/2287/detail</t>
  </si>
  <si>
    <t>亚联发展</t>
  </si>
  <si>
    <t>www.lixinger.com/analytics/company/sz/002316/2316/detail</t>
  </si>
  <si>
    <t>中恒电气</t>
  </si>
  <si>
    <t>www.lixinger.com/analytics/company/sz/002364/2364/detail</t>
  </si>
  <si>
    <t>再升科技</t>
  </si>
  <si>
    <t>www.lixinger.com/analytics/company/sh/603601/603601/detail</t>
  </si>
  <si>
    <t>智莱科技</t>
  </si>
  <si>
    <t>www.lixinger.com/analytics/company/sz/300771/300771/detail</t>
  </si>
  <si>
    <t>晨光新材</t>
  </si>
  <si>
    <t>www.lixinger.com/analytics/company/sh/605399/605399/detail</t>
  </si>
  <si>
    <t>华尔泰</t>
  </si>
  <si>
    <t>www.lixinger.com/analytics/company/sz/001217/1217/detail</t>
  </si>
  <si>
    <t>上海贝岭</t>
  </si>
  <si>
    <t>www.lixinger.com/analytics/company/sh/600171/600171/detail</t>
  </si>
  <si>
    <t>通灵股份</t>
  </si>
  <si>
    <t>www.lixinger.com/analytics/company/sz/301168/301168/detail</t>
  </si>
  <si>
    <t>吉林敖东</t>
  </si>
  <si>
    <t>www.lixinger.com/analytics/company/sz/000623/623/detail</t>
  </si>
  <si>
    <t>大胜达</t>
  </si>
  <si>
    <t>www.lixinger.com/analytics/company/sh/603687/603687/detail</t>
  </si>
  <si>
    <t>精华制药</t>
  </si>
  <si>
    <t>www.lixinger.com/analytics/company/sz/002349/2349/detail</t>
  </si>
  <si>
    <t>怡达股份</t>
  </si>
  <si>
    <t>www.lixinger.com/analytics/company/sz/300721/300721/detail</t>
  </si>
  <si>
    <t>锐明技术</t>
  </si>
  <si>
    <t>www.lixinger.com/analytics/company/sz/002970/2970/detail</t>
  </si>
  <si>
    <t>恒铭达</t>
  </si>
  <si>
    <t>www.lixinger.com/analytics/company/sz/002947/2947/detail</t>
  </si>
  <si>
    <t>亚玛顿</t>
  </si>
  <si>
    <t>www.lixinger.com/analytics/company/sz/002623/2623/detail</t>
  </si>
  <si>
    <t>武进不锈</t>
  </si>
  <si>
    <t>www.lixinger.com/analytics/company/sh/603878/603878/detail</t>
  </si>
  <si>
    <t>乐惠国际</t>
  </si>
  <si>
    <t>www.lixinger.com/analytics/company/sh/603076/603076/detail</t>
  </si>
  <si>
    <t>怡合达</t>
  </si>
  <si>
    <t>www.lixinger.com/analytics/company/sz/301029/301029/detail</t>
  </si>
  <si>
    <t>欢乐家</t>
  </si>
  <si>
    <t>www.lixinger.com/analytics/company/sz/300997/300997/detail</t>
  </si>
  <si>
    <t>罗普斯金</t>
  </si>
  <si>
    <t>www.lixinger.com/analytics/company/sz/002333/2333/detail</t>
  </si>
  <si>
    <t>华铁股份</t>
  </si>
  <si>
    <t>www.lixinger.com/analytics/company/sz/000976/976/detail</t>
  </si>
  <si>
    <t>大东南</t>
  </si>
  <si>
    <t>www.lixinger.com/analytics/company/sz/002263/2263/detail</t>
  </si>
  <si>
    <t>新强联</t>
  </si>
  <si>
    <t>www.lixinger.com/analytics/company/sz/300850/300850/detail</t>
  </si>
  <si>
    <t>值得买</t>
  </si>
  <si>
    <t>门户网站</t>
  </si>
  <si>
    <t>www.lixinger.com/analytics/company/sz/300785/300785/detail</t>
  </si>
  <si>
    <t>明冠新材</t>
  </si>
  <si>
    <t>www.lixinger.com/analytics/company/sh/688560/688560/detail</t>
  </si>
  <si>
    <t>海印股份</t>
  </si>
  <si>
    <t>www.lixinger.com/analytics/company/sz/000861/861/detail</t>
  </si>
  <si>
    <t>三友联众</t>
  </si>
  <si>
    <t>www.lixinger.com/analytics/company/sz/300932/300932/detail</t>
  </si>
  <si>
    <t>线上线下</t>
  </si>
  <si>
    <t>www.lixinger.com/analytics/company/sz/300959/300959/detail</t>
  </si>
  <si>
    <t>广电网络</t>
  </si>
  <si>
    <t>www.lixinger.com/analytics/company/sh/600831/600831/detail</t>
  </si>
  <si>
    <t>威胜信息</t>
  </si>
  <si>
    <t>www.lixinger.com/analytics/company/sh/688100/688100/detail</t>
  </si>
  <si>
    <t>隆华科技</t>
  </si>
  <si>
    <t>www.lixinger.com/analytics/company/sz/300263/300263/detail</t>
  </si>
  <si>
    <t>特宝生物</t>
  </si>
  <si>
    <t>www.lixinger.com/analytics/company/sh/688278/688278/detail</t>
  </si>
  <si>
    <t>精功科技</t>
  </si>
  <si>
    <t>www.lixinger.com/analytics/company/sz/002006/2006/detail</t>
  </si>
  <si>
    <t>久日新材</t>
  </si>
  <si>
    <t>www.lixinger.com/analytics/company/sh/688199/688199/detail</t>
  </si>
  <si>
    <t>凯迪股份</t>
  </si>
  <si>
    <t>www.lixinger.com/analytics/company/sh/605288/605288/detail</t>
  </si>
  <si>
    <t>九强生物</t>
  </si>
  <si>
    <t>www.lixinger.com/analytics/company/sz/300406/300406/detail</t>
  </si>
  <si>
    <t>人民网</t>
  </si>
  <si>
    <t>www.lixinger.com/analytics/company/sh/603000/603000/detail</t>
  </si>
  <si>
    <t>江苏阳光</t>
  </si>
  <si>
    <t>www.lixinger.com/analytics/company/sh/600220/600220/detail</t>
  </si>
  <si>
    <t>上能电气</t>
  </si>
  <si>
    <t>www.lixinger.com/analytics/company/sz/300827/300827/detail</t>
  </si>
  <si>
    <t>超讯通信</t>
  </si>
  <si>
    <t>www.lixinger.com/analytics/company/sh/603322/603322/detail</t>
  </si>
  <si>
    <t>正裕工业</t>
  </si>
  <si>
    <t>www.lixinger.com/analytics/company/sh/603089/603089/detail</t>
  </si>
  <si>
    <t>鲍斯股份</t>
  </si>
  <si>
    <t>www.lixinger.com/analytics/company/sz/300441/300441/detail</t>
  </si>
  <si>
    <t>凯恩股份</t>
  </si>
  <si>
    <t>www.lixinger.com/analytics/company/sz/002012/2012/detail</t>
  </si>
  <si>
    <t>保税科技</t>
  </si>
  <si>
    <t>www.lixinger.com/analytics/company/sh/600794/600794/detail</t>
  </si>
  <si>
    <t>海星股份</t>
  </si>
  <si>
    <t>www.lixinger.com/analytics/company/sh/603115/603115/detail</t>
  </si>
  <si>
    <t>南都物业</t>
  </si>
  <si>
    <t>www.lixinger.com/analytics/company/sh/603506/603506/detail</t>
  </si>
  <si>
    <t>海洋王</t>
  </si>
  <si>
    <t>www.lixinger.com/analytics/company/sz/002724/2724/detail</t>
  </si>
  <si>
    <t>建艺集团</t>
  </si>
  <si>
    <t>www.lixinger.com/analytics/company/sz/002789/2789/detail</t>
  </si>
  <si>
    <t>亚康股份</t>
  </si>
  <si>
    <t>www.lixinger.com/analytics/company/sz/301085/301085/detail</t>
  </si>
  <si>
    <t>五洋停车</t>
  </si>
  <si>
    <t>www.lixinger.com/analytics/company/sz/300420/300420/detail</t>
  </si>
  <si>
    <t>中信出版</t>
  </si>
  <si>
    <t>www.lixinger.com/analytics/company/sz/300788/300788/detail</t>
  </si>
  <si>
    <t>中富电路</t>
  </si>
  <si>
    <t>www.lixinger.com/analytics/company/sz/300814/300814/detail</t>
  </si>
  <si>
    <t>德美化工</t>
  </si>
  <si>
    <t>www.lixinger.com/analytics/company/sz/002054/2054/detail</t>
  </si>
  <si>
    <t>亚威股份</t>
  </si>
  <si>
    <t>www.lixinger.com/analytics/company/sz/002559/2559/detail</t>
  </si>
  <si>
    <t>蓝丰生化</t>
  </si>
  <si>
    <t>www.lixinger.com/analytics/company/sz/002513/2513/detail</t>
  </si>
  <si>
    <t>越剑智能</t>
  </si>
  <si>
    <t>www.lixinger.com/analytics/company/sh/603095/603095/detail</t>
  </si>
  <si>
    <t>华瓷股份</t>
  </si>
  <si>
    <t>www.lixinger.com/analytics/company/sz/001216/1216/detail</t>
  </si>
  <si>
    <t>仁东控股</t>
  </si>
  <si>
    <t>www.lixinger.com/analytics/company/sz/002647/2647/detail</t>
  </si>
  <si>
    <t>津荣天宇</t>
  </si>
  <si>
    <t>www.lixinger.com/analytics/company/sz/300988/300988/detail</t>
  </si>
  <si>
    <t>望变电气</t>
  </si>
  <si>
    <t>www.lixinger.com/analytics/company/sh/603191/603191/detail</t>
  </si>
  <si>
    <t>雪迪龙</t>
  </si>
  <si>
    <t>www.lixinger.com/analytics/company/sz/002658/2658/detail</t>
  </si>
  <si>
    <t>北特科技</t>
  </si>
  <si>
    <t>www.lixinger.com/analytics/company/sh/603009/603009/detail</t>
  </si>
  <si>
    <t>天龙股份</t>
  </si>
  <si>
    <t>www.lixinger.com/analytics/company/sh/603266/603266/detail</t>
  </si>
  <si>
    <t>科思股份</t>
  </si>
  <si>
    <t>www.lixinger.com/analytics/company/sz/300856/300856/detail</t>
  </si>
  <si>
    <t>金雷股份</t>
  </si>
  <si>
    <t>www.lixinger.com/analytics/company/sz/300443/300443/detail</t>
  </si>
  <si>
    <t>新华网</t>
  </si>
  <si>
    <t>www.lixinger.com/analytics/company/sh/603888/603888/detail</t>
  </si>
  <si>
    <t>甘源食品</t>
  </si>
  <si>
    <t>www.lixinger.com/analytics/company/sz/002991/2991/detail</t>
  </si>
  <si>
    <t>艾迪精密</t>
  </si>
  <si>
    <t>www.lixinger.com/analytics/company/sh/603638/603638/detail</t>
  </si>
  <si>
    <t>山东赫达</t>
  </si>
  <si>
    <t>www.lixinger.com/analytics/company/sz/002810/2810/detail</t>
  </si>
  <si>
    <t>太龙药业</t>
  </si>
  <si>
    <t>www.lixinger.com/analytics/company/sh/600222/600222/detail</t>
  </si>
  <si>
    <t>匠心家居</t>
  </si>
  <si>
    <t>www.lixinger.com/analytics/company/sz/301061/301061/detail</t>
  </si>
  <si>
    <t>五洲交通</t>
  </si>
  <si>
    <t>www.lixinger.com/analytics/company/sh/600368/600368/detail</t>
  </si>
  <si>
    <t>西麦食品</t>
  </si>
  <si>
    <t>www.lixinger.com/analytics/company/sz/002956/2956/detail</t>
  </si>
  <si>
    <t>启明信息</t>
  </si>
  <si>
    <t>www.lixinger.com/analytics/company/sz/002232/2232/detail</t>
  </si>
  <si>
    <t>家联科技</t>
  </si>
  <si>
    <t>www.lixinger.com/analytics/company/sz/301193/301193/detail</t>
  </si>
  <si>
    <t>浙江美大</t>
  </si>
  <si>
    <t>www.lixinger.com/analytics/company/sz/002677/2677/detail</t>
  </si>
  <si>
    <t>麦趣尔</t>
  </si>
  <si>
    <t>www.lixinger.com/analytics/company/sz/002719/2719/detail</t>
  </si>
  <si>
    <t>广聚能源</t>
  </si>
  <si>
    <t>www.lixinger.com/analytics/company/sz/000096/96/detail</t>
  </si>
  <si>
    <t>华菱线缆</t>
  </si>
  <si>
    <t>www.lixinger.com/analytics/company/sz/001208/1208/detail</t>
  </si>
  <si>
    <t>美诺华</t>
  </si>
  <si>
    <t>www.lixinger.com/analytics/company/sh/603538/603538/detail</t>
  </si>
  <si>
    <t>正元地信</t>
  </si>
  <si>
    <t>www.lixinger.com/analytics/company/sh/688509/688509/detail</t>
  </si>
  <si>
    <t>国际医学</t>
  </si>
  <si>
    <t>www.lixinger.com/analytics/company/sz/000516/516/detail</t>
  </si>
  <si>
    <t>联赢激光</t>
  </si>
  <si>
    <t>www.lixinger.com/analytics/company/sh/688518/688518/detail</t>
  </si>
  <si>
    <t>鹿山新材</t>
  </si>
  <si>
    <t>www.lixinger.com/analytics/company/sh/603051/603051/detail</t>
  </si>
  <si>
    <t>江苏新能</t>
  </si>
  <si>
    <t>www.lixinger.com/analytics/company/sh/603693/603693/detail</t>
  </si>
  <si>
    <t>泉阳泉</t>
  </si>
  <si>
    <t>www.lixinger.com/analytics/company/sh/600189/600189/detail</t>
  </si>
  <si>
    <t>绿田机械</t>
  </si>
  <si>
    <t>www.lixinger.com/analytics/company/sh/605259/605259/detail</t>
  </si>
  <si>
    <t>丹化科技</t>
  </si>
  <si>
    <t>www.lixinger.com/analytics/company/sh/600844/600844/detail</t>
  </si>
  <si>
    <t>中国卫星</t>
  </si>
  <si>
    <t>www.lixinger.com/analytics/company/sh/600118/600118/detail</t>
  </si>
  <si>
    <t>巴比食品</t>
  </si>
  <si>
    <t>www.lixinger.com/analytics/company/sh/605338/605338/detail</t>
  </si>
  <si>
    <t>三丰智能</t>
  </si>
  <si>
    <t>www.lixinger.com/analytics/company/sz/300276/300276/detail</t>
  </si>
  <si>
    <t>凯利泰</t>
  </si>
  <si>
    <t>www.lixinger.com/analytics/company/sz/300326/300326/detail</t>
  </si>
  <si>
    <t>上海港湾</t>
  </si>
  <si>
    <t>www.lixinger.com/analytics/company/sh/605598/605598/detail</t>
  </si>
  <si>
    <t>英联股份</t>
  </si>
  <si>
    <t>www.lixinger.com/analytics/company/sz/002846/2846/detail</t>
  </si>
  <si>
    <t>金丹科技</t>
  </si>
  <si>
    <t>www.lixinger.com/analytics/company/sz/300829/300829/detail</t>
  </si>
  <si>
    <t>天威视讯</t>
  </si>
  <si>
    <t>www.lixinger.com/analytics/company/sz/002238/2238/detail</t>
  </si>
  <si>
    <t>万祥科技</t>
  </si>
  <si>
    <t>www.lixinger.com/analytics/company/sz/301180/301180/detail</t>
  </si>
  <si>
    <t>祖名股份</t>
  </si>
  <si>
    <t>www.lixinger.com/analytics/company/sz/003030/3030/detail</t>
  </si>
  <si>
    <t>海欣股份</t>
  </si>
  <si>
    <t>www.lixinger.com/analytics/company/sh/600851/600851/detail</t>
  </si>
  <si>
    <t>金开新能</t>
  </si>
  <si>
    <t>www.lixinger.com/analytics/company/sh/600821/600821/detail</t>
  </si>
  <si>
    <t>英力特</t>
  </si>
  <si>
    <t>www.lixinger.com/analytics/company/sz/000635/635/detail</t>
  </si>
  <si>
    <t>中嘉博创</t>
  </si>
  <si>
    <t>www.lixinger.com/analytics/company/sz/000889/889/detail</t>
  </si>
  <si>
    <t>金麒麟</t>
  </si>
  <si>
    <t>www.lixinger.com/analytics/company/sh/603586/603586/detail</t>
  </si>
  <si>
    <t>鸿远电子</t>
  </si>
  <si>
    <t>www.lixinger.com/analytics/company/sh/603267/603267/detail</t>
  </si>
  <si>
    <t>银信科技</t>
  </si>
  <si>
    <t>www.lixinger.com/analytics/company/sz/300231/300231/detail</t>
  </si>
  <si>
    <t>曼卡龙</t>
  </si>
  <si>
    <t>www.lixinger.com/analytics/company/sz/300945/300945/detail</t>
  </si>
  <si>
    <t>蠡湖股份</t>
  </si>
  <si>
    <t>www.lixinger.com/analytics/company/sz/300694/300694/detail</t>
  </si>
  <si>
    <t>标准股份</t>
  </si>
  <si>
    <t>www.lixinger.com/analytics/company/sh/600302/600302/detail</t>
  </si>
  <si>
    <t>瑞贝卡</t>
  </si>
  <si>
    <t>www.lixinger.com/analytics/company/sh/600439/600439/detail</t>
  </si>
  <si>
    <t>园林股份</t>
  </si>
  <si>
    <t>www.lixinger.com/analytics/company/sh/605303/605303/detail</t>
  </si>
  <si>
    <t>尚荣医疗</t>
  </si>
  <si>
    <t>www.lixinger.com/analytics/company/sz/002551/2551/detail</t>
  </si>
  <si>
    <t>汇通集团</t>
  </si>
  <si>
    <t>www.lixinger.com/analytics/company/sh/603176/603176/detail</t>
  </si>
  <si>
    <t>北信源</t>
  </si>
  <si>
    <t>www.lixinger.com/analytics/company/sz/300352/300352/detail</t>
  </si>
  <si>
    <t>天铁股份</t>
  </si>
  <si>
    <t>www.lixinger.com/analytics/company/sz/300587/300587/detail</t>
  </si>
  <si>
    <t>凤竹纺织</t>
  </si>
  <si>
    <t>www.lixinger.com/analytics/company/sh/600493/600493/detail</t>
  </si>
  <si>
    <t>三联虹普</t>
  </si>
  <si>
    <t>www.lixinger.com/analytics/company/sz/300384/300384/detail</t>
  </si>
  <si>
    <t>美亚光电</t>
  </si>
  <si>
    <t>www.lixinger.com/analytics/company/sz/002690/2690/detail</t>
  </si>
  <si>
    <t>中毅达</t>
  </si>
  <si>
    <t>www.lixinger.com/analytics/company/sh/600610/600610/detail</t>
  </si>
  <si>
    <t>北方股份</t>
  </si>
  <si>
    <t>www.lixinger.com/analytics/company/sh/600262/600262/detail</t>
  </si>
  <si>
    <t>珠江钢琴</t>
  </si>
  <si>
    <t>娱乐用品</t>
  </si>
  <si>
    <t>www.lixinger.com/analytics/company/sz/002678/2678/detail</t>
  </si>
  <si>
    <t>上声电子</t>
  </si>
  <si>
    <t>www.lixinger.com/analytics/company/sh/688533/688533/detail</t>
  </si>
  <si>
    <t>振邦智能</t>
  </si>
  <si>
    <t>www.lixinger.com/analytics/company/sz/003028/3028/detail</t>
  </si>
  <si>
    <t>亚通股份</t>
  </si>
  <si>
    <t>www.lixinger.com/analytics/company/sh/600692/600692/detail</t>
  </si>
  <si>
    <t>万里石</t>
  </si>
  <si>
    <t>www.lixinger.com/analytics/company/sz/002785/2785/detail</t>
  </si>
  <si>
    <t>埃夫特</t>
  </si>
  <si>
    <t>www.lixinger.com/analytics/company/sh/688165/688165/detail</t>
  </si>
  <si>
    <t>兴瑞科技</t>
  </si>
  <si>
    <t>www.lixinger.com/analytics/company/sz/002937/2937/detail</t>
  </si>
  <si>
    <t>派克新材</t>
  </si>
  <si>
    <t>www.lixinger.com/analytics/company/sh/605123/605123/detail</t>
  </si>
  <si>
    <t>诺禾致源</t>
  </si>
  <si>
    <t>其他医疗服务</t>
  </si>
  <si>
    <t>www.lixinger.com/analytics/company/sh/688315/688315/detail</t>
  </si>
  <si>
    <t>瑞联新材</t>
  </si>
  <si>
    <t>www.lixinger.com/analytics/company/sh/688550/688550/detail</t>
  </si>
  <si>
    <t>莱茵生物</t>
  </si>
  <si>
    <t>www.lixinger.com/analytics/company/sz/002166/2166/detail</t>
  </si>
  <si>
    <t>普利制药</t>
  </si>
  <si>
    <t>www.lixinger.com/analytics/company/sz/300630/300630/detail</t>
  </si>
  <si>
    <t>派生科技</t>
  </si>
  <si>
    <t>www.lixinger.com/analytics/company/sz/300176/300176/detail</t>
  </si>
  <si>
    <t>诺邦股份</t>
  </si>
  <si>
    <t>www.lixinger.com/analytics/company/sh/603238/603238/detail</t>
  </si>
  <si>
    <t>法兰泰克</t>
  </si>
  <si>
    <t>www.lixinger.com/analytics/company/sh/603966/603966/detail</t>
  </si>
  <si>
    <t>莱绅通灵</t>
  </si>
  <si>
    <t>www.lixinger.com/analytics/company/sh/603900/603900/detail</t>
  </si>
  <si>
    <t>百合花</t>
  </si>
  <si>
    <t>www.lixinger.com/analytics/company/sh/603823/603823/detail</t>
  </si>
  <si>
    <t>丸美股份</t>
  </si>
  <si>
    <t>www.lixinger.com/analytics/company/sh/603983/603983/detail</t>
  </si>
  <si>
    <t>天创时尚</t>
  </si>
  <si>
    <t>www.lixinger.com/analytics/company/sh/603608/603608/detail</t>
  </si>
  <si>
    <t>优彩资源</t>
  </si>
  <si>
    <t>www.lixinger.com/analytics/company/sz/002998/2998/detail</t>
  </si>
  <si>
    <t>新雷能</t>
  </si>
  <si>
    <t>www.lixinger.com/analytics/company/sz/300593/300593/detail</t>
  </si>
  <si>
    <t>瑞丰高材</t>
  </si>
  <si>
    <t>www.lixinger.com/analytics/company/sz/300243/300243/detail</t>
  </si>
  <si>
    <t>洪通燃气</t>
  </si>
  <si>
    <t>www.lixinger.com/analytics/company/sh/605169/605169/detail</t>
  </si>
  <si>
    <t>贵绳股份</t>
  </si>
  <si>
    <t>www.lixinger.com/analytics/company/sh/600992/600992/detail</t>
  </si>
  <si>
    <t>南宁百货</t>
  </si>
  <si>
    <t>www.lixinger.com/analytics/company/sh/600712/600712/detail</t>
  </si>
  <si>
    <t>通光线缆</t>
  </si>
  <si>
    <t>www.lixinger.com/analytics/company/sz/300265/300265/detail</t>
  </si>
  <si>
    <t>珠海中富</t>
  </si>
  <si>
    <t>www.lixinger.com/analytics/company/sz/000659/659/detail</t>
  </si>
  <si>
    <t>联创股份</t>
  </si>
  <si>
    <t>www.lixinger.com/analytics/company/sz/300343/300343/detail</t>
  </si>
  <si>
    <t>吉鑫科技</t>
  </si>
  <si>
    <t>www.lixinger.com/analytics/company/sh/601218/601218/detail</t>
  </si>
  <si>
    <t>三鑫医疗</t>
  </si>
  <si>
    <t>www.lixinger.com/analytics/company/sz/300453/300453/detail</t>
  </si>
  <si>
    <t>瑞普生物</t>
  </si>
  <si>
    <t>www.lixinger.com/analytics/company/sz/300119/300119/detail</t>
  </si>
  <si>
    <t>兴业科技</t>
  </si>
  <si>
    <t>www.lixinger.com/analytics/company/sz/002674/2674/detail</t>
  </si>
  <si>
    <t>华自科技</t>
  </si>
  <si>
    <t>www.lixinger.com/analytics/company/sz/300490/300490/detail</t>
  </si>
  <si>
    <t>甘肃电投</t>
  </si>
  <si>
    <t>www.lixinger.com/analytics/company/sz/000791/791/detail</t>
  </si>
  <si>
    <t>*ST德威</t>
  </si>
  <si>
    <t>www.lixinger.com/analytics/company/sz/300325/300325/detail</t>
  </si>
  <si>
    <t>风范股份</t>
  </si>
  <si>
    <t>www.lixinger.com/analytics/company/sh/601700/601700/detail</t>
  </si>
  <si>
    <t>华测导航</t>
  </si>
  <si>
    <t>www.lixinger.com/analytics/company/sz/300627/300627/detail</t>
  </si>
  <si>
    <t>天喻信息</t>
  </si>
  <si>
    <t>www.lixinger.com/analytics/company/sz/300205/300205/detail</t>
  </si>
  <si>
    <t>若羽臣</t>
  </si>
  <si>
    <t>www.lixinger.com/analytics/company/sz/003010/3010/detail</t>
  </si>
  <si>
    <t>丽尚国潮</t>
  </si>
  <si>
    <t>www.lixinger.com/analytics/company/sh/600738/600738/detail</t>
  </si>
  <si>
    <t>金种子酒</t>
  </si>
  <si>
    <t>www.lixinger.com/analytics/company/sh/600199/600199/detail</t>
  </si>
  <si>
    <t>拓维信息</t>
  </si>
  <si>
    <t>www.lixinger.com/analytics/company/sz/002261/2261/detail</t>
  </si>
  <si>
    <t>世嘉科技</t>
  </si>
  <si>
    <t>www.lixinger.com/analytics/company/sz/002796/2796/detail</t>
  </si>
  <si>
    <t>舒华体育</t>
  </si>
  <si>
    <t>www.lixinger.com/analytics/company/sh/605299/605299/detail</t>
  </si>
  <si>
    <t>炼石航空</t>
  </si>
  <si>
    <t>www.lixinger.com/analytics/company/sz/000697/697/detail</t>
  </si>
  <si>
    <t>联明股份</t>
  </si>
  <si>
    <t>www.lixinger.com/analytics/company/sh/603006/603006/detail</t>
  </si>
  <si>
    <t>西上海</t>
  </si>
  <si>
    <t>www.lixinger.com/analytics/company/sh/605151/605151/detail</t>
  </si>
  <si>
    <t>奕瑞科技</t>
  </si>
  <si>
    <t>www.lixinger.com/analytics/company/sh/688301/688301/detail</t>
  </si>
  <si>
    <t>朗迪集团</t>
  </si>
  <si>
    <t>www.lixinger.com/analytics/company/sh/603726/603726/detail</t>
  </si>
  <si>
    <t>上海凯宝</t>
  </si>
  <si>
    <t>www.lixinger.com/analytics/company/sz/300039/300039/detail</t>
  </si>
  <si>
    <t>通宇通讯</t>
  </si>
  <si>
    <t>www.lixinger.com/analytics/company/sz/002792/2792/detail</t>
  </si>
  <si>
    <t>志特新材</t>
  </si>
  <si>
    <t>www.lixinger.com/analytics/company/sz/300986/300986/detail</t>
  </si>
  <si>
    <t>麦克奥迪</t>
  </si>
  <si>
    <t>www.lixinger.com/analytics/company/sz/300341/300341/detail</t>
  </si>
  <si>
    <t>宁波中百</t>
  </si>
  <si>
    <t>www.lixinger.com/analytics/company/sh/600857/600857/detail</t>
  </si>
  <si>
    <t>芯源微</t>
  </si>
  <si>
    <t>www.lixinger.com/analytics/company/sh/688037/688037/detail</t>
  </si>
  <si>
    <t>中石科技</t>
  </si>
  <si>
    <t>www.lixinger.com/analytics/company/sz/300684/300684/detail</t>
  </si>
  <si>
    <t>苏文电能</t>
  </si>
  <si>
    <t>www.lixinger.com/analytics/company/sz/300982/300982/detail</t>
  </si>
  <si>
    <t>壹网壹创</t>
  </si>
  <si>
    <t>www.lixinger.com/analytics/company/sz/300792/300792/detail</t>
  </si>
  <si>
    <t>亿利达</t>
  </si>
  <si>
    <t>www.lixinger.com/analytics/company/sz/002686/2686/detail</t>
  </si>
  <si>
    <t>苏试试验</t>
  </si>
  <si>
    <t>www.lixinger.com/analytics/company/sz/300416/300416/detail</t>
  </si>
  <si>
    <t>泰坦股份</t>
  </si>
  <si>
    <t>www.lixinger.com/analytics/company/sz/003036/3036/detail</t>
  </si>
  <si>
    <t>奥飞数据</t>
  </si>
  <si>
    <t>www.lixinger.com/analytics/company/sz/300738/300738/detail</t>
  </si>
  <si>
    <t>金通灵</t>
  </si>
  <si>
    <t>www.lixinger.com/analytics/company/sz/300091/300091/detail</t>
  </si>
  <si>
    <t>*ST华塑</t>
  </si>
  <si>
    <t>www.lixinger.com/analytics/company/sz/000509/509/detail</t>
  </si>
  <si>
    <t>豪能股份</t>
  </si>
  <si>
    <t>www.lixinger.com/analytics/company/sh/603809/603809/detail</t>
  </si>
  <si>
    <t>龙溪股份</t>
  </si>
  <si>
    <t>www.lixinger.com/analytics/company/sh/600592/600592/detail</t>
  </si>
  <si>
    <t>乾照光电</t>
  </si>
  <si>
    <t>www.lixinger.com/analytics/company/sz/300102/300102/detail</t>
  </si>
  <si>
    <t>中国汽研</t>
  </si>
  <si>
    <t>www.lixinger.com/analytics/company/sh/601965/601965/detail</t>
  </si>
  <si>
    <t>华联股份</t>
  </si>
  <si>
    <t>www.lixinger.com/analytics/company/sz/000882/882/detail</t>
  </si>
  <si>
    <t>云维股份</t>
  </si>
  <si>
    <t>www.lixinger.com/analytics/company/sh/600725/600725/detail</t>
  </si>
  <si>
    <t>天孚通信</t>
  </si>
  <si>
    <t>www.lixinger.com/analytics/company/sz/300394/300394/detail</t>
  </si>
  <si>
    <t>瑞鹄模具</t>
  </si>
  <si>
    <t>www.lixinger.com/analytics/company/sz/002997/2997/detail</t>
  </si>
  <si>
    <t>中岩大地</t>
  </si>
  <si>
    <t>www.lixinger.com/analytics/company/sz/003001/3001/detail</t>
  </si>
  <si>
    <t>睿智医药</t>
  </si>
  <si>
    <t>www.lixinger.com/analytics/company/sz/300149/300149/detail</t>
  </si>
  <si>
    <t>惠博普</t>
  </si>
  <si>
    <t>www.lixinger.com/analytics/company/sz/002554/2554/detail</t>
  </si>
  <si>
    <t>济民医疗</t>
  </si>
  <si>
    <t>www.lixinger.com/analytics/company/sh/603222/603222/detail</t>
  </si>
  <si>
    <t>维力医疗</t>
  </si>
  <si>
    <t>www.lixinger.com/analytics/company/sh/603309/603309/detail</t>
  </si>
  <si>
    <t>嘉诚国际</t>
  </si>
  <si>
    <t>www.lixinger.com/analytics/company/sh/603535/603535/detail</t>
  </si>
  <si>
    <t>城市传媒</t>
  </si>
  <si>
    <t>www.lixinger.com/analytics/company/sh/600229/600229/detail</t>
  </si>
  <si>
    <t>会稽山</t>
  </si>
  <si>
    <t>www.lixinger.com/analytics/company/sh/601579/601579/detail</t>
  </si>
  <si>
    <t>数据港</t>
  </si>
  <si>
    <t>www.lixinger.com/analytics/company/sh/603881/603881/detail</t>
  </si>
  <si>
    <t>*ST嘉信</t>
  </si>
  <si>
    <t>www.lixinger.com/analytics/company/sz/300071/300071/detail</t>
  </si>
  <si>
    <t>航天晨光</t>
  </si>
  <si>
    <t>www.lixinger.com/analytics/company/sh/600501/600501/detail</t>
  </si>
  <si>
    <t>美盛文化</t>
  </si>
  <si>
    <t>www.lixinger.com/analytics/company/sz/002699/2699/detail</t>
  </si>
  <si>
    <t>厦工股份</t>
  </si>
  <si>
    <t>www.lixinger.com/analytics/company/sh/600815/600815/detail</t>
  </si>
  <si>
    <t>中原环保</t>
  </si>
  <si>
    <t>www.lixinger.com/analytics/company/sz/000544/544/detail</t>
  </si>
  <si>
    <t>冠石科技</t>
  </si>
  <si>
    <t>www.lixinger.com/analytics/company/sh/605588/605588/detail</t>
  </si>
  <si>
    <t>宏达电子</t>
  </si>
  <si>
    <t>www.lixinger.com/analytics/company/sz/300726/300726/detail</t>
  </si>
  <si>
    <t>道森股份</t>
  </si>
  <si>
    <t>www.lixinger.com/analytics/company/sh/603800/603800/detail</t>
  </si>
  <si>
    <t>南岭民爆</t>
  </si>
  <si>
    <t>www.lixinger.com/analytics/company/sz/002096/2096/detail</t>
  </si>
  <si>
    <t>北玻股份</t>
  </si>
  <si>
    <t>www.lixinger.com/analytics/company/sz/002613/2613/detail</t>
  </si>
  <si>
    <t>哈工智能</t>
  </si>
  <si>
    <t>www.lixinger.com/analytics/company/sz/000584/584/detail</t>
  </si>
  <si>
    <t>金博股份</t>
  </si>
  <si>
    <t>www.lixinger.com/analytics/company/sh/688598/688598/detail</t>
  </si>
  <si>
    <t>百达精工</t>
  </si>
  <si>
    <t>www.lixinger.com/analytics/company/sh/603331/603331/detail</t>
  </si>
  <si>
    <t>炬华科技</t>
  </si>
  <si>
    <t>www.lixinger.com/analytics/company/sz/300360/300360/detail</t>
  </si>
  <si>
    <t>富通信息</t>
  </si>
  <si>
    <t>www.lixinger.com/analytics/company/sz/000836/836/detail</t>
  </si>
  <si>
    <t>兴齐眼药</t>
  </si>
  <si>
    <t>www.lixinger.com/analytics/company/sz/300573/300573/detail</t>
  </si>
  <si>
    <t>翔鹭钨业</t>
  </si>
  <si>
    <t>www.lixinger.com/analytics/company/sz/002842/2842/detail</t>
  </si>
  <si>
    <t>益生股份</t>
  </si>
  <si>
    <t>www.lixinger.com/analytics/company/sz/002458/2458/detail</t>
  </si>
  <si>
    <t>金徽股份</t>
  </si>
  <si>
    <t>www.lixinger.com/analytics/company/sh/603132/603132/detail</t>
  </si>
  <si>
    <t>金莱特</t>
  </si>
  <si>
    <t>www.lixinger.com/analytics/company/sz/002723/2723/detail</t>
  </si>
  <si>
    <t>卫士通</t>
  </si>
  <si>
    <t>www.lixinger.com/analytics/company/sz/002268/2268/detail</t>
  </si>
  <si>
    <t>世龙实业</t>
  </si>
  <si>
    <t>www.lixinger.com/analytics/company/sz/002748/2748/detail</t>
  </si>
  <si>
    <t>宝色股份</t>
  </si>
  <si>
    <t>www.lixinger.com/analytics/company/sz/300402/300402/detail</t>
  </si>
  <si>
    <t>成大生物</t>
  </si>
  <si>
    <t>www.lixinger.com/analytics/company/sh/688739/688739/detail</t>
  </si>
  <si>
    <t>高澜股份</t>
  </si>
  <si>
    <t>www.lixinger.com/analytics/company/sz/300499/300499/detail</t>
  </si>
  <si>
    <t>市北高新</t>
  </si>
  <si>
    <t>www.lixinger.com/analytics/company/sh/600604/600604/detail</t>
  </si>
  <si>
    <t>厦门空港</t>
  </si>
  <si>
    <t>www.lixinger.com/analytics/company/sh/600897/600897/detail</t>
  </si>
  <si>
    <t>天桥起重</t>
  </si>
  <si>
    <t>www.lixinger.com/analytics/company/sz/002523/2523/detail</t>
  </si>
  <si>
    <t>惠云钛业</t>
  </si>
  <si>
    <t>www.lixinger.com/analytics/company/sz/300891/300891/detail</t>
  </si>
  <si>
    <t>恒润股份</t>
  </si>
  <si>
    <t>www.lixinger.com/analytics/company/sh/603985/603985/detail</t>
  </si>
  <si>
    <t>曙光股份</t>
  </si>
  <si>
    <t>www.lixinger.com/analytics/company/sh/600303/600303/detail</t>
  </si>
  <si>
    <t>海宁皮城</t>
  </si>
  <si>
    <t>www.lixinger.com/analytics/company/sz/002344/2344/detail</t>
  </si>
  <si>
    <t>三雄极光</t>
  </si>
  <si>
    <t>www.lixinger.com/analytics/company/sz/300625/300625/detail</t>
  </si>
  <si>
    <t>顺网科技</t>
  </si>
  <si>
    <t>www.lixinger.com/analytics/company/sz/300113/300113/detail</t>
  </si>
  <si>
    <t>嘉麟杰</t>
  </si>
  <si>
    <t>www.lixinger.com/analytics/company/sz/002486/2486/detail</t>
  </si>
  <si>
    <t>联诚精密</t>
  </si>
  <si>
    <t>www.lixinger.com/analytics/company/sz/002921/2921/detail</t>
  </si>
  <si>
    <t>西部材料</t>
  </si>
  <si>
    <t>www.lixinger.com/analytics/company/sz/002149/2149/detail</t>
  </si>
  <si>
    <t>新开源</t>
  </si>
  <si>
    <t>www.lixinger.com/analytics/company/sz/300109/300109/detail</t>
  </si>
  <si>
    <t>华懋科技</t>
  </si>
  <si>
    <t>www.lixinger.com/analytics/company/sh/603306/603306/detail</t>
  </si>
  <si>
    <t>确成股份</t>
  </si>
  <si>
    <t>www.lixinger.com/analytics/company/sh/605183/605183/detail</t>
  </si>
  <si>
    <t>济南高新</t>
  </si>
  <si>
    <t>www.lixinger.com/analytics/company/sh/600807/600807/detail</t>
  </si>
  <si>
    <t>汉宇集团</t>
  </si>
  <si>
    <t>www.lixinger.com/analytics/company/sz/300403/300403/detail</t>
  </si>
  <si>
    <t>延江股份</t>
  </si>
  <si>
    <t>www.lixinger.com/analytics/company/sz/300658/300658/detail</t>
  </si>
  <si>
    <t>宏辉果蔬</t>
  </si>
  <si>
    <t>www.lixinger.com/analytics/company/sh/603336/603336/detail</t>
  </si>
  <si>
    <t>杭齿前进</t>
  </si>
  <si>
    <t>www.lixinger.com/analytics/company/sh/601177/601177/detail</t>
  </si>
  <si>
    <t>贤丰控股</t>
  </si>
  <si>
    <t>www.lixinger.com/analytics/company/sz/002141/2141/detail</t>
  </si>
  <si>
    <t>创源股份</t>
  </si>
  <si>
    <t>www.lixinger.com/analytics/company/sz/300703/300703/detail</t>
  </si>
  <si>
    <t>惠泰医疗</t>
  </si>
  <si>
    <t>www.lixinger.com/analytics/company/sh/688617/688617/detail</t>
  </si>
  <si>
    <t>先惠技术</t>
  </si>
  <si>
    <t>www.lixinger.com/analytics/company/sh/688155/688155/detail</t>
  </si>
  <si>
    <t>开创国际</t>
  </si>
  <si>
    <t>海洋捕捞</t>
  </si>
  <si>
    <t>www.lixinger.com/analytics/company/sh/600097/600097/detail</t>
  </si>
  <si>
    <t>平潭发展</t>
  </si>
  <si>
    <t>林业</t>
  </si>
  <si>
    <t>www.lixinger.com/analytics/company/sz/000592/592/detail</t>
  </si>
  <si>
    <t>万朗磁塑</t>
  </si>
  <si>
    <t>www.lixinger.com/analytics/company/sh/603150/603150/detail</t>
  </si>
  <si>
    <t>博思软件</t>
  </si>
  <si>
    <t>www.lixinger.com/analytics/company/sz/300525/300525/detail</t>
  </si>
  <si>
    <t>ST银河</t>
  </si>
  <si>
    <t>www.lixinger.com/analytics/company/sz/000806/806/detail</t>
  </si>
  <si>
    <t>大元泵业</t>
  </si>
  <si>
    <t>www.lixinger.com/analytics/company/sh/603757/603757/detail</t>
  </si>
  <si>
    <t>嘉亨家化</t>
  </si>
  <si>
    <t>www.lixinger.com/analytics/company/sz/300955/300955/detail</t>
  </si>
  <si>
    <t>长江投资</t>
  </si>
  <si>
    <t>www.lixinger.com/analytics/company/sh/600119/600119/detail</t>
  </si>
  <si>
    <t>湘潭电化</t>
  </si>
  <si>
    <t>www.lixinger.com/analytics/company/sz/002125/2125/detail</t>
  </si>
  <si>
    <t>奥园美谷</t>
  </si>
  <si>
    <t>医美服务</t>
  </si>
  <si>
    <t>www.lixinger.com/analytics/company/sz/000615/615/detail</t>
  </si>
  <si>
    <t>掌趣科技</t>
  </si>
  <si>
    <t>www.lixinger.com/analytics/company/sz/300315/300315/detail</t>
  </si>
  <si>
    <t>东方国信</t>
  </si>
  <si>
    <t>www.lixinger.com/analytics/company/sz/300166/300166/detail</t>
  </si>
  <si>
    <t>宏柏新材</t>
  </si>
  <si>
    <t>www.lixinger.com/analytics/company/sh/605366/605366/detail</t>
  </si>
  <si>
    <t>渤海股份</t>
  </si>
  <si>
    <t>www.lixinger.com/analytics/company/sz/000605/605/detail</t>
  </si>
  <si>
    <t>中环装备</t>
  </si>
  <si>
    <t>www.lixinger.com/analytics/company/sz/300140/300140/detail</t>
  </si>
  <si>
    <t>华特气体</t>
  </si>
  <si>
    <t>www.lixinger.com/analytics/company/sh/688268/688268/detail</t>
  </si>
  <si>
    <t>深圳新星</t>
  </si>
  <si>
    <t>www.lixinger.com/analytics/company/sh/603978/603978/detail</t>
  </si>
  <si>
    <t>蓝英装备</t>
  </si>
  <si>
    <t>www.lixinger.com/analytics/company/sz/300293/300293/detail</t>
  </si>
  <si>
    <t>纳芯微</t>
  </si>
  <si>
    <t>www.lixinger.com/analytics/company/sh/688052/688052/detail</t>
  </si>
  <si>
    <t>晶方科技</t>
  </si>
  <si>
    <t>www.lixinger.com/analytics/company/sh/603005/603005/detail</t>
  </si>
  <si>
    <t>迎丰股份</t>
  </si>
  <si>
    <t>www.lixinger.com/analytics/company/sh/605055/605055/detail</t>
  </si>
  <si>
    <t>我乐家居</t>
  </si>
  <si>
    <t>www.lixinger.com/analytics/company/sh/603326/603326/detail</t>
  </si>
  <si>
    <t>光线传媒</t>
  </si>
  <si>
    <t>www.lixinger.com/analytics/company/sz/300251/300251/detail</t>
  </si>
  <si>
    <t>出版传媒</t>
  </si>
  <si>
    <t>www.lixinger.com/analytics/company/sh/601999/601999/detail</t>
  </si>
  <si>
    <t>智慧农业</t>
  </si>
  <si>
    <t>www.lixinger.com/analytics/company/sz/000816/816/detail</t>
  </si>
  <si>
    <t>道明光学</t>
  </si>
  <si>
    <t>www.lixinger.com/analytics/company/sz/002632/2632/detail</t>
  </si>
  <si>
    <t>中环环保</t>
  </si>
  <si>
    <t>www.lixinger.com/analytics/company/sz/300692/300692/detail</t>
  </si>
  <si>
    <t>南京聚隆</t>
  </si>
  <si>
    <t>www.lixinger.com/analytics/company/sz/300644/300644/detail</t>
  </si>
  <si>
    <t>天房发展</t>
  </si>
  <si>
    <t>www.lixinger.com/analytics/company/sh/600322/600322/detail</t>
  </si>
  <si>
    <t>贝仕达克</t>
  </si>
  <si>
    <t>www.lixinger.com/analytics/company/sz/300822/300822/detail</t>
  </si>
  <si>
    <t>苑东生物</t>
  </si>
  <si>
    <t>www.lixinger.com/analytics/company/sh/688513/688513/detail</t>
  </si>
  <si>
    <t>欧圣电气</t>
  </si>
  <si>
    <t>www.lixinger.com/analytics/company/sz/301187/301187/detail</t>
  </si>
  <si>
    <t>科兴制药</t>
  </si>
  <si>
    <t>www.lixinger.com/analytics/company/sh/688136/688136/detail</t>
  </si>
  <si>
    <t>巨力索具</t>
  </si>
  <si>
    <t>www.lixinger.com/analytics/company/sz/002342/2342/detail</t>
  </si>
  <si>
    <t>盛路通信</t>
  </si>
  <si>
    <t>www.lixinger.com/analytics/company/sz/002446/2446/detail</t>
  </si>
  <si>
    <t>拓日新能</t>
  </si>
  <si>
    <t>www.lixinger.com/analytics/company/sz/002218/2218/detail</t>
  </si>
  <si>
    <t>圣元环保</t>
  </si>
  <si>
    <t>www.lixinger.com/analytics/company/sz/300867/300867/detail</t>
  </si>
  <si>
    <t>奕东电子</t>
  </si>
  <si>
    <t>www.lixinger.com/analytics/company/sz/301123/301123/detail</t>
  </si>
  <si>
    <t>大唐电信</t>
  </si>
  <si>
    <t>www.lixinger.com/analytics/company/sh/600198/600198/detail</t>
  </si>
  <si>
    <t>中文在线</t>
  </si>
  <si>
    <t>www.lixinger.com/analytics/company/sz/300364/300364/detail</t>
  </si>
  <si>
    <t>劲仔食品</t>
  </si>
  <si>
    <t>www.lixinger.com/analytics/company/sz/003000/3000/detail</t>
  </si>
  <si>
    <t>洁雅股份</t>
  </si>
  <si>
    <t>www.lixinger.com/analytics/company/sz/301108/301108/detail</t>
  </si>
  <si>
    <t>超频三</t>
  </si>
  <si>
    <t>www.lixinger.com/analytics/company/sz/300647/300647/detail</t>
  </si>
  <si>
    <t>科力尔</t>
  </si>
  <si>
    <t>www.lixinger.com/analytics/company/sz/002892/2892/detail</t>
  </si>
  <si>
    <t>胜蓝股份</t>
  </si>
  <si>
    <t>www.lixinger.com/analytics/company/sz/300843/300843/detail</t>
  </si>
  <si>
    <t>五方光电</t>
  </si>
  <si>
    <t>www.lixinger.com/analytics/company/sz/002962/2962/detail</t>
  </si>
  <si>
    <t>快克股份</t>
  </si>
  <si>
    <t>www.lixinger.com/analytics/company/sh/603203/603203/detail</t>
  </si>
  <si>
    <t>通化金马</t>
  </si>
  <si>
    <t>www.lixinger.com/analytics/company/sz/000766/766/detail</t>
  </si>
  <si>
    <t>远东传动</t>
  </si>
  <si>
    <t>www.lixinger.com/analytics/company/sz/002406/2406/detail</t>
  </si>
  <si>
    <t>明新旭腾</t>
  </si>
  <si>
    <t>www.lixinger.com/analytics/company/sh/605068/605068/detail</t>
  </si>
  <si>
    <t>倍加洁</t>
  </si>
  <si>
    <t>www.lixinger.com/analytics/company/sh/603059/603059/detail</t>
  </si>
  <si>
    <t>卫信康</t>
  </si>
  <si>
    <t>www.lixinger.com/analytics/company/sh/603676/603676/detail</t>
  </si>
  <si>
    <t>盈康生命</t>
  </si>
  <si>
    <t>www.lixinger.com/analytics/company/sz/300143/300143/detail</t>
  </si>
  <si>
    <t>杰普特</t>
  </si>
  <si>
    <t>www.lixinger.com/analytics/company/sh/688025/688025/detail</t>
  </si>
  <si>
    <t>雪浪环境</t>
  </si>
  <si>
    <t>www.lixinger.com/analytics/company/sz/300385/300385/detail</t>
  </si>
  <si>
    <t>晶丰明源</t>
  </si>
  <si>
    <t>www.lixinger.com/analytics/company/sh/688368/688368/detail</t>
  </si>
  <si>
    <t>中海达</t>
  </si>
  <si>
    <t>www.lixinger.com/analytics/company/sz/300177/300177/detail</t>
  </si>
  <si>
    <t>南大光电</t>
  </si>
  <si>
    <t>www.lixinger.com/analytics/company/sz/300346/300346/detail</t>
  </si>
  <si>
    <t>神剑股份</t>
  </si>
  <si>
    <t>www.lixinger.com/analytics/company/sz/002361/2361/detail</t>
  </si>
  <si>
    <t>汉王科技</t>
  </si>
  <si>
    <t>www.lixinger.com/analytics/company/sz/002362/2362/detail</t>
  </si>
  <si>
    <t>迪森股份</t>
  </si>
  <si>
    <t>www.lixinger.com/analytics/company/sz/300335/300335/detail</t>
  </si>
  <si>
    <t>捷顺科技</t>
  </si>
  <si>
    <t>www.lixinger.com/analytics/company/sz/002609/2609/detail</t>
  </si>
  <si>
    <t>国睿科技</t>
  </si>
  <si>
    <t>www.lixinger.com/analytics/company/sh/600562/600562/detail</t>
  </si>
  <si>
    <t>百利电气</t>
  </si>
  <si>
    <t>www.lixinger.com/analytics/company/sh/600468/600468/detail</t>
  </si>
  <si>
    <t>铁科轨道</t>
  </si>
  <si>
    <t>www.lixinger.com/analytics/company/sh/688569/688569/detail</t>
  </si>
  <si>
    <t>亿田智能</t>
  </si>
  <si>
    <t>www.lixinger.com/analytics/company/sz/300911/300911/detail</t>
  </si>
  <si>
    <t>宝莱特</t>
  </si>
  <si>
    <t>www.lixinger.com/analytics/company/sz/300246/300246/detail</t>
  </si>
  <si>
    <t>威腾电气</t>
  </si>
  <si>
    <t>www.lixinger.com/analytics/company/sh/688226/688226/detail</t>
  </si>
  <si>
    <t>顺控发展</t>
  </si>
  <si>
    <t>www.lixinger.com/analytics/company/sz/003039/3039/detail</t>
  </si>
  <si>
    <t>内蒙新华</t>
  </si>
  <si>
    <t>www.lixinger.com/analytics/company/sh/603230/603230/detail</t>
  </si>
  <si>
    <t>广誉远</t>
  </si>
  <si>
    <t>www.lixinger.com/analytics/company/sh/600771/600771/detail</t>
  </si>
  <si>
    <t>洪兴股份</t>
  </si>
  <si>
    <t>www.lixinger.com/analytics/company/sz/001209/1209/detail</t>
  </si>
  <si>
    <t>君禾股份</t>
  </si>
  <si>
    <t>www.lixinger.com/analytics/company/sh/603617/603617/detail</t>
  </si>
  <si>
    <t>海德股份</t>
  </si>
  <si>
    <t>资产管理</t>
  </si>
  <si>
    <t>www.lixinger.com/analytics/company/sz/000567/567/detail</t>
  </si>
  <si>
    <t>昌红科技</t>
  </si>
  <si>
    <t>www.lixinger.com/analytics/company/sz/300151/300151/detail</t>
  </si>
  <si>
    <t>晶瑞电材</t>
  </si>
  <si>
    <t>www.lixinger.com/analytics/company/sz/300655/300655/detail</t>
  </si>
  <si>
    <t>奥拓电子</t>
  </si>
  <si>
    <t>www.lixinger.com/analytics/company/sz/002587/2587/detail</t>
  </si>
  <si>
    <t>晨丰科技</t>
  </si>
  <si>
    <t>www.lixinger.com/analytics/company/sh/603685/603685/detail</t>
  </si>
  <si>
    <t>吉视传媒</t>
  </si>
  <si>
    <t>www.lixinger.com/analytics/company/sh/601929/601929/detail</t>
  </si>
  <si>
    <t>常青股份</t>
  </si>
  <si>
    <t>www.lixinger.com/analytics/company/sh/603768/603768/detail</t>
  </si>
  <si>
    <t>哈森股份</t>
  </si>
  <si>
    <t>www.lixinger.com/analytics/company/sh/603958/603958/detail</t>
  </si>
  <si>
    <t>有友食品</t>
  </si>
  <si>
    <t>www.lixinger.com/analytics/company/sh/603697/603697/detail</t>
  </si>
  <si>
    <t>亚邦股份</t>
  </si>
  <si>
    <t>www.lixinger.com/analytics/company/sh/603188/603188/detail</t>
  </si>
  <si>
    <t>首都在线</t>
  </si>
  <si>
    <t>www.lixinger.com/analytics/company/sz/300846/300846/detail</t>
  </si>
  <si>
    <t>双一科技</t>
  </si>
  <si>
    <t>www.lixinger.com/analytics/company/sz/300690/300690/detail</t>
  </si>
  <si>
    <t>凯因科技</t>
  </si>
  <si>
    <t>www.lixinger.com/analytics/company/sh/688687/688687/detail</t>
  </si>
  <si>
    <t>宜安科技</t>
  </si>
  <si>
    <t>www.lixinger.com/analytics/company/sz/300328/300328/detail</t>
  </si>
  <si>
    <t>三圣股份</t>
  </si>
  <si>
    <t>www.lixinger.com/analytics/company/sz/002742/2742/detail</t>
  </si>
  <si>
    <t>川投能源</t>
  </si>
  <si>
    <t>www.lixinger.com/analytics/company/sh/600674/600674/detail</t>
  </si>
  <si>
    <t>品渥食品</t>
  </si>
  <si>
    <t>www.lixinger.com/analytics/company/sz/300892/300892/detail</t>
  </si>
  <si>
    <t>双杰电气</t>
  </si>
  <si>
    <t>www.lixinger.com/analytics/company/sz/300444/300444/detail</t>
  </si>
  <si>
    <t>福成股份</t>
  </si>
  <si>
    <t>www.lixinger.com/analytics/company/sh/600965/600965/detail</t>
  </si>
  <si>
    <t>达意隆</t>
  </si>
  <si>
    <t>www.lixinger.com/analytics/company/sz/002209/2209/detail</t>
  </si>
  <si>
    <t>倍轻松</t>
  </si>
  <si>
    <t>www.lixinger.com/analytics/company/sh/688793/688793/detail</t>
  </si>
  <si>
    <t>东莞控股</t>
  </si>
  <si>
    <t>www.lixinger.com/analytics/company/sz/000828/828/detail</t>
  </si>
  <si>
    <t>心脉医疗</t>
  </si>
  <si>
    <t>www.lixinger.com/analytics/company/sh/688016/688016/detail</t>
  </si>
  <si>
    <t>双鹭药业</t>
  </si>
  <si>
    <t>www.lixinger.com/analytics/company/sz/002038/2038/detail</t>
  </si>
  <si>
    <t>亚星锚链</t>
  </si>
  <si>
    <t>www.lixinger.com/analytics/company/sh/601890/601890/detail</t>
  </si>
  <si>
    <t>华丰股份</t>
  </si>
  <si>
    <t>www.lixinger.com/analytics/company/sh/605100/605100/detail</t>
  </si>
  <si>
    <t>炬申股份</t>
  </si>
  <si>
    <t>www.lixinger.com/analytics/company/sz/001202/1202/detail</t>
  </si>
  <si>
    <t>达瑞电子</t>
  </si>
  <si>
    <t>www.lixinger.com/analytics/company/sz/300976/300976/detail</t>
  </si>
  <si>
    <t>科远智慧</t>
  </si>
  <si>
    <t>www.lixinger.com/analytics/company/sz/002380/2380/detail</t>
  </si>
  <si>
    <t>丝路视觉</t>
  </si>
  <si>
    <t>www.lixinger.com/analytics/company/sz/300556/300556/detail</t>
  </si>
  <si>
    <t>江南水务</t>
  </si>
  <si>
    <t>www.lixinger.com/analytics/company/sh/601199/601199/detail</t>
  </si>
  <si>
    <t>盛天网络</t>
  </si>
  <si>
    <t>www.lixinger.com/analytics/company/sz/300494/300494/detail</t>
  </si>
  <si>
    <t>三元生物</t>
  </si>
  <si>
    <t>www.lixinger.com/analytics/company/sz/301206/301206/detail</t>
  </si>
  <si>
    <t>三生国健</t>
  </si>
  <si>
    <t>www.lixinger.com/analytics/company/sh/688336/688336/detail</t>
  </si>
  <si>
    <t>光莆股份</t>
  </si>
  <si>
    <t>www.lixinger.com/analytics/company/sz/300632/300632/detail</t>
  </si>
  <si>
    <t>快意电梯</t>
  </si>
  <si>
    <t>www.lixinger.com/analytics/company/sz/002774/2774/detail</t>
  </si>
  <si>
    <t>茂硕电源</t>
  </si>
  <si>
    <t>www.lixinger.com/analytics/company/sz/002660/2660/detail</t>
  </si>
  <si>
    <t>唯科科技</t>
  </si>
  <si>
    <t>www.lixinger.com/analytics/company/sz/301196/301196/detail</t>
  </si>
  <si>
    <t>安奈儿</t>
  </si>
  <si>
    <t>www.lixinger.com/analytics/company/sz/002875/2875/detail</t>
  </si>
  <si>
    <t>征和工业</t>
  </si>
  <si>
    <t>www.lixinger.com/analytics/company/sz/003033/3033/detail</t>
  </si>
  <si>
    <t>长远锂科</t>
  </si>
  <si>
    <t>www.lixinger.com/analytics/company/sh/688779/688779/detail</t>
  </si>
  <si>
    <t>珈伟新能</t>
  </si>
  <si>
    <t>www.lixinger.com/analytics/company/sz/300317/300317/detail</t>
  </si>
  <si>
    <t>长城电工</t>
  </si>
  <si>
    <t>www.lixinger.com/analytics/company/sh/600192/600192/detail</t>
  </si>
  <si>
    <t>优博讯</t>
  </si>
  <si>
    <t>www.lixinger.com/analytics/company/sz/300531/300531/detail</t>
  </si>
  <si>
    <t>亚光科技</t>
  </si>
  <si>
    <t>www.lixinger.com/analytics/company/sz/300123/300123/detail</t>
  </si>
  <si>
    <t>巨轮智能</t>
  </si>
  <si>
    <t>www.lixinger.com/analytics/company/sz/002031/2031/detail</t>
  </si>
  <si>
    <t>华纳药厂</t>
  </si>
  <si>
    <t>www.lixinger.com/analytics/company/sh/688799/688799/detail</t>
  </si>
  <si>
    <t>永和智控</t>
  </si>
  <si>
    <t>www.lixinger.com/analytics/company/sz/002795/2795/detail</t>
  </si>
  <si>
    <t>渤海轮渡</t>
  </si>
  <si>
    <t>www.lixinger.com/analytics/company/sh/603167/603167/detail</t>
  </si>
  <si>
    <t>南山智尚</t>
  </si>
  <si>
    <t>www.lixinger.com/analytics/company/sz/300918/300918/detail</t>
  </si>
  <si>
    <t>科前生物</t>
  </si>
  <si>
    <t>www.lixinger.com/analytics/company/sh/688526/688526/detail</t>
  </si>
  <si>
    <t>凯发电气</t>
  </si>
  <si>
    <t>www.lixinger.com/analytics/company/sz/300407/300407/detail</t>
  </si>
  <si>
    <t>东方环宇</t>
  </si>
  <si>
    <t>www.lixinger.com/analytics/company/sh/603706/603706/detail</t>
  </si>
  <si>
    <t>亚星客车</t>
  </si>
  <si>
    <t>www.lixinger.com/analytics/company/sh/600213/600213/detail</t>
  </si>
  <si>
    <t>中亚股份</t>
  </si>
  <si>
    <t>www.lixinger.com/analytics/company/sz/300512/300512/detail</t>
  </si>
  <si>
    <t>国投资本</t>
  </si>
  <si>
    <t>www.lixinger.com/analytics/company/sh/600061/600061/detail</t>
  </si>
  <si>
    <t>通源环境</t>
  </si>
  <si>
    <t>www.lixinger.com/analytics/company/sh/688679/688679/detail</t>
  </si>
  <si>
    <t>四方新材</t>
  </si>
  <si>
    <t>www.lixinger.com/analytics/company/sh/605122/605122/detail</t>
  </si>
  <si>
    <t>焦点科技</t>
  </si>
  <si>
    <t>www.lixinger.com/analytics/company/sz/002315/2315/detail</t>
  </si>
  <si>
    <t>顺威股份</t>
  </si>
  <si>
    <t>www.lixinger.com/analytics/company/sz/002676/2676/detail</t>
  </si>
  <si>
    <t>三变科技</t>
  </si>
  <si>
    <t>www.lixinger.com/analytics/company/sz/002112/2112/detail</t>
  </si>
  <si>
    <t>沃华医药</t>
  </si>
  <si>
    <t>www.lixinger.com/analytics/company/sz/002107/2107/detail</t>
  </si>
  <si>
    <t>长高集团</t>
  </si>
  <si>
    <t>www.lixinger.com/analytics/company/sz/002452/2452/detail</t>
  </si>
  <si>
    <t>旷达科技</t>
  </si>
  <si>
    <t>www.lixinger.com/analytics/company/sz/002516/2516/detail</t>
  </si>
  <si>
    <t>华峰测控</t>
  </si>
  <si>
    <t>www.lixinger.com/analytics/company/sh/688200/688200/detail</t>
  </si>
  <si>
    <t>葫芦娃</t>
  </si>
  <si>
    <t>www.lixinger.com/analytics/company/sh/605199/605199/detail</t>
  </si>
  <si>
    <t>美瑞新材</t>
  </si>
  <si>
    <t>www.lixinger.com/analytics/company/sz/300848/300848/detail</t>
  </si>
  <si>
    <t>中国科传</t>
  </si>
  <si>
    <t>www.lixinger.com/analytics/company/sh/601858/601858/detail</t>
  </si>
  <si>
    <t>创耀科技</t>
  </si>
  <si>
    <t>www.lixinger.com/analytics/company/sh/688259/688259/detail</t>
  </si>
  <si>
    <t>斯莱克</t>
  </si>
  <si>
    <t>www.lixinger.com/analytics/company/sz/300382/300382/detail</t>
  </si>
  <si>
    <t>亚信安全</t>
  </si>
  <si>
    <t>www.lixinger.com/analytics/company/sh/688225/688225/detail</t>
  </si>
  <si>
    <t>光洋股份</t>
  </si>
  <si>
    <t>www.lixinger.com/analytics/company/sz/002708/2708/detail</t>
  </si>
  <si>
    <t>百大集团</t>
  </si>
  <si>
    <t>www.lixinger.com/analytics/company/sh/600865/600865/detail</t>
  </si>
  <si>
    <t>康普顿</t>
  </si>
  <si>
    <t>www.lixinger.com/analytics/company/sh/603798/603798/detail</t>
  </si>
  <si>
    <t>威星智能</t>
  </si>
  <si>
    <t>www.lixinger.com/analytics/company/sz/002849/2849/detail</t>
  </si>
  <si>
    <t>中船汉光</t>
  </si>
  <si>
    <t>www.lixinger.com/analytics/company/sz/300847/300847/detail</t>
  </si>
  <si>
    <t>声光电科</t>
  </si>
  <si>
    <t>www.lixinger.com/analytics/company/sh/600877/600877/detail</t>
  </si>
  <si>
    <t>华脉科技</t>
  </si>
  <si>
    <t>www.lixinger.com/analytics/company/sh/603042/603042/detail</t>
  </si>
  <si>
    <t>秀强股份</t>
  </si>
  <si>
    <t>www.lixinger.com/analytics/company/sz/300160/300160/detail</t>
  </si>
  <si>
    <t>晶华新材</t>
  </si>
  <si>
    <t>www.lixinger.com/analytics/company/sh/603683/603683/detail</t>
  </si>
  <si>
    <t>大连电瓷</t>
  </si>
  <si>
    <t>www.lixinger.com/analytics/company/sz/002606/2606/detail</t>
  </si>
  <si>
    <t>双枪科技</t>
  </si>
  <si>
    <t>www.lixinger.com/analytics/company/sz/001211/1211/detail</t>
  </si>
  <si>
    <t>濮阳惠成</t>
  </si>
  <si>
    <t>www.lixinger.com/analytics/company/sz/300481/300481/detail</t>
  </si>
  <si>
    <t>乔治白</t>
  </si>
  <si>
    <t>www.lixinger.com/analytics/company/sz/002687/2687/detail</t>
  </si>
  <si>
    <t>钢研高纳</t>
  </si>
  <si>
    <t>www.lixinger.com/analytics/company/sz/300034/300034/detail</t>
  </si>
  <si>
    <t>星湖科技</t>
  </si>
  <si>
    <t>www.lixinger.com/analytics/company/sh/600866/600866/detail</t>
  </si>
  <si>
    <t>闽东电力</t>
  </si>
  <si>
    <t>www.lixinger.com/analytics/company/sz/000993/993/detail</t>
  </si>
  <si>
    <t>航天长峰</t>
  </si>
  <si>
    <t>www.lixinger.com/analytics/company/sh/600855/600855/detail</t>
  </si>
  <si>
    <t>美迪西</t>
  </si>
  <si>
    <t>www.lixinger.com/analytics/company/sh/688202/688202/detail</t>
  </si>
  <si>
    <t>华恒生物</t>
  </si>
  <si>
    <t>www.lixinger.com/analytics/company/sh/688639/688639/detail</t>
  </si>
  <si>
    <t>华东重机</t>
  </si>
  <si>
    <t>www.lixinger.com/analytics/company/sz/002685/2685/detail</t>
  </si>
  <si>
    <t>利君股份</t>
  </si>
  <si>
    <t>www.lixinger.com/analytics/company/sz/002651/2651/detail</t>
  </si>
  <si>
    <t>泰晶科技</t>
  </si>
  <si>
    <t>www.lixinger.com/analytics/company/sh/603738/603738/detail</t>
  </si>
  <si>
    <t>兆威机电</t>
  </si>
  <si>
    <t>www.lixinger.com/analytics/company/sz/003021/3021/detail</t>
  </si>
  <si>
    <t>顾地科技</t>
  </si>
  <si>
    <t>www.lixinger.com/analytics/company/sz/002694/2694/detail</t>
  </si>
  <si>
    <t>翔丰华</t>
  </si>
  <si>
    <t>www.lixinger.com/analytics/company/sz/300890/300890/detail</t>
  </si>
  <si>
    <t>爱丽家居</t>
  </si>
  <si>
    <t>www.lixinger.com/analytics/company/sh/603221/603221/detail</t>
  </si>
  <si>
    <t>福能东方</t>
  </si>
  <si>
    <t>www.lixinger.com/analytics/company/sz/300173/300173/detail</t>
  </si>
  <si>
    <t>东方时尚</t>
  </si>
  <si>
    <t>www.lixinger.com/analytics/company/sh/603377/603377/detail</t>
  </si>
  <si>
    <t>同德化工</t>
  </si>
  <si>
    <t>www.lixinger.com/analytics/company/sz/002360/2360/detail</t>
  </si>
  <si>
    <t>西昌电力</t>
  </si>
  <si>
    <t>www.lixinger.com/analytics/company/sh/600505/600505/detail</t>
  </si>
  <si>
    <t>蔚蓝生物</t>
  </si>
  <si>
    <t>www.lixinger.com/analytics/company/sh/603739/603739/detail</t>
  </si>
  <si>
    <t>康平科技</t>
  </si>
  <si>
    <t>www.lixinger.com/analytics/company/sz/300907/300907/detail</t>
  </si>
  <si>
    <t>岩石股份</t>
  </si>
  <si>
    <t>www.lixinger.com/analytics/company/sh/600696/600696/detail</t>
  </si>
  <si>
    <t>四会富仕</t>
  </si>
  <si>
    <t>www.lixinger.com/analytics/company/sz/300852/300852/detail</t>
  </si>
  <si>
    <t>红墙股份</t>
  </si>
  <si>
    <t>www.lixinger.com/analytics/company/sz/002809/2809/detail</t>
  </si>
  <si>
    <t>新天药业</t>
  </si>
  <si>
    <t>www.lixinger.com/analytics/company/sz/002873/2873/detail</t>
  </si>
  <si>
    <t>宁波高发</t>
  </si>
  <si>
    <t>www.lixinger.com/analytics/company/sh/603788/603788/detail</t>
  </si>
  <si>
    <t>大湖股份</t>
  </si>
  <si>
    <t>www.lixinger.com/analytics/company/sh/600257/600257/detail</t>
  </si>
  <si>
    <t>雷赛智能</t>
  </si>
  <si>
    <t>www.lixinger.com/analytics/company/sz/002979/2979/detail</t>
  </si>
  <si>
    <t>华伍股份</t>
  </si>
  <si>
    <t>www.lixinger.com/analytics/company/sz/300095/300095/detail</t>
  </si>
  <si>
    <t>同为股份</t>
  </si>
  <si>
    <t>www.lixinger.com/analytics/company/sz/002835/2835/detail</t>
  </si>
  <si>
    <t>合锻智能</t>
  </si>
  <si>
    <t>www.lixinger.com/analytics/company/sh/603011/603011/detail</t>
  </si>
  <si>
    <t>百利科技</t>
  </si>
  <si>
    <t>www.lixinger.com/analytics/company/sh/603959/603959/detail</t>
  </si>
  <si>
    <t>润都股份</t>
  </si>
  <si>
    <t>www.lixinger.com/analytics/company/sz/002923/2923/detail</t>
  </si>
  <si>
    <t>富淼科技</t>
  </si>
  <si>
    <t>www.lixinger.com/analytics/company/sh/688350/688350/detail</t>
  </si>
  <si>
    <t>万兴科技</t>
  </si>
  <si>
    <t>www.lixinger.com/analytics/company/sz/300624/300624/detail</t>
  </si>
  <si>
    <t>拉芳家化</t>
  </si>
  <si>
    <t>www.lixinger.com/analytics/company/sh/603630/603630/detail</t>
  </si>
  <si>
    <t>证通电子</t>
  </si>
  <si>
    <t>www.lixinger.com/analytics/company/sz/002197/2197/detail</t>
  </si>
  <si>
    <t>华立股份</t>
  </si>
  <si>
    <t>www.lixinger.com/analytics/company/sh/603038/603038/detail</t>
  </si>
  <si>
    <t>合富中国</t>
  </si>
  <si>
    <t>www.lixinger.com/analytics/company/sh/603122/603122/detail</t>
  </si>
  <si>
    <t>海融科技</t>
  </si>
  <si>
    <t>www.lixinger.com/analytics/company/sz/300915/300915/detail</t>
  </si>
  <si>
    <t>金银河</t>
  </si>
  <si>
    <t>www.lixinger.com/analytics/company/sz/300619/300619/detail</t>
  </si>
  <si>
    <t>华兰疫苗</t>
  </si>
  <si>
    <t>www.lixinger.com/analytics/company/sz/301207/301207/detail</t>
  </si>
  <si>
    <t>雷曼光电</t>
  </si>
  <si>
    <t>www.lixinger.com/analytics/company/sz/300162/300162/detail</t>
  </si>
  <si>
    <t>星云股份</t>
  </si>
  <si>
    <t>www.lixinger.com/analytics/company/sz/300648/300648/detail</t>
  </si>
  <si>
    <t>新疆火炬</t>
  </si>
  <si>
    <t>www.lixinger.com/analytics/company/sh/603080/603080/detail</t>
  </si>
  <si>
    <t>宏川智慧</t>
  </si>
  <si>
    <t>www.lixinger.com/analytics/company/sz/002930/2930/detail</t>
  </si>
  <si>
    <t>宁水集团</t>
  </si>
  <si>
    <t>www.lixinger.com/analytics/company/sh/603700/603700/detail</t>
  </si>
  <si>
    <t>万通智控</t>
  </si>
  <si>
    <t>www.lixinger.com/analytics/company/sz/300643/300643/detail</t>
  </si>
  <si>
    <t>共达电声</t>
  </si>
  <si>
    <t>www.lixinger.com/analytics/company/sz/002655/2655/detail</t>
  </si>
  <si>
    <t>西部牧业</t>
  </si>
  <si>
    <t>www.lixinger.com/analytics/company/sz/300106/300106/detail</t>
  </si>
  <si>
    <t>瑞丰光电</t>
  </si>
  <si>
    <t>www.lixinger.com/analytics/company/sz/300241/300241/detail</t>
  </si>
  <si>
    <t>博创科技</t>
  </si>
  <si>
    <t>www.lixinger.com/analytics/company/sz/300548/300548/detail</t>
  </si>
  <si>
    <t>张小泉</t>
  </si>
  <si>
    <t>www.lixinger.com/analytics/company/sz/301055/301055/detail</t>
  </si>
  <si>
    <t>中持股份</t>
  </si>
  <si>
    <t>www.lixinger.com/analytics/company/sh/603903/603903/detail</t>
  </si>
  <si>
    <t>雷科防务</t>
  </si>
  <si>
    <t>www.lixinger.com/analytics/company/sz/002413/2413/detail</t>
  </si>
  <si>
    <t>数源科技</t>
  </si>
  <si>
    <t>www.lixinger.com/analytics/company/sz/000909/909/detail</t>
  </si>
  <si>
    <t>何氏眼科</t>
  </si>
  <si>
    <t>www.lixinger.com/analytics/company/sz/301103/301103/detail</t>
  </si>
  <si>
    <t>英飞特</t>
  </si>
  <si>
    <t>www.lixinger.com/analytics/company/sz/300582/300582/detail</t>
  </si>
  <si>
    <t>神力股份</t>
  </si>
  <si>
    <t>www.lixinger.com/analytics/company/sh/603819/603819/detail</t>
  </si>
  <si>
    <t>博杰股份</t>
  </si>
  <si>
    <t>www.lixinger.com/analytics/company/sz/002975/2975/detail</t>
  </si>
  <si>
    <t>浩洋股份</t>
  </si>
  <si>
    <t>www.lixinger.com/analytics/company/sz/300833/300833/detail</t>
  </si>
  <si>
    <t>蓝焰控股</t>
  </si>
  <si>
    <t>www.lixinger.com/analytics/company/sz/000968/968/detail</t>
  </si>
  <si>
    <t>莱美药业</t>
  </si>
  <si>
    <t>www.lixinger.com/analytics/company/sz/300006/300006/detail</t>
  </si>
  <si>
    <t>立昂技术</t>
  </si>
  <si>
    <t>www.lixinger.com/analytics/company/sz/300603/300603/detail</t>
  </si>
  <si>
    <t>益盛药业</t>
  </si>
  <si>
    <t>www.lixinger.com/analytics/company/sz/002566/2566/detail</t>
  </si>
  <si>
    <t>好太太</t>
  </si>
  <si>
    <t>www.lixinger.com/analytics/company/sh/603848/603848/detail</t>
  </si>
  <si>
    <t>清源股份</t>
  </si>
  <si>
    <t>www.lixinger.com/analytics/company/sh/603628/603628/detail</t>
  </si>
  <si>
    <t>华控赛格</t>
  </si>
  <si>
    <t>www.lixinger.com/analytics/company/sz/000068/68/detail</t>
  </si>
  <si>
    <t>新中港</t>
  </si>
  <si>
    <t>www.lixinger.com/analytics/company/sh/605162/605162/detail</t>
  </si>
  <si>
    <t>三峡新材</t>
  </si>
  <si>
    <t>www.lixinger.com/analytics/company/sh/600293/600293/detail</t>
  </si>
  <si>
    <t>庄园牧场</t>
  </si>
  <si>
    <t>www.lixinger.com/analytics/company/sz/002910/2910/detail</t>
  </si>
  <si>
    <t>昊志机电</t>
  </si>
  <si>
    <t>www.lixinger.com/analytics/company/sz/300503/300503/detail</t>
  </si>
  <si>
    <t>乐凯胶片</t>
  </si>
  <si>
    <t>www.lixinger.com/analytics/company/sh/600135/600135/detail</t>
  </si>
  <si>
    <t>上海艾录</t>
  </si>
  <si>
    <t>www.lixinger.com/analytics/company/sz/301062/301062/detail</t>
  </si>
  <si>
    <t>*ST松江</t>
  </si>
  <si>
    <t>www.lixinger.com/analytics/company/sh/600225/600225/detail</t>
  </si>
  <si>
    <t>北化股份</t>
  </si>
  <si>
    <t>www.lixinger.com/analytics/company/sz/002246/2246/detail</t>
  </si>
  <si>
    <t>摩恩电气</t>
  </si>
  <si>
    <t>www.lixinger.com/analytics/company/sz/002451/2451/detail</t>
  </si>
  <si>
    <t>上海三毛</t>
  </si>
  <si>
    <t>www.lixinger.com/analytics/company/sh/600689/600689/detail</t>
  </si>
  <si>
    <t>民和股份</t>
  </si>
  <si>
    <t>www.lixinger.com/analytics/company/sz/002234/2234/detail</t>
  </si>
  <si>
    <t>美亚柏科</t>
  </si>
  <si>
    <t>www.lixinger.com/analytics/company/sz/300188/300188/detail</t>
  </si>
  <si>
    <t>红相股份</t>
  </si>
  <si>
    <t>www.lixinger.com/analytics/company/sz/300427/300427/detail</t>
  </si>
  <si>
    <t>伟时电子</t>
  </si>
  <si>
    <t>www.lixinger.com/analytics/company/sh/605218/605218/detail</t>
  </si>
  <si>
    <t>国机通用</t>
  </si>
  <si>
    <t>www.lixinger.com/analytics/company/sh/600444/600444/detail</t>
  </si>
  <si>
    <t>德马科技</t>
  </si>
  <si>
    <t>www.lixinger.com/analytics/company/sh/688360/688360/detail</t>
  </si>
  <si>
    <t>哈三联</t>
  </si>
  <si>
    <t>www.lixinger.com/analytics/company/sz/002900/2900/detail</t>
  </si>
  <si>
    <t>顺钠股份</t>
  </si>
  <si>
    <t>www.lixinger.com/analytics/company/sz/000533/533/detail</t>
  </si>
  <si>
    <t>大豪科技</t>
  </si>
  <si>
    <t>www.lixinger.com/analytics/company/sh/603025/603025/detail</t>
  </si>
  <si>
    <t>欣锐科技</t>
  </si>
  <si>
    <t>www.lixinger.com/analytics/company/sz/300745/300745/detail</t>
  </si>
  <si>
    <t>长阳科技</t>
  </si>
  <si>
    <t>www.lixinger.com/analytics/company/sh/688299/688299/detail</t>
  </si>
  <si>
    <t>日播时尚</t>
  </si>
  <si>
    <t>www.lixinger.com/analytics/company/sh/603196/603196/detail</t>
  </si>
  <si>
    <t>秋田微</t>
  </si>
  <si>
    <t>www.lixinger.com/analytics/company/sz/300939/300939/detail</t>
  </si>
  <si>
    <t>飞利信</t>
  </si>
  <si>
    <t>www.lixinger.com/analytics/company/sz/300287/300287/detail</t>
  </si>
  <si>
    <t>硅宝科技</t>
  </si>
  <si>
    <t>www.lixinger.com/analytics/company/sz/300019/300019/detail</t>
  </si>
  <si>
    <t>搜于特</t>
  </si>
  <si>
    <t>www.lixinger.com/analytics/company/sz/002503/2503/detail</t>
  </si>
  <si>
    <t>华阳国际</t>
  </si>
  <si>
    <t>www.lixinger.com/analytics/company/sz/002949/2949/detail</t>
  </si>
  <si>
    <t>芯瑞达</t>
  </si>
  <si>
    <t>www.lixinger.com/analytics/company/sz/002983/2983/detail</t>
  </si>
  <si>
    <t>药石科技</t>
  </si>
  <si>
    <t>www.lixinger.com/analytics/company/sz/300725/300725/detail</t>
  </si>
  <si>
    <t>思创医惠</t>
  </si>
  <si>
    <t>www.lixinger.com/analytics/company/sz/300078/300078/detail</t>
  </si>
  <si>
    <t>光电股份</t>
  </si>
  <si>
    <t>www.lixinger.com/analytics/company/sh/600184/600184/detail</t>
  </si>
  <si>
    <t>中创环保</t>
  </si>
  <si>
    <t>www.lixinger.com/analytics/company/sz/300056/300056/detail</t>
  </si>
  <si>
    <t>文投控股</t>
  </si>
  <si>
    <t>www.lixinger.com/analytics/company/sh/600715/600715/detail</t>
  </si>
  <si>
    <t>赛象科技</t>
  </si>
  <si>
    <t>www.lixinger.com/analytics/company/sz/002337/2337/detail</t>
  </si>
  <si>
    <t>朗特智能</t>
  </si>
  <si>
    <t>www.lixinger.com/analytics/company/sz/300916/300916/detail</t>
  </si>
  <si>
    <t>华安鑫创</t>
  </si>
  <si>
    <t>www.lixinger.com/analytics/company/sz/300928/300928/detail</t>
  </si>
  <si>
    <t>金财互联</t>
  </si>
  <si>
    <t>www.lixinger.com/analytics/company/sz/002530/2530/detail</t>
  </si>
  <si>
    <t>探路者</t>
  </si>
  <si>
    <t>www.lixinger.com/analytics/company/sz/300005/300005/detail</t>
  </si>
  <si>
    <t>瑞凌股份</t>
  </si>
  <si>
    <t>www.lixinger.com/analytics/company/sz/300154/300154/detail</t>
  </si>
  <si>
    <t>音飞储存</t>
  </si>
  <si>
    <t>www.lixinger.com/analytics/company/sh/603066/603066/detail</t>
  </si>
  <si>
    <t>金海高科</t>
  </si>
  <si>
    <t>www.lixinger.com/analytics/company/sh/603311/603311/detail</t>
  </si>
  <si>
    <t>恒辉安防</t>
  </si>
  <si>
    <t>www.lixinger.com/analytics/company/sz/300952/300952/detail</t>
  </si>
  <si>
    <t>瀚川智能</t>
  </si>
  <si>
    <t>www.lixinger.com/analytics/company/sh/688022/688022/detail</t>
  </si>
  <si>
    <t>*ST猛狮</t>
  </si>
  <si>
    <t>www.lixinger.com/analytics/company/sz/002684/2684/detail</t>
  </si>
  <si>
    <t>ST中捷</t>
  </si>
  <si>
    <t>www.lixinger.com/analytics/company/sz/002021/2021/detail</t>
  </si>
  <si>
    <t>新世界</t>
  </si>
  <si>
    <t>www.lixinger.com/analytics/company/sh/600628/600628/detail</t>
  </si>
  <si>
    <t>野马电池</t>
  </si>
  <si>
    <t>www.lixinger.com/analytics/company/sh/605378/605378/detail</t>
  </si>
  <si>
    <t>赛微电子</t>
  </si>
  <si>
    <t>www.lixinger.com/analytics/company/sz/300456/300456/detail</t>
  </si>
  <si>
    <t>皓元医药</t>
  </si>
  <si>
    <t>www.lixinger.com/analytics/company/sh/688131/688131/detail</t>
  </si>
  <si>
    <t>中国卫通</t>
  </si>
  <si>
    <t>www.lixinger.com/analytics/company/sh/601698/601698/detail</t>
  </si>
  <si>
    <t>嵘泰股份</t>
  </si>
  <si>
    <t>www.lixinger.com/analytics/company/sh/605133/605133/detail</t>
  </si>
  <si>
    <t>富祥药业</t>
  </si>
  <si>
    <t>www.lixinger.com/analytics/company/sz/300497/300497/detail</t>
  </si>
  <si>
    <t>博深股份</t>
  </si>
  <si>
    <t>www.lixinger.com/analytics/company/sz/002282/2282/detail</t>
  </si>
  <si>
    <t>可靠股份</t>
  </si>
  <si>
    <t>www.lixinger.com/analytics/company/sz/301009/301009/detail</t>
  </si>
  <si>
    <t>汉森制药</t>
  </si>
  <si>
    <t>www.lixinger.com/analytics/company/sz/002412/2412/detail</t>
  </si>
  <si>
    <t>诚邦股份</t>
  </si>
  <si>
    <t>www.lixinger.com/analytics/company/sh/603316/603316/detail</t>
  </si>
  <si>
    <t>国际实业</t>
  </si>
  <si>
    <t>www.lixinger.com/analytics/company/sz/000159/159/detail</t>
  </si>
  <si>
    <t>利德曼</t>
  </si>
  <si>
    <t>www.lixinger.com/analytics/company/sz/300289/300289/detail</t>
  </si>
  <si>
    <t>福达股份</t>
  </si>
  <si>
    <t>www.lixinger.com/analytics/company/sh/603166/603166/detail</t>
  </si>
  <si>
    <t>数码视讯</t>
  </si>
  <si>
    <t>www.lixinger.com/analytics/company/sz/300079/300079/detail</t>
  </si>
  <si>
    <t>*ST厦华</t>
  </si>
  <si>
    <t>www.lixinger.com/analytics/company/sh/600870/600870/detail</t>
  </si>
  <si>
    <t>金石资源</t>
  </si>
  <si>
    <t>www.lixinger.com/analytics/company/sh/603505/603505/detail</t>
  </si>
  <si>
    <t>赛托生物</t>
  </si>
  <si>
    <t>www.lixinger.com/analytics/company/sz/300583/300583/detail</t>
  </si>
  <si>
    <t>皖通科技</t>
  </si>
  <si>
    <t>www.lixinger.com/analytics/company/sz/002331/2331/detail</t>
  </si>
  <si>
    <t>强力新材</t>
  </si>
  <si>
    <t>www.lixinger.com/analytics/company/sz/300429/300429/detail</t>
  </si>
  <si>
    <t>友邦吊顶</t>
  </si>
  <si>
    <t>www.lixinger.com/analytics/company/sz/002718/2718/detail</t>
  </si>
  <si>
    <t>上海沪工</t>
  </si>
  <si>
    <t>www.lixinger.com/analytics/company/sh/603131/603131/detail</t>
  </si>
  <si>
    <t>国光股份</t>
  </si>
  <si>
    <t>www.lixinger.com/analytics/company/sz/002749/2749/detail</t>
  </si>
  <si>
    <t>科信技术</t>
  </si>
  <si>
    <t>www.lixinger.com/analytics/company/sz/300565/300565/detail</t>
  </si>
  <si>
    <t>润禾材料</t>
  </si>
  <si>
    <t>www.lixinger.com/analytics/company/sz/300727/300727/detail</t>
  </si>
  <si>
    <t>博硕科技</t>
  </si>
  <si>
    <t>www.lixinger.com/analytics/company/sz/300951/300951/detail</t>
  </si>
  <si>
    <t>国民技术</t>
  </si>
  <si>
    <t>www.lixinger.com/analytics/company/sz/300077/300077/detail</t>
  </si>
  <si>
    <t>隆盛科技</t>
  </si>
  <si>
    <t>www.lixinger.com/analytics/company/sz/300680/300680/detail</t>
  </si>
  <si>
    <t>岭南控股</t>
  </si>
  <si>
    <t>旅游综合</t>
  </si>
  <si>
    <t>www.lixinger.com/analytics/company/sz/000524/524/detail</t>
  </si>
  <si>
    <t>中设股份</t>
  </si>
  <si>
    <t>www.lixinger.com/analytics/company/sz/002883/2883/detail</t>
  </si>
  <si>
    <t>京城股份</t>
  </si>
  <si>
    <t>www.lixinger.com/analytics/company/sh/600860/600860/detail</t>
  </si>
  <si>
    <t>海鸥股份</t>
  </si>
  <si>
    <t>www.lixinger.com/analytics/company/sh/603269/603269/detail</t>
  </si>
  <si>
    <t>美力科技</t>
  </si>
  <si>
    <t>www.lixinger.com/analytics/company/sz/300611/300611/detail</t>
  </si>
  <si>
    <t>锦和商业</t>
  </si>
  <si>
    <t>www.lixinger.com/analytics/company/sh/603682/603682/detail</t>
  </si>
  <si>
    <t>杭华股份</t>
  </si>
  <si>
    <t>www.lixinger.com/analytics/company/sh/688571/688571/detail</t>
  </si>
  <si>
    <t>德艺文创</t>
  </si>
  <si>
    <t>www.lixinger.com/analytics/company/sz/300640/300640/detail</t>
  </si>
  <si>
    <t>金沃股份</t>
  </si>
  <si>
    <t>www.lixinger.com/analytics/company/sz/300984/300984/detail</t>
  </si>
  <si>
    <t>新亚电子</t>
  </si>
  <si>
    <t>www.lixinger.com/analytics/company/sh/605277/605277/detail</t>
  </si>
  <si>
    <t>宜华健康</t>
  </si>
  <si>
    <t>www.lixinger.com/analytics/company/sz/000150/150/detail</t>
  </si>
  <si>
    <t>安恒信息</t>
  </si>
  <si>
    <t>www.lixinger.com/analytics/company/sh/688023/688023/detail</t>
  </si>
  <si>
    <t>东微半导</t>
  </si>
  <si>
    <t>www.lixinger.com/analytics/company/sh/688261/688261/detail</t>
  </si>
  <si>
    <t>实益达</t>
  </si>
  <si>
    <t>www.lixinger.com/analytics/company/sz/002137/2137/detail</t>
  </si>
  <si>
    <t>天瑞仪器</t>
  </si>
  <si>
    <t>www.lixinger.com/analytics/company/sz/300165/300165/detail</t>
  </si>
  <si>
    <t>动力源</t>
  </si>
  <si>
    <t>www.lixinger.com/analytics/company/sh/600405/600405/detail</t>
  </si>
  <si>
    <t>集泰股份</t>
  </si>
  <si>
    <t>www.lixinger.com/analytics/company/sz/002909/2909/detail</t>
  </si>
  <si>
    <t>瓦轴B</t>
  </si>
  <si>
    <t>www.lixinger.com/analytics/company/sz/200706/200706/detail</t>
  </si>
  <si>
    <t>陕西金叶</t>
  </si>
  <si>
    <t>www.lixinger.com/analytics/company/sz/000812/812/detail</t>
  </si>
  <si>
    <t>杭州园林</t>
  </si>
  <si>
    <t>www.lixinger.com/analytics/company/sz/300649/300649/detail</t>
  </si>
  <si>
    <t>瑞玛精密</t>
  </si>
  <si>
    <t>www.lixinger.com/analytics/company/sz/002976/2976/detail</t>
  </si>
  <si>
    <t>优宁维</t>
  </si>
  <si>
    <t>www.lixinger.com/analytics/company/sz/301166/301166/detail</t>
  </si>
  <si>
    <t>正虹科技</t>
  </si>
  <si>
    <t>www.lixinger.com/analytics/company/sz/000702/702/detail</t>
  </si>
  <si>
    <t>盘龙药业</t>
  </si>
  <si>
    <t>www.lixinger.com/analytics/company/sz/002864/2864/detail</t>
  </si>
  <si>
    <t>凯淳股份</t>
  </si>
  <si>
    <t>www.lixinger.com/analytics/company/sz/301001/301001/detail</t>
  </si>
  <si>
    <t>ST新研</t>
  </si>
  <si>
    <t>www.lixinger.com/analytics/company/sz/300159/300159/detail</t>
  </si>
  <si>
    <t>普门科技</t>
  </si>
  <si>
    <t>www.lixinger.com/analytics/company/sh/688389/688389/detail</t>
  </si>
  <si>
    <t>航天动力</t>
  </si>
  <si>
    <t>www.lixinger.com/analytics/company/sh/600343/600343/detail</t>
  </si>
  <si>
    <t>哈焊华通</t>
  </si>
  <si>
    <t>www.lixinger.com/analytics/company/sz/301137/301137/detail</t>
  </si>
  <si>
    <t>澳弘电子</t>
  </si>
  <si>
    <t>www.lixinger.com/analytics/company/sh/605058/605058/detail</t>
  </si>
  <si>
    <t>正业科技</t>
  </si>
  <si>
    <t>www.lixinger.com/analytics/company/sz/300410/300410/detail</t>
  </si>
  <si>
    <t>襄阳轴承</t>
  </si>
  <si>
    <t>www.lixinger.com/analytics/company/sz/000678/678/detail</t>
  </si>
  <si>
    <t>普冉股份</t>
  </si>
  <si>
    <t>www.lixinger.com/analytics/company/sh/688766/688766/detail</t>
  </si>
  <si>
    <t>恒实科技</t>
  </si>
  <si>
    <t>www.lixinger.com/analytics/company/sz/300513/300513/detail</t>
  </si>
  <si>
    <t>神宇股份</t>
  </si>
  <si>
    <t>www.lixinger.com/analytics/company/sz/300563/300563/detail</t>
  </si>
  <si>
    <t>纵横通信</t>
  </si>
  <si>
    <t>www.lixinger.com/analytics/company/sh/603602/603602/detail</t>
  </si>
  <si>
    <t>蓝科高新</t>
  </si>
  <si>
    <t>www.lixinger.com/analytics/company/sh/601798/601798/detail</t>
  </si>
  <si>
    <t>长源东谷</t>
  </si>
  <si>
    <t>www.lixinger.com/analytics/company/sh/603950/603950/detail</t>
  </si>
  <si>
    <t>天奈科技</t>
  </si>
  <si>
    <t>www.lixinger.com/analytics/company/sh/688116/688116/detail</t>
  </si>
  <si>
    <t>丰山集团</t>
  </si>
  <si>
    <t>www.lixinger.com/analytics/company/sh/603810/603810/detail</t>
  </si>
  <si>
    <t>航新科技</t>
  </si>
  <si>
    <t>www.lixinger.com/analytics/company/sz/300424/300424/detail</t>
  </si>
  <si>
    <t>云意电气</t>
  </si>
  <si>
    <t>www.lixinger.com/analytics/company/sz/300304/300304/detail</t>
  </si>
  <si>
    <t>ST宏图</t>
  </si>
  <si>
    <t>www.lixinger.com/analytics/company/sh/600122/600122/detail</t>
  </si>
  <si>
    <t>福瑞股份</t>
  </si>
  <si>
    <t>www.lixinger.com/analytics/company/sz/300049/300049/detail</t>
  </si>
  <si>
    <t>戎美股份</t>
  </si>
  <si>
    <t>www.lixinger.com/analytics/company/sz/301088/301088/detail</t>
  </si>
  <si>
    <t>佳电股份</t>
  </si>
  <si>
    <t>www.lixinger.com/analytics/company/sz/000922/922/detail</t>
  </si>
  <si>
    <t>迦南智能</t>
  </si>
  <si>
    <t>www.lixinger.com/analytics/company/sz/300880/300880/detail</t>
  </si>
  <si>
    <t>安纳达</t>
  </si>
  <si>
    <t>www.lixinger.com/analytics/company/sz/002136/2136/detail</t>
  </si>
  <si>
    <t>嘉凯城</t>
  </si>
  <si>
    <t>www.lixinger.com/analytics/company/sz/000918/918/detail</t>
  </si>
  <si>
    <t>传智教育</t>
  </si>
  <si>
    <t>www.lixinger.com/analytics/company/sz/003032/3032/detail</t>
  </si>
  <si>
    <t>丽岛新材</t>
  </si>
  <si>
    <t>www.lixinger.com/analytics/company/sh/603937/603937/detail</t>
  </si>
  <si>
    <t>新纶新材</t>
  </si>
  <si>
    <t>www.lixinger.com/analytics/company/sz/002341/2341/detail</t>
  </si>
  <si>
    <t>利通电子</t>
  </si>
  <si>
    <t>www.lixinger.com/analytics/company/sh/603629/603629/detail</t>
  </si>
  <si>
    <t>多伦科技</t>
  </si>
  <si>
    <t>www.lixinger.com/analytics/company/sh/603528/603528/detail</t>
  </si>
  <si>
    <t>高伟达</t>
  </si>
  <si>
    <t>www.lixinger.com/analytics/company/sz/300465/300465/detail</t>
  </si>
  <si>
    <t>奥尼电子</t>
  </si>
  <si>
    <t>www.lixinger.com/analytics/company/sz/301189/301189/detail</t>
  </si>
  <si>
    <t>德利股份</t>
  </si>
  <si>
    <t>www.lixinger.com/analytics/company/sh/605198/605198/detail</t>
  </si>
  <si>
    <t>福鞍股份</t>
  </si>
  <si>
    <t>www.lixinger.com/analytics/company/sh/603315/603315/detail</t>
  </si>
  <si>
    <t>双象股份</t>
  </si>
  <si>
    <t>www.lixinger.com/analytics/company/sz/002395/2395/detail</t>
  </si>
  <si>
    <t>盛弘股份</t>
  </si>
  <si>
    <t>www.lixinger.com/analytics/company/sz/300693/300693/detail</t>
  </si>
  <si>
    <t>佩蒂股份</t>
  </si>
  <si>
    <t>www.lixinger.com/analytics/company/sz/300673/300673/detail</t>
  </si>
  <si>
    <t>川润股份</t>
  </si>
  <si>
    <t>www.lixinger.com/analytics/company/sz/002272/2272/detail</t>
  </si>
  <si>
    <t>浙江自然</t>
  </si>
  <si>
    <t>www.lixinger.com/analytics/company/sh/605080/605080/detail</t>
  </si>
  <si>
    <t>康拓红外</t>
  </si>
  <si>
    <t>www.lixinger.com/analytics/company/sz/300455/300455/detail</t>
  </si>
  <si>
    <t>上纬新材</t>
  </si>
  <si>
    <t>www.lixinger.com/analytics/company/sh/688585/688585/detail</t>
  </si>
  <si>
    <t>皮阿诺</t>
  </si>
  <si>
    <t>www.lixinger.com/analytics/company/sz/002853/2853/detail</t>
  </si>
  <si>
    <t>金石亚药</t>
  </si>
  <si>
    <t>www.lixinger.com/analytics/company/sz/300434/300434/detail</t>
  </si>
  <si>
    <t>宝明科技</t>
  </si>
  <si>
    <t>www.lixinger.com/analytics/company/sz/002992/2992/detail</t>
  </si>
  <si>
    <t>信捷电气</t>
  </si>
  <si>
    <t>www.lixinger.com/analytics/company/sh/603416/603416/detail</t>
  </si>
  <si>
    <t>银之杰</t>
  </si>
  <si>
    <t>www.lixinger.com/analytics/company/sz/300085/300085/detail</t>
  </si>
  <si>
    <t>百傲化学</t>
  </si>
  <si>
    <t>www.lixinger.com/analytics/company/sh/603360/603360/detail</t>
  </si>
  <si>
    <t>金辰股份</t>
  </si>
  <si>
    <t>www.lixinger.com/analytics/company/sh/603396/603396/detail</t>
  </si>
  <si>
    <t>凯立新材</t>
  </si>
  <si>
    <t>www.lixinger.com/analytics/company/sh/688269/688269/detail</t>
  </si>
  <si>
    <t>云路股份</t>
  </si>
  <si>
    <t>www.lixinger.com/analytics/company/sh/688190/688190/detail</t>
  </si>
  <si>
    <t>*ST中天</t>
  </si>
  <si>
    <t>www.lixinger.com/analytics/company/sh/600856/600856/detail</t>
  </si>
  <si>
    <t>跃岭股份</t>
  </si>
  <si>
    <t>www.lixinger.com/analytics/company/sz/002725/2725/detail</t>
  </si>
  <si>
    <t>中建环能</t>
  </si>
  <si>
    <t>www.lixinger.com/analytics/company/sz/300425/300425/detail</t>
  </si>
  <si>
    <t>星帅尔</t>
  </si>
  <si>
    <t>www.lixinger.com/analytics/company/sz/002860/2860/detail</t>
  </si>
  <si>
    <t>康辰药业</t>
  </si>
  <si>
    <t>www.lixinger.com/analytics/company/sh/603590/603590/detail</t>
  </si>
  <si>
    <t>聚赛龙</t>
  </si>
  <si>
    <t>www.lixinger.com/analytics/company/sz/301131/301131/detail</t>
  </si>
  <si>
    <t>鼎汉技术</t>
  </si>
  <si>
    <t>www.lixinger.com/analytics/company/sz/300011/300011/detail</t>
  </si>
  <si>
    <t>ST时万</t>
  </si>
  <si>
    <t>www.lixinger.com/analytics/company/sh/600241/600241/detail</t>
  </si>
  <si>
    <t>松炀资源</t>
  </si>
  <si>
    <t>www.lixinger.com/analytics/company/sh/603863/603863/detail</t>
  </si>
  <si>
    <t>佳讯飞鸿</t>
  </si>
  <si>
    <t>www.lixinger.com/analytics/company/sz/300213/300213/detail</t>
  </si>
  <si>
    <t>中晟高科</t>
  </si>
  <si>
    <t>www.lixinger.com/analytics/company/sz/002778/2778/detail</t>
  </si>
  <si>
    <t>梅轮电梯</t>
  </si>
  <si>
    <t>www.lixinger.com/analytics/company/sh/603321/603321/detail</t>
  </si>
  <si>
    <t>天禄科技</t>
  </si>
  <si>
    <t>www.lixinger.com/analytics/company/sz/301045/301045/detail</t>
  </si>
  <si>
    <t>联得装备</t>
  </si>
  <si>
    <t>www.lixinger.com/analytics/company/sz/300545/300545/detail</t>
  </si>
  <si>
    <t>格林达</t>
  </si>
  <si>
    <t>www.lixinger.com/analytics/company/sh/603931/603931/detail</t>
  </si>
  <si>
    <t>中远海科</t>
  </si>
  <si>
    <t>www.lixinger.com/analytics/company/sz/002401/2401/detail</t>
  </si>
  <si>
    <t>青木股份</t>
  </si>
  <si>
    <t>www.lixinger.com/analytics/company/sz/301110/301110/detail</t>
  </si>
  <si>
    <t>仟源医药</t>
  </si>
  <si>
    <t>www.lixinger.com/analytics/company/sz/300254/300254/detail</t>
  </si>
  <si>
    <t>盛讯达</t>
  </si>
  <si>
    <t>www.lixinger.com/analytics/company/sz/300518/300518/detail</t>
  </si>
  <si>
    <t>文科园林</t>
  </si>
  <si>
    <t>www.lixinger.com/analytics/company/sz/002775/2775/detail</t>
  </si>
  <si>
    <t>微光股份</t>
  </si>
  <si>
    <t>www.lixinger.com/analytics/company/sz/002801/2801/detail</t>
  </si>
  <si>
    <t>梦天家居</t>
  </si>
  <si>
    <t>www.lixinger.com/analytics/company/sh/603216/603216/detail</t>
  </si>
  <si>
    <t>天域生态</t>
  </si>
  <si>
    <t>www.lixinger.com/analytics/company/sh/603717/603717/detail</t>
  </si>
  <si>
    <t>华神科技</t>
  </si>
  <si>
    <t>www.lixinger.com/analytics/company/sz/000790/790/detail</t>
  </si>
  <si>
    <t>德力股份</t>
  </si>
  <si>
    <t>www.lixinger.com/analytics/company/sz/002571/2571/detail</t>
  </si>
  <si>
    <t>泰慕士</t>
  </si>
  <si>
    <t>www.lixinger.com/analytics/company/sz/001234/1234/detail</t>
  </si>
  <si>
    <t>东杰智能</t>
  </si>
  <si>
    <t>www.lixinger.com/analytics/company/sz/300486/300486/detail</t>
  </si>
  <si>
    <t>中富通</t>
  </si>
  <si>
    <t>www.lixinger.com/analytics/company/sz/300560/300560/detail</t>
  </si>
  <si>
    <t>安科瑞</t>
  </si>
  <si>
    <t>www.lixinger.com/analytics/company/sz/300286/300286/detail</t>
  </si>
  <si>
    <t>苏奥传感</t>
  </si>
  <si>
    <t>www.lixinger.com/analytics/company/sz/300507/300507/detail</t>
  </si>
  <si>
    <t>翔港科技</t>
  </si>
  <si>
    <t>www.lixinger.com/analytics/company/sh/603499/603499/detail</t>
  </si>
  <si>
    <t>中大力德</t>
  </si>
  <si>
    <t>www.lixinger.com/analytics/company/sz/002896/2896/detail</t>
  </si>
  <si>
    <t>奥锐特</t>
  </si>
  <si>
    <t>www.lixinger.com/analytics/company/sh/605116/605116/detail</t>
  </si>
  <si>
    <t>派斯林</t>
  </si>
  <si>
    <t>www.lixinger.com/analytics/company/sh/600215/600215/detail</t>
  </si>
  <si>
    <t>锦富技术</t>
  </si>
  <si>
    <t>www.lixinger.com/analytics/company/sz/300128/300128/detail</t>
  </si>
  <si>
    <t>海特高新</t>
  </si>
  <si>
    <t>www.lixinger.com/analytics/company/sz/002023/2023/detail</t>
  </si>
  <si>
    <t>华升股份</t>
  </si>
  <si>
    <t>www.lixinger.com/analytics/company/sh/600156/600156/detail</t>
  </si>
  <si>
    <t>上海天洋</t>
  </si>
  <si>
    <t>www.lixinger.com/analytics/company/sh/603330/603330/detail</t>
  </si>
  <si>
    <t>生物股份</t>
  </si>
  <si>
    <t>www.lixinger.com/analytics/company/sh/600201/600201/detail</t>
  </si>
  <si>
    <t>全聚德</t>
  </si>
  <si>
    <t>www.lixinger.com/analytics/company/sz/002186/2186/detail</t>
  </si>
  <si>
    <t>恒基达鑫</t>
  </si>
  <si>
    <t>www.lixinger.com/analytics/company/sz/002492/2492/detail</t>
  </si>
  <si>
    <t>迪普科技</t>
  </si>
  <si>
    <t>www.lixinger.com/analytics/company/sz/300768/300768/detail</t>
  </si>
  <si>
    <t>三达膜</t>
  </si>
  <si>
    <t>www.lixinger.com/analytics/company/sh/688101/688101/detail</t>
  </si>
  <si>
    <t>山石网科</t>
  </si>
  <si>
    <t>www.lixinger.com/analytics/company/sh/688030/688030/detail</t>
  </si>
  <si>
    <t>中农联合</t>
  </si>
  <si>
    <t>www.lixinger.com/analytics/company/sz/003042/3042/detail</t>
  </si>
  <si>
    <t>思维列控</t>
  </si>
  <si>
    <t>www.lixinger.com/analytics/company/sh/603508/603508/detail</t>
  </si>
  <si>
    <t>华中数控</t>
  </si>
  <si>
    <t>www.lixinger.com/analytics/company/sz/300161/300161/detail</t>
  </si>
  <si>
    <t>税友股份</t>
  </si>
  <si>
    <t>www.lixinger.com/analytics/company/sh/603171/603171/detail</t>
  </si>
  <si>
    <t>广电电气</t>
  </si>
  <si>
    <t>www.lixinger.com/analytics/company/sh/601616/601616/detail</t>
  </si>
  <si>
    <t>金牛化工</t>
  </si>
  <si>
    <t>www.lixinger.com/analytics/company/sh/600722/600722/detail</t>
  </si>
  <si>
    <t>聚辰股份</t>
  </si>
  <si>
    <t>www.lixinger.com/analytics/company/sh/688123/688123/detail</t>
  </si>
  <si>
    <t>二六三</t>
  </si>
  <si>
    <t>www.lixinger.com/analytics/company/sz/002467/2467/detail</t>
  </si>
  <si>
    <t>四川双马</t>
  </si>
  <si>
    <t>www.lixinger.com/analytics/company/sz/000935/935/detail</t>
  </si>
  <si>
    <t>三羊马</t>
  </si>
  <si>
    <t>www.lixinger.com/analytics/company/sz/001317/1317/detail</t>
  </si>
  <si>
    <t>悦心健康</t>
  </si>
  <si>
    <t>www.lixinger.com/analytics/company/sz/002162/2162/detail</t>
  </si>
  <si>
    <t>新农股份</t>
  </si>
  <si>
    <t>www.lixinger.com/analytics/company/sz/002942/2942/detail</t>
  </si>
  <si>
    <t>博士眼镜</t>
  </si>
  <si>
    <t>www.lixinger.com/analytics/company/sz/300622/300622/detail</t>
  </si>
  <si>
    <t>深大通</t>
  </si>
  <si>
    <t>www.lixinger.com/analytics/company/sz/000038/38/detail</t>
  </si>
  <si>
    <t>北陆药业</t>
  </si>
  <si>
    <t>www.lixinger.com/analytics/company/sz/300016/300016/detail</t>
  </si>
  <si>
    <t>东信和平</t>
  </si>
  <si>
    <t>www.lixinger.com/analytics/company/sz/002017/2017/detail</t>
  </si>
  <si>
    <t>威唐工业</t>
  </si>
  <si>
    <t>www.lixinger.com/analytics/company/sz/300707/300707/detail</t>
  </si>
  <si>
    <t>*ST索菱</t>
  </si>
  <si>
    <t>www.lixinger.com/analytics/company/sz/002766/2766/detail</t>
  </si>
  <si>
    <t>英搏尔</t>
  </si>
  <si>
    <t>www.lixinger.com/analytics/company/sz/300681/300681/detail</t>
  </si>
  <si>
    <t>大智慧</t>
  </si>
  <si>
    <t>www.lixinger.com/analytics/company/sh/601519/601519/detail</t>
  </si>
  <si>
    <t>合诚股份</t>
  </si>
  <si>
    <t>www.lixinger.com/analytics/company/sh/603909/603909/detail</t>
  </si>
  <si>
    <t>金鹰股份</t>
  </si>
  <si>
    <t>www.lixinger.com/analytics/company/sh/600232/600232/detail</t>
  </si>
  <si>
    <t>荣丰控股</t>
  </si>
  <si>
    <t>www.lixinger.com/analytics/company/sz/000668/668/detail</t>
  </si>
  <si>
    <t>光正眼科</t>
  </si>
  <si>
    <t>www.lixinger.com/analytics/company/sz/002524/2524/detail</t>
  </si>
  <si>
    <t>天利科技</t>
  </si>
  <si>
    <t>www.lixinger.com/analytics/company/sz/300399/300399/detail</t>
  </si>
  <si>
    <t>新媒股份</t>
  </si>
  <si>
    <t>www.lixinger.com/analytics/company/sz/300770/300770/detail</t>
  </si>
  <si>
    <t>天银机电</t>
  </si>
  <si>
    <t>www.lixinger.com/analytics/company/sz/300342/300342/detail</t>
  </si>
  <si>
    <t>中能电气</t>
  </si>
  <si>
    <t>www.lixinger.com/analytics/company/sz/300062/300062/detail</t>
  </si>
  <si>
    <t>新宁物流</t>
  </si>
  <si>
    <t>www.lixinger.com/analytics/company/sz/300013/300013/detail</t>
  </si>
  <si>
    <t>冠龙节能</t>
  </si>
  <si>
    <t>www.lixinger.com/analytics/company/sz/301151/301151/detail</t>
  </si>
  <si>
    <t>沃顿科技</t>
  </si>
  <si>
    <t>www.lixinger.com/analytics/company/sz/000920/920/detail</t>
  </si>
  <si>
    <t>永贵电器</t>
  </si>
  <si>
    <t>www.lixinger.com/analytics/company/sz/300351/300351/detail</t>
  </si>
  <si>
    <t>柯力传感</t>
  </si>
  <si>
    <t>www.lixinger.com/analytics/company/sh/603662/603662/detail</t>
  </si>
  <si>
    <t>东瑞股份</t>
  </si>
  <si>
    <t>www.lixinger.com/analytics/company/sz/001201/1201/detail</t>
  </si>
  <si>
    <t>寿仙谷</t>
  </si>
  <si>
    <t>www.lixinger.com/analytics/company/sh/603896/603896/detail</t>
  </si>
  <si>
    <t>湖南投资</t>
  </si>
  <si>
    <t>www.lixinger.com/analytics/company/sz/000548/548/detail</t>
  </si>
  <si>
    <t>贵州三力</t>
  </si>
  <si>
    <t>www.lixinger.com/analytics/company/sh/603439/603439/detail</t>
  </si>
  <si>
    <t>汇创达</t>
  </si>
  <si>
    <t>www.lixinger.com/analytics/company/sz/300909/300909/detail</t>
  </si>
  <si>
    <t>科泰电源</t>
  </si>
  <si>
    <t>www.lixinger.com/analytics/company/sz/300153/300153/detail</t>
  </si>
  <si>
    <t>韩建河山</t>
  </si>
  <si>
    <t>www.lixinger.com/analytics/company/sh/603616/603616/detail</t>
  </si>
  <si>
    <t>ST联建</t>
  </si>
  <si>
    <t>www.lixinger.com/analytics/company/sz/300269/300269/detail</t>
  </si>
  <si>
    <t>宣亚国际</t>
  </si>
  <si>
    <t>www.lixinger.com/analytics/company/sz/300612/300612/detail</t>
  </si>
  <si>
    <t>金枫酒业</t>
  </si>
  <si>
    <t>www.lixinger.com/analytics/company/sh/600616/600616/detail</t>
  </si>
  <si>
    <t>*ST众泰</t>
  </si>
  <si>
    <t>www.lixinger.com/analytics/company/sz/000980/980/detail</t>
  </si>
  <si>
    <t>海汽集团</t>
  </si>
  <si>
    <t>www.lixinger.com/analytics/company/sh/603069/603069/detail</t>
  </si>
  <si>
    <t>旗天科技</t>
  </si>
  <si>
    <t>www.lixinger.com/analytics/company/sz/300061/300061/detail</t>
  </si>
  <si>
    <t>威尔药业</t>
  </si>
  <si>
    <t>www.lixinger.com/analytics/company/sh/603351/603351/detail</t>
  </si>
  <si>
    <t>我武生物</t>
  </si>
  <si>
    <t>www.lixinger.com/analytics/company/sz/300357/300357/detail</t>
  </si>
  <si>
    <t>北鼎股份</t>
  </si>
  <si>
    <t>www.lixinger.com/analytics/company/sz/300824/300824/detail</t>
  </si>
  <si>
    <t>恒光股份</t>
  </si>
  <si>
    <t>www.lixinger.com/analytics/company/sz/301118/301118/detail</t>
  </si>
  <si>
    <t>芯朋微</t>
  </si>
  <si>
    <t>www.lixinger.com/analytics/company/sh/688508/688508/detail</t>
  </si>
  <si>
    <t>纳川股份</t>
  </si>
  <si>
    <t>www.lixinger.com/analytics/company/sz/300198/300198/detail</t>
  </si>
  <si>
    <t>彩讯股份</t>
  </si>
  <si>
    <t>www.lixinger.com/analytics/company/sz/300634/300634/detail</t>
  </si>
  <si>
    <t>创业慧康</t>
  </si>
  <si>
    <t>www.lixinger.com/analytics/company/sz/300451/300451/detail</t>
  </si>
  <si>
    <t>凤形股份</t>
  </si>
  <si>
    <t>www.lixinger.com/analytics/company/sz/002760/2760/detail</t>
  </si>
  <si>
    <t>柏楚电子</t>
  </si>
  <si>
    <t>www.lixinger.com/analytics/company/sh/688188/688188/detail</t>
  </si>
  <si>
    <t>瑞可达</t>
  </si>
  <si>
    <t>www.lixinger.com/analytics/company/sh/688800/688800/detail</t>
  </si>
  <si>
    <t>晋西车轴</t>
  </si>
  <si>
    <t>www.lixinger.com/analytics/company/sh/600495/600495/detail</t>
  </si>
  <si>
    <t>ST粤泰</t>
  </si>
  <si>
    <t>www.lixinger.com/analytics/company/sh/600393/600393/detail</t>
  </si>
  <si>
    <t>德必集团</t>
  </si>
  <si>
    <t>www.lixinger.com/analytics/company/sz/300947/300947/detail</t>
  </si>
  <si>
    <t>宇环数控</t>
  </si>
  <si>
    <t>www.lixinger.com/analytics/company/sz/002903/2903/detail</t>
  </si>
  <si>
    <t>赛升药业</t>
  </si>
  <si>
    <t>www.lixinger.com/analytics/company/sz/300485/300485/detail</t>
  </si>
  <si>
    <t>盛达资源</t>
  </si>
  <si>
    <t>www.lixinger.com/analytics/company/sz/000603/603/detail</t>
  </si>
  <si>
    <t>牧高笛</t>
  </si>
  <si>
    <t>www.lixinger.com/analytics/company/sh/603908/603908/detail</t>
  </si>
  <si>
    <t>八亿时空</t>
  </si>
  <si>
    <t>www.lixinger.com/analytics/company/sh/688181/688181/detail</t>
  </si>
  <si>
    <t>嘉寓股份</t>
  </si>
  <si>
    <t>www.lixinger.com/analytics/company/sz/300117/300117/detail</t>
  </si>
  <si>
    <t>泰瑞机器</t>
  </si>
  <si>
    <t>www.lixinger.com/analytics/company/sh/603289/603289/detail</t>
  </si>
  <si>
    <t>力芯微</t>
  </si>
  <si>
    <t>www.lixinger.com/analytics/company/sh/688601/688601/detail</t>
  </si>
  <si>
    <t>张江高科</t>
  </si>
  <si>
    <t>www.lixinger.com/analytics/company/sh/600895/600895/detail</t>
  </si>
  <si>
    <t>柘中股份</t>
  </si>
  <si>
    <t>www.lixinger.com/analytics/company/sz/002346/2346/detail</t>
  </si>
  <si>
    <t>新亚强</t>
  </si>
  <si>
    <t>www.lixinger.com/analytics/company/sh/603155/603155/detail</t>
  </si>
  <si>
    <t>瀛通通讯</t>
  </si>
  <si>
    <t>www.lixinger.com/analytics/company/sz/002861/2861/detail</t>
  </si>
  <si>
    <t>长城军工</t>
  </si>
  <si>
    <t>www.lixinger.com/analytics/company/sh/601606/601606/detail</t>
  </si>
  <si>
    <t>测绘股份</t>
  </si>
  <si>
    <t>www.lixinger.com/analytics/company/sz/300826/300826/detail</t>
  </si>
  <si>
    <t>海天股份</t>
  </si>
  <si>
    <t>www.lixinger.com/analytics/company/sh/603759/603759/detail</t>
  </si>
  <si>
    <t>仲景食品</t>
  </si>
  <si>
    <t>www.lixinger.com/analytics/company/sz/300908/300908/detail</t>
  </si>
  <si>
    <t>航宇科技</t>
  </si>
  <si>
    <t>www.lixinger.com/analytics/company/sh/688239/688239/detail</t>
  </si>
  <si>
    <t>复旦复华</t>
  </si>
  <si>
    <t>www.lixinger.com/analytics/company/sh/600624/600624/detail</t>
  </si>
  <si>
    <t>春立医疗</t>
  </si>
  <si>
    <t>www.lixinger.com/analytics/company/sh/688236/688236/detail</t>
  </si>
  <si>
    <t>建研院</t>
  </si>
  <si>
    <t>www.lixinger.com/analytics/company/sh/603183/603183/detail</t>
  </si>
  <si>
    <t>和远气体</t>
  </si>
  <si>
    <t>www.lixinger.com/analytics/company/sz/002971/2971/detail</t>
  </si>
  <si>
    <t>安联锐视</t>
  </si>
  <si>
    <t>www.lixinger.com/analytics/company/sz/301042/301042/detail</t>
  </si>
  <si>
    <t>吉林高速</t>
  </si>
  <si>
    <t>www.lixinger.com/analytics/company/sh/601518/601518/detail</t>
  </si>
  <si>
    <t>博瑞医药</t>
  </si>
  <si>
    <t>www.lixinger.com/analytics/company/sh/688166/688166/detail</t>
  </si>
  <si>
    <t>三川智慧</t>
  </si>
  <si>
    <t>www.lixinger.com/analytics/company/sz/300066/300066/detail</t>
  </si>
  <si>
    <t>江南高纤</t>
  </si>
  <si>
    <t>www.lixinger.com/analytics/company/sh/600527/600527/detail</t>
  </si>
  <si>
    <t>广大特材</t>
  </si>
  <si>
    <t>www.lixinger.com/analytics/company/sh/688186/688186/detail</t>
  </si>
  <si>
    <t>阳普医疗</t>
  </si>
  <si>
    <t>www.lixinger.com/analytics/company/sz/300030/300030/detail</t>
  </si>
  <si>
    <t>安集科技</t>
  </si>
  <si>
    <t>www.lixinger.com/analytics/company/sh/688019/688019/detail</t>
  </si>
  <si>
    <t>迦南科技</t>
  </si>
  <si>
    <t>www.lixinger.com/analytics/company/sz/300412/300412/detail</t>
  </si>
  <si>
    <t>味知香</t>
  </si>
  <si>
    <t>www.lixinger.com/analytics/company/sh/605089/605089/detail</t>
  </si>
  <si>
    <t>博天环境</t>
  </si>
  <si>
    <t>www.lixinger.com/analytics/company/sh/603603/603603/detail</t>
  </si>
  <si>
    <t>英集芯</t>
  </si>
  <si>
    <t>www.lixinger.com/analytics/company/sh/688209/688209/detail</t>
  </si>
  <si>
    <t>康隆达</t>
  </si>
  <si>
    <t>www.lixinger.com/analytics/company/sh/603665/603665/detail</t>
  </si>
  <si>
    <t>万集科技</t>
  </si>
  <si>
    <t>www.lixinger.com/analytics/company/sz/300552/300552/detail</t>
  </si>
  <si>
    <t>光韵达</t>
  </si>
  <si>
    <t>www.lixinger.com/analytics/company/sz/300227/300227/detail</t>
  </si>
  <si>
    <t>国旅联合</t>
  </si>
  <si>
    <t>www.lixinger.com/analytics/company/sh/600358/600358/detail</t>
  </si>
  <si>
    <t>有方科技</t>
  </si>
  <si>
    <t>www.lixinger.com/analytics/company/sh/688159/688159/detail</t>
  </si>
  <si>
    <t>中源家居</t>
  </si>
  <si>
    <t>www.lixinger.com/analytics/company/sh/603709/603709/detail</t>
  </si>
  <si>
    <t>新晨科技</t>
  </si>
  <si>
    <t>www.lixinger.com/analytics/company/sz/300542/300542/detail</t>
  </si>
  <si>
    <t>友讯达</t>
  </si>
  <si>
    <t>www.lixinger.com/analytics/company/sz/300514/300514/detail</t>
  </si>
  <si>
    <t>航天宏图</t>
  </si>
  <si>
    <t>www.lixinger.com/analytics/company/sh/688066/688066/detail</t>
  </si>
  <si>
    <t>帅丰电器</t>
  </si>
  <si>
    <t>www.lixinger.com/analytics/company/sh/605336/605336/detail</t>
  </si>
  <si>
    <t>华培动力</t>
  </si>
  <si>
    <t>www.lixinger.com/analytics/company/sh/603121/603121/detail</t>
  </si>
  <si>
    <t>华瑞股份</t>
  </si>
  <si>
    <t>www.lixinger.com/analytics/company/sz/300626/300626/detail</t>
  </si>
  <si>
    <t>长春一东</t>
  </si>
  <si>
    <t>www.lixinger.com/analytics/company/sh/600148/600148/detail</t>
  </si>
  <si>
    <t>ST林重</t>
  </si>
  <si>
    <t>www.lixinger.com/analytics/company/sz/002535/2535/detail</t>
  </si>
  <si>
    <t>龙磁科技</t>
  </si>
  <si>
    <t>www.lixinger.com/analytics/company/sz/300835/300835/detail</t>
  </si>
  <si>
    <t>众合科技</t>
  </si>
  <si>
    <t>www.lixinger.com/analytics/company/sz/000925/925/detail</t>
  </si>
  <si>
    <t>电光科技</t>
  </si>
  <si>
    <t>www.lixinger.com/analytics/company/sz/002730/2730/detail</t>
  </si>
  <si>
    <t>洛凯股份</t>
  </si>
  <si>
    <t>www.lixinger.com/analytics/company/sh/603829/603829/detail</t>
  </si>
  <si>
    <t>远光软件</t>
  </si>
  <si>
    <t>www.lixinger.com/analytics/company/sz/002063/2063/detail</t>
  </si>
  <si>
    <t>诚益通</t>
  </si>
  <si>
    <t>www.lixinger.com/analytics/company/sz/300430/300430/detail</t>
  </si>
  <si>
    <t>清水源</t>
  </si>
  <si>
    <t>www.lixinger.com/analytics/company/sz/300437/300437/detail</t>
  </si>
  <si>
    <t>美利云</t>
  </si>
  <si>
    <t>www.lixinger.com/analytics/company/sz/000815/815/detail</t>
  </si>
  <si>
    <t>中鲁Ｂ</t>
  </si>
  <si>
    <t>www.lixinger.com/analytics/company/sz/200992/200992/detail</t>
  </si>
  <si>
    <t>博迁新材</t>
  </si>
  <si>
    <t>www.lixinger.com/analytics/company/sh/605376/605376/detail</t>
  </si>
  <si>
    <t>*ST金刚</t>
  </si>
  <si>
    <t>www.lixinger.com/analytics/company/sz/300064/300064/detail</t>
  </si>
  <si>
    <t>高测股份</t>
  </si>
  <si>
    <t>www.lixinger.com/analytics/company/sh/688556/688556/detail</t>
  </si>
  <si>
    <t>中航电测</t>
  </si>
  <si>
    <t>www.lixinger.com/analytics/company/sz/300114/300114/detail</t>
  </si>
  <si>
    <t>艾可蓝</t>
  </si>
  <si>
    <t>www.lixinger.com/analytics/company/sz/300816/300816/detail</t>
  </si>
  <si>
    <t>熊猫乳品</t>
  </si>
  <si>
    <t>www.lixinger.com/analytics/company/sz/300898/300898/detail</t>
  </si>
  <si>
    <t>ST森源</t>
  </si>
  <si>
    <t>www.lixinger.com/analytics/company/sz/002358/2358/detail</t>
  </si>
  <si>
    <t>瑞松科技</t>
  </si>
  <si>
    <t>www.lixinger.com/analytics/company/sh/688090/688090/detail</t>
  </si>
  <si>
    <t>万东医疗</t>
  </si>
  <si>
    <t>www.lixinger.com/analytics/company/sh/600055/600055/detail</t>
  </si>
  <si>
    <t>德展健康</t>
  </si>
  <si>
    <t>www.lixinger.com/analytics/company/sz/000813/813/detail</t>
  </si>
  <si>
    <t>中科金财</t>
  </si>
  <si>
    <t>www.lixinger.com/analytics/company/sz/002657/2657/detail</t>
  </si>
  <si>
    <t>正威新材</t>
  </si>
  <si>
    <t>www.lixinger.com/analytics/company/sz/002201/2201/detail</t>
  </si>
  <si>
    <t>勤上股份</t>
  </si>
  <si>
    <t>www.lixinger.com/analytics/company/sz/002638/2638/detail</t>
  </si>
  <si>
    <t>依米康</t>
  </si>
  <si>
    <t>www.lixinger.com/analytics/company/sz/300249/300249/detail</t>
  </si>
  <si>
    <t>亿华通</t>
  </si>
  <si>
    <t>燃料电池</t>
  </si>
  <si>
    <t>www.lixinger.com/analytics/company/sh/688339/688339/detail</t>
  </si>
  <si>
    <t>富邦股份</t>
  </si>
  <si>
    <t>www.lixinger.com/analytics/company/sz/300387/300387/detail</t>
  </si>
  <si>
    <t>长航凤凰</t>
  </si>
  <si>
    <t>www.lixinger.com/analytics/company/sz/000520/520/detail</t>
  </si>
  <si>
    <t>金冠股份</t>
  </si>
  <si>
    <t>www.lixinger.com/analytics/company/sz/300510/300510/detail</t>
  </si>
  <si>
    <t>联德股份</t>
  </si>
  <si>
    <t>www.lixinger.com/analytics/company/sh/605060/605060/detail</t>
  </si>
  <si>
    <t>光智科技</t>
  </si>
  <si>
    <t>www.lixinger.com/analytics/company/sz/300489/300489/detail</t>
  </si>
  <si>
    <t>贝斯特</t>
  </si>
  <si>
    <t>www.lixinger.com/analytics/company/sz/300580/300580/detail</t>
  </si>
  <si>
    <t>天奥电子</t>
  </si>
  <si>
    <t>www.lixinger.com/analytics/company/sz/002935/2935/detail</t>
  </si>
  <si>
    <t>新天科技</t>
  </si>
  <si>
    <t>www.lixinger.com/analytics/company/sz/300259/300259/detail</t>
  </si>
  <si>
    <t>力生制药</t>
  </si>
  <si>
    <t>www.lixinger.com/analytics/company/sz/002393/2393/detail</t>
  </si>
  <si>
    <t>中锐股份</t>
  </si>
  <si>
    <t>www.lixinger.com/analytics/company/sz/002374/2374/detail</t>
  </si>
  <si>
    <t>中航高科</t>
  </si>
  <si>
    <t>www.lixinger.com/analytics/company/sh/600862/600862/detail</t>
  </si>
  <si>
    <t>迪瑞医疗</t>
  </si>
  <si>
    <t>www.lixinger.com/analytics/company/sz/300396/300396/detail</t>
  </si>
  <si>
    <t>移为通信</t>
  </si>
  <si>
    <t>www.lixinger.com/analytics/company/sz/300590/300590/detail</t>
  </si>
  <si>
    <t>鼎通科技</t>
  </si>
  <si>
    <t>www.lixinger.com/analytics/company/sh/688668/688668/detail</t>
  </si>
  <si>
    <t>回盛生物</t>
  </si>
  <si>
    <t>www.lixinger.com/analytics/company/sz/300871/300871/detail</t>
  </si>
  <si>
    <t>菲利华</t>
  </si>
  <si>
    <t>www.lixinger.com/analytics/company/sz/300395/300395/detail</t>
  </si>
  <si>
    <t>精进电动</t>
  </si>
  <si>
    <t>www.lixinger.com/analytics/company/sh/688280/688280/detail</t>
  </si>
  <si>
    <t>欣龙控股</t>
  </si>
  <si>
    <t>www.lixinger.com/analytics/company/sz/000955/955/detail</t>
  </si>
  <si>
    <t>深华发Ｂ</t>
  </si>
  <si>
    <t>www.lixinger.com/analytics/company/sz/200020/200020/detail</t>
  </si>
  <si>
    <t>凯美特气</t>
  </si>
  <si>
    <t>www.lixinger.com/analytics/company/sz/002549/2549/detail</t>
  </si>
  <si>
    <t>福晶科技</t>
  </si>
  <si>
    <t>www.lixinger.com/analytics/company/sz/002222/2222/detail</t>
  </si>
  <si>
    <t>艾德生物</t>
  </si>
  <si>
    <t>www.lixinger.com/analytics/company/sz/300685/300685/detail</t>
  </si>
  <si>
    <t>易瑞生物</t>
  </si>
  <si>
    <t>www.lixinger.com/analytics/company/sz/300942/300942/detail</t>
  </si>
  <si>
    <t>华蓝集团</t>
  </si>
  <si>
    <t>www.lixinger.com/analytics/company/sz/301027/301027/detail</t>
  </si>
  <si>
    <t>天准科技</t>
  </si>
  <si>
    <t>www.lixinger.com/analytics/company/sh/688003/688003/detail</t>
  </si>
  <si>
    <t>云南旅游</t>
  </si>
  <si>
    <t>www.lixinger.com/analytics/company/sz/002059/2059/detail</t>
  </si>
  <si>
    <t>智云股份</t>
  </si>
  <si>
    <t>www.lixinger.com/analytics/company/sz/300097/300097/detail</t>
  </si>
  <si>
    <t>双飞股份</t>
  </si>
  <si>
    <t>www.lixinger.com/analytics/company/sz/300817/300817/detail</t>
  </si>
  <si>
    <t>翰宇药业</t>
  </si>
  <si>
    <t>www.lixinger.com/analytics/company/sz/300199/300199/detail</t>
  </si>
  <si>
    <t>万讯自控</t>
  </si>
  <si>
    <t>www.lixinger.com/analytics/company/sz/300112/300112/detail</t>
  </si>
  <si>
    <t>立霸股份</t>
  </si>
  <si>
    <t>www.lixinger.com/analytics/company/sh/603519/603519/detail</t>
  </si>
  <si>
    <t>龙利得</t>
  </si>
  <si>
    <t>www.lixinger.com/analytics/company/sz/300883/300883/detail</t>
  </si>
  <si>
    <t>世荣兆业</t>
  </si>
  <si>
    <t>www.lixinger.com/analytics/company/sz/002016/2016/detail</t>
  </si>
  <si>
    <t>恒盛能源</t>
  </si>
  <si>
    <t>www.lixinger.com/analytics/company/sh/605580/605580/detail</t>
  </si>
  <si>
    <t>湘油泵</t>
  </si>
  <si>
    <t>www.lixinger.com/analytics/company/sh/603319/603319/detail</t>
  </si>
  <si>
    <t>新智认知</t>
  </si>
  <si>
    <t>www.lixinger.com/analytics/company/sh/603869/603869/detail</t>
  </si>
  <si>
    <t>金达莱</t>
  </si>
  <si>
    <t>www.lixinger.com/analytics/company/sh/688057/688057/detail</t>
  </si>
  <si>
    <t>高盟新材</t>
  </si>
  <si>
    <t>www.lixinger.com/analytics/company/sz/300200/300200/detail</t>
  </si>
  <si>
    <t>崧盛股份</t>
  </si>
  <si>
    <t>www.lixinger.com/analytics/company/sz/301002/301002/detail</t>
  </si>
  <si>
    <t>盛洋科技</t>
  </si>
  <si>
    <t>www.lixinger.com/analytics/company/sh/603703/603703/detail</t>
  </si>
  <si>
    <t>永新光学</t>
  </si>
  <si>
    <t>www.lixinger.com/analytics/company/sh/603297/603297/detail</t>
  </si>
  <si>
    <t>银河电子</t>
  </si>
  <si>
    <t>www.lixinger.com/analytics/company/sz/002519/2519/detail</t>
  </si>
  <si>
    <t>华金资本</t>
  </si>
  <si>
    <t>www.lixinger.com/analytics/company/sz/000532/532/detail</t>
  </si>
  <si>
    <t>明志科技</t>
  </si>
  <si>
    <t>www.lixinger.com/analytics/company/sh/688355/688355/detail</t>
  </si>
  <si>
    <t>天津普林</t>
  </si>
  <si>
    <t>www.lixinger.com/analytics/company/sz/002134/2134/detail</t>
  </si>
  <si>
    <t>盛视科技</t>
  </si>
  <si>
    <t>www.lixinger.com/analytics/company/sz/002990/2990/detail</t>
  </si>
  <si>
    <t>复洁环保</t>
  </si>
  <si>
    <t>www.lixinger.com/analytics/company/sh/688335/688335/detail</t>
  </si>
  <si>
    <t>晶雪节能</t>
  </si>
  <si>
    <t>www.lixinger.com/analytics/company/sz/301010/301010/detail</t>
  </si>
  <si>
    <t>博俊科技</t>
  </si>
  <si>
    <t>www.lixinger.com/analytics/company/sz/300926/300926/detail</t>
  </si>
  <si>
    <t>迅捷兴</t>
  </si>
  <si>
    <t>www.lixinger.com/analytics/company/sh/688655/688655/detail</t>
  </si>
  <si>
    <t>新农开发</t>
  </si>
  <si>
    <t>www.lixinger.com/analytics/company/sh/600359/600359/detail</t>
  </si>
  <si>
    <t>泽宇智能</t>
  </si>
  <si>
    <t>www.lixinger.com/analytics/company/sz/301179/301179/detail</t>
  </si>
  <si>
    <t>好当家</t>
  </si>
  <si>
    <t>www.lixinger.com/analytics/company/sh/600467/600467/detail</t>
  </si>
  <si>
    <t>透景生命</t>
  </si>
  <si>
    <t>www.lixinger.com/analytics/company/sz/300642/300642/detail</t>
  </si>
  <si>
    <t>集友股份</t>
  </si>
  <si>
    <t>www.lixinger.com/analytics/company/sh/603429/603429/detail</t>
  </si>
  <si>
    <t>智洋创新</t>
  </si>
  <si>
    <t>www.lixinger.com/analytics/company/sh/688191/688191/detail</t>
  </si>
  <si>
    <t>佳士科技</t>
  </si>
  <si>
    <t>www.lixinger.com/analytics/company/sz/300193/300193/detail</t>
  </si>
  <si>
    <t>安路科技</t>
  </si>
  <si>
    <t>www.lixinger.com/analytics/company/sh/688107/688107/detail</t>
  </si>
  <si>
    <t>茶花股份</t>
  </si>
  <si>
    <t>www.lixinger.com/analytics/company/sh/603615/603615/detail</t>
  </si>
  <si>
    <t>首航高科</t>
  </si>
  <si>
    <t>www.lixinger.com/analytics/company/sz/002665/2665/detail</t>
  </si>
  <si>
    <t>永清环保</t>
  </si>
  <si>
    <t>www.lixinger.com/analytics/company/sz/300187/300187/detail</t>
  </si>
  <si>
    <t>西菱动力</t>
  </si>
  <si>
    <t>www.lixinger.com/analytics/company/sz/300733/300733/detail</t>
  </si>
  <si>
    <t>复旦张江</t>
  </si>
  <si>
    <t>www.lixinger.com/analytics/company/sh/688505/688505/detail</t>
  </si>
  <si>
    <t>徕木股份</t>
  </si>
  <si>
    <t>www.lixinger.com/analytics/company/sh/603633/603633/detail</t>
  </si>
  <si>
    <t>法尔胜</t>
  </si>
  <si>
    <t>www.lixinger.com/analytics/company/sz/000890/890/detail</t>
  </si>
  <si>
    <t>佛慈制药</t>
  </si>
  <si>
    <t>www.lixinger.com/analytics/company/sz/002644/2644/detail</t>
  </si>
  <si>
    <t>宏华数科</t>
  </si>
  <si>
    <t>www.lixinger.com/analytics/company/sh/688789/688789/detail</t>
  </si>
  <si>
    <t>新通联</t>
  </si>
  <si>
    <t>www.lixinger.com/analytics/company/sh/603022/603022/detail</t>
  </si>
  <si>
    <t>世纪瑞尔</t>
  </si>
  <si>
    <t>www.lixinger.com/analytics/company/sz/300150/300150/detail</t>
  </si>
  <si>
    <t>华光新材</t>
  </si>
  <si>
    <t>www.lixinger.com/analytics/company/sh/688379/688379/detail</t>
  </si>
  <si>
    <t>上海新阳</t>
  </si>
  <si>
    <t>www.lixinger.com/analytics/company/sz/300236/300236/detail</t>
  </si>
  <si>
    <t>ST龙韵</t>
  </si>
  <si>
    <t>www.lixinger.com/analytics/company/sh/603729/603729/detail</t>
  </si>
  <si>
    <t>盐田港</t>
  </si>
  <si>
    <t>www.lixinger.com/analytics/company/sz/000088/88/detail</t>
  </si>
  <si>
    <t>华星创业</t>
  </si>
  <si>
    <t>www.lixinger.com/analytics/company/sz/300025/300025/detail</t>
  </si>
  <si>
    <t>中电环保</t>
  </si>
  <si>
    <t>www.lixinger.com/analytics/company/sz/300172/300172/detail</t>
  </si>
  <si>
    <t>江苏博云</t>
  </si>
  <si>
    <t>www.lixinger.com/analytics/company/sz/301003/301003/detail</t>
  </si>
  <si>
    <t>军信股份</t>
  </si>
  <si>
    <t>www.lixinger.com/analytics/company/sz/301109/301109/detail</t>
  </si>
  <si>
    <t>图南股份</t>
  </si>
  <si>
    <t>www.lixinger.com/analytics/company/sz/300855/300855/detail</t>
  </si>
  <si>
    <t>扬帆新材</t>
  </si>
  <si>
    <t>www.lixinger.com/analytics/company/sz/300637/300637/detail</t>
  </si>
  <si>
    <t>洁特生物</t>
  </si>
  <si>
    <t>www.lixinger.com/analytics/company/sh/688026/688026/detail</t>
  </si>
  <si>
    <t>远大智能</t>
  </si>
  <si>
    <t>www.lixinger.com/analytics/company/sz/002689/2689/detail</t>
  </si>
  <si>
    <t>天阳科技</t>
  </si>
  <si>
    <t>www.lixinger.com/analytics/company/sz/300872/300872/detail</t>
  </si>
  <si>
    <t>超图软件</t>
  </si>
  <si>
    <t>www.lixinger.com/analytics/company/sz/300036/300036/detail</t>
  </si>
  <si>
    <t>景峰医药</t>
  </si>
  <si>
    <t>www.lixinger.com/analytics/company/sz/000908/908/detail</t>
  </si>
  <si>
    <t>天泽信息</t>
  </si>
  <si>
    <t>www.lixinger.com/analytics/company/sz/300209/300209/detail</t>
  </si>
  <si>
    <t>万马科技</t>
  </si>
  <si>
    <t>www.lixinger.com/analytics/company/sz/300698/300698/detail</t>
  </si>
  <si>
    <t>立方数科</t>
  </si>
  <si>
    <t>www.lixinger.com/analytics/company/sz/300344/300344/detail</t>
  </si>
  <si>
    <t>合力科技</t>
  </si>
  <si>
    <t>www.lixinger.com/analytics/company/sh/603917/603917/detail</t>
  </si>
  <si>
    <t>横河精密</t>
  </si>
  <si>
    <t>www.lixinger.com/analytics/company/sz/300539/300539/detail</t>
  </si>
  <si>
    <t>克来机电</t>
  </si>
  <si>
    <t>www.lixinger.com/analytics/company/sh/603960/603960/detail</t>
  </si>
  <si>
    <t>阿科力</t>
  </si>
  <si>
    <t>www.lixinger.com/analytics/company/sh/603722/603722/detail</t>
  </si>
  <si>
    <t>华闻集团</t>
  </si>
  <si>
    <t>www.lixinger.com/analytics/company/sz/000793/793/detail</t>
  </si>
  <si>
    <t>中瓷电子</t>
  </si>
  <si>
    <t>www.lixinger.com/analytics/company/sz/003031/3031/detail</t>
  </si>
  <si>
    <t>新美星</t>
  </si>
  <si>
    <t>www.lixinger.com/analytics/company/sz/300509/300509/detail</t>
  </si>
  <si>
    <t>浙江力诺</t>
  </si>
  <si>
    <t>www.lixinger.com/analytics/company/sz/300838/300838/detail</t>
  </si>
  <si>
    <t>真爱美家</t>
  </si>
  <si>
    <t>www.lixinger.com/analytics/company/sz/003041/3041/detail</t>
  </si>
  <si>
    <t>恒帅股份</t>
  </si>
  <si>
    <t>www.lixinger.com/analytics/company/sz/300969/300969/detail</t>
  </si>
  <si>
    <t>金鸿顺</t>
  </si>
  <si>
    <t>www.lixinger.com/analytics/company/sh/603922/603922/detail</t>
  </si>
  <si>
    <t>帝尔激光</t>
  </si>
  <si>
    <t>www.lixinger.com/analytics/company/sz/300776/300776/detail</t>
  </si>
  <si>
    <t>顶固集创</t>
  </si>
  <si>
    <t>www.lixinger.com/analytics/company/sz/300749/300749/detail</t>
  </si>
  <si>
    <t>普莱柯</t>
  </si>
  <si>
    <t>www.lixinger.com/analytics/company/sh/603566/603566/detail</t>
  </si>
  <si>
    <t>龙泉股份</t>
  </si>
  <si>
    <t>www.lixinger.com/analytics/company/sz/002671/2671/detail</t>
  </si>
  <si>
    <t>博晖创新</t>
  </si>
  <si>
    <t>www.lixinger.com/analytics/company/sz/300318/300318/detail</t>
  </si>
  <si>
    <t>任子行</t>
  </si>
  <si>
    <t>www.lixinger.com/analytics/company/sz/300311/300311/detail</t>
  </si>
  <si>
    <t>合康新能</t>
  </si>
  <si>
    <t>www.lixinger.com/analytics/company/sz/300048/300048/detail</t>
  </si>
  <si>
    <t>东土科技</t>
  </si>
  <si>
    <t>www.lixinger.com/analytics/company/sz/300353/300353/detail</t>
  </si>
  <si>
    <t>松原股份</t>
  </si>
  <si>
    <t>www.lixinger.com/analytics/company/sz/300893/300893/detail</t>
  </si>
  <si>
    <t>东软载波</t>
  </si>
  <si>
    <t>www.lixinger.com/analytics/company/sz/300183/300183/detail</t>
  </si>
  <si>
    <t>晓鸣股份</t>
  </si>
  <si>
    <t>www.lixinger.com/analytics/company/sz/300967/300967/detail</t>
  </si>
  <si>
    <t>斯瑞新材</t>
  </si>
  <si>
    <t>www.lixinger.com/analytics/company/sh/688102/688102/detail</t>
  </si>
  <si>
    <t>二三四五</t>
  </si>
  <si>
    <t>www.lixinger.com/analytics/company/sz/002195/2195/detail</t>
  </si>
  <si>
    <t>杰美特</t>
  </si>
  <si>
    <t>www.lixinger.com/analytics/company/sz/300868/300868/detail</t>
  </si>
  <si>
    <t>华盛昌</t>
  </si>
  <si>
    <t>www.lixinger.com/analytics/company/sz/002980/2980/detail</t>
  </si>
  <si>
    <t>鸿富瀚</t>
  </si>
  <si>
    <t>www.lixinger.com/analytics/company/sz/301086/301086/detail</t>
  </si>
  <si>
    <t>阿石创</t>
  </si>
  <si>
    <t>www.lixinger.com/analytics/company/sz/300706/300706/detail</t>
  </si>
  <si>
    <t>信雅达</t>
  </si>
  <si>
    <t>www.lixinger.com/analytics/company/sh/600571/600571/detail</t>
  </si>
  <si>
    <t>时空科技</t>
  </si>
  <si>
    <t>www.lixinger.com/analytics/company/sh/605178/605178/detail</t>
  </si>
  <si>
    <t>康泰医学</t>
  </si>
  <si>
    <t>www.lixinger.com/analytics/company/sz/300869/300869/detail</t>
  </si>
  <si>
    <t>恒大高新</t>
  </si>
  <si>
    <t>www.lixinger.com/analytics/company/sz/002591/2591/detail</t>
  </si>
  <si>
    <t>大为股份</t>
  </si>
  <si>
    <t>www.lixinger.com/analytics/company/sz/002213/2213/detail</t>
  </si>
  <si>
    <t>中欣氟材</t>
  </si>
  <si>
    <t>www.lixinger.com/analytics/company/sz/002915/2915/detail</t>
  </si>
  <si>
    <t>会畅通讯</t>
  </si>
  <si>
    <t>www.lixinger.com/analytics/company/sz/300578/300578/detail</t>
  </si>
  <si>
    <t>久吾高科</t>
  </si>
  <si>
    <t>www.lixinger.com/analytics/company/sz/300631/300631/detail</t>
  </si>
  <si>
    <t>福立旺</t>
  </si>
  <si>
    <t>www.lixinger.com/analytics/company/sh/688678/688678/detail</t>
  </si>
  <si>
    <t>东方钽业</t>
  </si>
  <si>
    <t>www.lixinger.com/analytics/company/sz/000962/962/detail</t>
  </si>
  <si>
    <t>中路股份</t>
  </si>
  <si>
    <t>www.lixinger.com/analytics/company/sh/600818/600818/detail</t>
  </si>
  <si>
    <t>联科科技</t>
  </si>
  <si>
    <t>www.lixinger.com/analytics/company/sz/001207/1207/detail</t>
  </si>
  <si>
    <t>三力士</t>
  </si>
  <si>
    <t>www.lixinger.com/analytics/company/sz/002224/2224/detail</t>
  </si>
  <si>
    <t>禾迈股份</t>
  </si>
  <si>
    <t>www.lixinger.com/analytics/company/sh/688032/688032/detail</t>
  </si>
  <si>
    <t>中核科技</t>
  </si>
  <si>
    <t>www.lixinger.com/analytics/company/sz/000777/777/detail</t>
  </si>
  <si>
    <t>福莱蒽特</t>
  </si>
  <si>
    <t>www.lixinger.com/analytics/company/sh/605566/605566/detail</t>
  </si>
  <si>
    <t>安靠智电</t>
  </si>
  <si>
    <t>www.lixinger.com/analytics/company/sz/300617/300617/detail</t>
  </si>
  <si>
    <t>宏昌科技</t>
  </si>
  <si>
    <t>www.lixinger.com/analytics/company/sz/301008/301008/detail</t>
  </si>
  <si>
    <t>海波重科</t>
  </si>
  <si>
    <t>www.lixinger.com/analytics/company/sz/300517/300517/detail</t>
  </si>
  <si>
    <t>江天化学</t>
  </si>
  <si>
    <t>www.lixinger.com/analytics/company/sz/300927/300927/detail</t>
  </si>
  <si>
    <t>运达科技</t>
  </si>
  <si>
    <t>www.lixinger.com/analytics/company/sz/300440/300440/detail</t>
  </si>
  <si>
    <t>卫光生物</t>
  </si>
  <si>
    <t>www.lixinger.com/analytics/company/sz/002880/2880/detail</t>
  </si>
  <si>
    <t>北京城乡</t>
  </si>
  <si>
    <t>www.lixinger.com/analytics/company/sh/600861/600861/detail</t>
  </si>
  <si>
    <t>东威科技</t>
  </si>
  <si>
    <t>www.lixinger.com/analytics/company/sh/688700/688700/detail</t>
  </si>
  <si>
    <t>华绿生物</t>
  </si>
  <si>
    <t>www.lixinger.com/analytics/company/sz/300970/300970/detail</t>
  </si>
  <si>
    <t>太辰光</t>
  </si>
  <si>
    <t>www.lixinger.com/analytics/company/sz/300570/300570/detail</t>
  </si>
  <si>
    <t>华融化学</t>
  </si>
  <si>
    <t>www.lixinger.com/analytics/company/sz/301256/301256/detail</t>
  </si>
  <si>
    <t>康欣新材</t>
  </si>
  <si>
    <t>www.lixinger.com/analytics/company/sh/600076/600076/detail</t>
  </si>
  <si>
    <t>华西能源</t>
  </si>
  <si>
    <t>www.lixinger.com/analytics/company/sz/002630/2630/detail</t>
  </si>
  <si>
    <t>哈空调</t>
  </si>
  <si>
    <t>www.lixinger.com/analytics/company/sh/600202/600202/detail</t>
  </si>
  <si>
    <t>优利德</t>
  </si>
  <si>
    <t>www.lixinger.com/analytics/company/sh/688628/688628/detail</t>
  </si>
  <si>
    <t>中视传媒</t>
  </si>
  <si>
    <t>www.lixinger.com/analytics/company/sh/600088/600088/detail</t>
  </si>
  <si>
    <t>铜峰电子</t>
  </si>
  <si>
    <t>www.lixinger.com/analytics/company/sh/600237/600237/detail</t>
  </si>
  <si>
    <t>南京港</t>
  </si>
  <si>
    <t>www.lixinger.com/analytics/company/sz/002040/2040/detail</t>
  </si>
  <si>
    <t>同和药业</t>
  </si>
  <si>
    <t>www.lixinger.com/analytics/company/sz/300636/300636/detail</t>
  </si>
  <si>
    <t>均瑶健康</t>
  </si>
  <si>
    <t>www.lixinger.com/analytics/company/sh/605388/605388/detail</t>
  </si>
  <si>
    <t>海峡环保</t>
  </si>
  <si>
    <t>www.lixinger.com/analytics/company/sh/603817/603817/detail</t>
  </si>
  <si>
    <t>正源股份</t>
  </si>
  <si>
    <t>www.lixinger.com/analytics/company/sh/600321/600321/detail</t>
  </si>
  <si>
    <t>神州细胞</t>
  </si>
  <si>
    <t>www.lixinger.com/analytics/company/sh/688520/688520/detail</t>
  </si>
  <si>
    <t>富满微</t>
  </si>
  <si>
    <t>www.lixinger.com/analytics/company/sz/300671/300671/detail</t>
  </si>
  <si>
    <t>迈赫股份</t>
  </si>
  <si>
    <t>www.lixinger.com/analytics/company/sz/301199/301199/detail</t>
  </si>
  <si>
    <t>视觉中国</t>
  </si>
  <si>
    <t>图片媒体</t>
  </si>
  <si>
    <t>www.lixinger.com/analytics/company/sz/000681/681/detail</t>
  </si>
  <si>
    <t>宏德股份</t>
  </si>
  <si>
    <t>www.lixinger.com/analytics/company/sz/301163/301163/detail</t>
  </si>
  <si>
    <t>林海股份</t>
  </si>
  <si>
    <t>www.lixinger.com/analytics/company/sh/600099/600099/detail</t>
  </si>
  <si>
    <t>京华激光</t>
  </si>
  <si>
    <t>www.lixinger.com/analytics/company/sh/603607/603607/detail</t>
  </si>
  <si>
    <t>惠伦晶体</t>
  </si>
  <si>
    <t>www.lixinger.com/analytics/company/sz/300460/300460/detail</t>
  </si>
  <si>
    <t>精准信息</t>
  </si>
  <si>
    <t>www.lixinger.com/analytics/company/sz/300099/300099/detail</t>
  </si>
  <si>
    <t>晨化股份</t>
  </si>
  <si>
    <t>www.lixinger.com/analytics/company/sz/300610/300610/detail</t>
  </si>
  <si>
    <t>银河磁体</t>
  </si>
  <si>
    <t>www.lixinger.com/analytics/company/sz/300127/300127/detail</t>
  </si>
  <si>
    <t>宏微科技</t>
  </si>
  <si>
    <t>www.lixinger.com/analytics/company/sh/688711/688711/detail</t>
  </si>
  <si>
    <t>科思科技</t>
  </si>
  <si>
    <t>www.lixinger.com/analytics/company/sh/688788/688788/detail</t>
  </si>
  <si>
    <t>新致软件</t>
  </si>
  <si>
    <t>www.lixinger.com/analytics/company/sh/688590/688590/detail</t>
  </si>
  <si>
    <t>义翘神州</t>
  </si>
  <si>
    <t>www.lixinger.com/analytics/company/sz/301047/301047/detail</t>
  </si>
  <si>
    <t>真视通</t>
  </si>
  <si>
    <t>www.lixinger.com/analytics/company/sz/002771/2771/detail</t>
  </si>
  <si>
    <t>南网科技</t>
  </si>
  <si>
    <t>www.lixinger.com/analytics/company/sh/688248/688248/detail</t>
  </si>
  <si>
    <t>威奥股份</t>
  </si>
  <si>
    <t>www.lixinger.com/analytics/company/sh/605001/605001/detail</t>
  </si>
  <si>
    <t>星华反光</t>
  </si>
  <si>
    <t>www.lixinger.com/analytics/company/sz/301077/301077/detail</t>
  </si>
  <si>
    <t>电魂网络</t>
  </si>
  <si>
    <t>www.lixinger.com/analytics/company/sh/603258/603258/detail</t>
  </si>
  <si>
    <t>显盈科技</t>
  </si>
  <si>
    <t>www.lixinger.com/analytics/company/sz/301067/301067/detail</t>
  </si>
  <si>
    <t>兴通股份</t>
  </si>
  <si>
    <t>www.lixinger.com/analytics/company/sh/603209/603209/detail</t>
  </si>
  <si>
    <t>中马传动</t>
  </si>
  <si>
    <t>www.lixinger.com/analytics/company/sh/603767/603767/detail</t>
  </si>
  <si>
    <t>长盛轴承</t>
  </si>
  <si>
    <t>www.lixinger.com/analytics/company/sz/300718/300718/detail</t>
  </si>
  <si>
    <t>华亚智能</t>
  </si>
  <si>
    <t>www.lixinger.com/analytics/company/sz/003043/3043/detail</t>
  </si>
  <si>
    <t>江苏北人</t>
  </si>
  <si>
    <t>www.lixinger.com/analytics/company/sh/688218/688218/detail</t>
  </si>
  <si>
    <t>赛福天</t>
  </si>
  <si>
    <t>www.lixinger.com/analytics/company/sh/603028/603028/detail</t>
  </si>
  <si>
    <t>锦鸡股份</t>
  </si>
  <si>
    <t>www.lixinger.com/analytics/company/sz/300798/300798/detail</t>
  </si>
  <si>
    <t>宁通信B</t>
  </si>
  <si>
    <t>www.lixinger.com/analytics/company/sz/200468/200468/detail</t>
  </si>
  <si>
    <t>长亮科技</t>
  </si>
  <si>
    <t>www.lixinger.com/analytics/company/sz/300348/300348/detail</t>
  </si>
  <si>
    <t>数字政通</t>
  </si>
  <si>
    <t>www.lixinger.com/analytics/company/sz/300075/300075/detail</t>
  </si>
  <si>
    <t>必创科技</t>
  </si>
  <si>
    <t>www.lixinger.com/analytics/company/sz/300667/300667/detail</t>
  </si>
  <si>
    <t>南威软件</t>
  </si>
  <si>
    <t>www.lixinger.com/analytics/company/sh/603636/603636/detail</t>
  </si>
  <si>
    <t>莎普爱思</t>
  </si>
  <si>
    <t>www.lixinger.com/analytics/company/sh/603168/603168/detail</t>
  </si>
  <si>
    <t>长缆科技</t>
  </si>
  <si>
    <t>www.lixinger.com/analytics/company/sz/002879/2879/detail</t>
  </si>
  <si>
    <t>力诺特玻</t>
  </si>
  <si>
    <t>www.lixinger.com/analytics/company/sz/301188/301188/detail</t>
  </si>
  <si>
    <t>石英股份</t>
  </si>
  <si>
    <t>www.lixinger.com/analytics/company/sh/603688/603688/detail</t>
  </si>
  <si>
    <t>成飞集成</t>
  </si>
  <si>
    <t>www.lixinger.com/analytics/company/sz/002190/2190/detail</t>
  </si>
  <si>
    <t>科新机电</t>
  </si>
  <si>
    <t>www.lixinger.com/analytics/company/sz/300092/300092/detail</t>
  </si>
  <si>
    <t>筑博设计</t>
  </si>
  <si>
    <t>www.lixinger.com/analytics/company/sz/300564/300564/detail</t>
  </si>
  <si>
    <t>华森制药</t>
  </si>
  <si>
    <t>www.lixinger.com/analytics/company/sz/002907/2907/detail</t>
  </si>
  <si>
    <t>吉华集团</t>
  </si>
  <si>
    <t>www.lixinger.com/analytics/company/sh/603980/603980/detail</t>
  </si>
  <si>
    <t>美芝股份</t>
  </si>
  <si>
    <t>www.lixinger.com/analytics/company/sz/002856/2856/detail</t>
  </si>
  <si>
    <t>恒宝股份</t>
  </si>
  <si>
    <t>www.lixinger.com/analytics/company/sz/002104/2104/detail</t>
  </si>
  <si>
    <t>中光防雷</t>
  </si>
  <si>
    <t>www.lixinger.com/analytics/company/sz/300414/300414/detail</t>
  </si>
  <si>
    <t>锋龙股份</t>
  </si>
  <si>
    <t>www.lixinger.com/analytics/company/sz/002931/2931/detail</t>
  </si>
  <si>
    <t>凌志软件</t>
  </si>
  <si>
    <t>www.lixinger.com/analytics/company/sh/688588/688588/detail</t>
  </si>
  <si>
    <t>景嘉微</t>
  </si>
  <si>
    <t>www.lixinger.com/analytics/company/sz/300474/300474/detail</t>
  </si>
  <si>
    <t>新经典</t>
  </si>
  <si>
    <t>www.lixinger.com/analytics/company/sh/603096/603096/detail</t>
  </si>
  <si>
    <t>金盾股份</t>
  </si>
  <si>
    <t>www.lixinger.com/analytics/company/sz/300411/300411/detail</t>
  </si>
  <si>
    <t>深深房Ｂ</t>
  </si>
  <si>
    <t>www.lixinger.com/analytics/company/sz/200029/200029/detail</t>
  </si>
  <si>
    <t>丰元股份</t>
  </si>
  <si>
    <t>www.lixinger.com/analytics/company/sz/002805/2805/detail</t>
  </si>
  <si>
    <t>英派斯</t>
  </si>
  <si>
    <t>www.lixinger.com/analytics/company/sz/002899/2899/detail</t>
  </si>
  <si>
    <t>*ST中迪</t>
  </si>
  <si>
    <t>www.lixinger.com/analytics/company/sz/000609/609/detail</t>
  </si>
  <si>
    <t>联盛化学</t>
  </si>
  <si>
    <t>www.lixinger.com/analytics/company/sz/301212/301212/detail</t>
  </si>
  <si>
    <t>银星能源</t>
  </si>
  <si>
    <t>www.lixinger.com/analytics/company/sz/000862/862/detail</t>
  </si>
  <si>
    <t>威派格</t>
  </si>
  <si>
    <t>www.lixinger.com/analytics/company/sh/603956/603956/detail</t>
  </si>
  <si>
    <t>汇绿生态</t>
  </si>
  <si>
    <t>www.lixinger.com/analytics/company/sz/001267/1267/detail</t>
  </si>
  <si>
    <t>振芯科技</t>
  </si>
  <si>
    <t>www.lixinger.com/analytics/company/sz/300101/300101/detail</t>
  </si>
  <si>
    <t>科隆股份</t>
  </si>
  <si>
    <t>www.lixinger.com/analytics/company/sz/300405/300405/detail</t>
  </si>
  <si>
    <t>康华生物</t>
  </si>
  <si>
    <t>www.lixinger.com/analytics/company/sz/300841/300841/detail</t>
  </si>
  <si>
    <t>嘉益股份</t>
  </si>
  <si>
    <t>www.lixinger.com/analytics/company/sz/301004/301004/detail</t>
  </si>
  <si>
    <t>特一药业</t>
  </si>
  <si>
    <t>www.lixinger.com/analytics/company/sz/002728/2728/detail</t>
  </si>
  <si>
    <t>迪威迅</t>
  </si>
  <si>
    <t>www.lixinger.com/analytics/company/sz/300167/300167/detail</t>
  </si>
  <si>
    <t>开尔新材</t>
  </si>
  <si>
    <t>www.lixinger.com/analytics/company/sz/300234/300234/detail</t>
  </si>
  <si>
    <t>浩丰科技</t>
  </si>
  <si>
    <t>www.lixinger.com/analytics/company/sz/300419/300419/detail</t>
  </si>
  <si>
    <t>ST天圣</t>
  </si>
  <si>
    <t>www.lixinger.com/analytics/company/sz/002872/2872/detail</t>
  </si>
  <si>
    <t>百龙创园</t>
  </si>
  <si>
    <t>www.lixinger.com/analytics/company/sh/605016/605016/detail</t>
  </si>
  <si>
    <t>七彩化学</t>
  </si>
  <si>
    <t>www.lixinger.com/analytics/company/sz/300758/300758/detail</t>
  </si>
  <si>
    <t>海锅股份</t>
  </si>
  <si>
    <t>www.lixinger.com/analytics/company/sz/301063/301063/detail</t>
  </si>
  <si>
    <t>德恩精工</t>
  </si>
  <si>
    <t>www.lixinger.com/analytics/company/sz/300780/300780/detail</t>
  </si>
  <si>
    <t>兆丰股份</t>
  </si>
  <si>
    <t>www.lixinger.com/analytics/company/sz/300695/300695/detail</t>
  </si>
  <si>
    <t>东亚药业</t>
  </si>
  <si>
    <t>www.lixinger.com/analytics/company/sh/605177/605177/detail</t>
  </si>
  <si>
    <t>圣达生物</t>
  </si>
  <si>
    <t>www.lixinger.com/analytics/company/sh/603079/603079/detail</t>
  </si>
  <si>
    <t>宝光股份</t>
  </si>
  <si>
    <t>www.lixinger.com/analytics/company/sh/600379/600379/detail</t>
  </si>
  <si>
    <t>泰尔股份</t>
  </si>
  <si>
    <t>www.lixinger.com/analytics/company/sz/002347/2347/detail</t>
  </si>
  <si>
    <t>北清环能</t>
  </si>
  <si>
    <t>www.lixinger.com/analytics/company/sz/000803/803/detail</t>
  </si>
  <si>
    <t>ST浩源</t>
  </si>
  <si>
    <t>www.lixinger.com/analytics/company/sz/002700/2700/detail</t>
  </si>
  <si>
    <t>鸿达兴业</t>
  </si>
  <si>
    <t>www.lixinger.com/analytics/company/sz/002002/2002/detail</t>
  </si>
  <si>
    <t>ST天马</t>
  </si>
  <si>
    <t>www.lixinger.com/analytics/company/sz/002122/2122/detail</t>
  </si>
  <si>
    <t>厚普股份</t>
  </si>
  <si>
    <t>www.lixinger.com/analytics/company/sz/300471/300471/detail</t>
  </si>
  <si>
    <t>盛剑环境</t>
  </si>
  <si>
    <t>www.lixinger.com/analytics/company/sh/603324/603324/detail</t>
  </si>
  <si>
    <t>江化微</t>
  </si>
  <si>
    <t>www.lixinger.com/analytics/company/sh/603078/603078/detail</t>
  </si>
  <si>
    <t>菱电电控</t>
  </si>
  <si>
    <t>www.lixinger.com/analytics/company/sh/688667/688667/detail</t>
  </si>
  <si>
    <t>诚意药业</t>
  </si>
  <si>
    <t>www.lixinger.com/analytics/company/sh/603811/603811/detail</t>
  </si>
  <si>
    <t>*ST南化</t>
  </si>
  <si>
    <t>www.lixinger.com/analytics/company/sh/600301/600301/detail</t>
  </si>
  <si>
    <t>海顺新材</t>
  </si>
  <si>
    <t>www.lixinger.com/analytics/company/sz/300501/300501/detail</t>
  </si>
  <si>
    <t>劲拓股份</t>
  </si>
  <si>
    <t>www.lixinger.com/analytics/company/sz/300400/300400/detail</t>
  </si>
  <si>
    <t>安达智能</t>
  </si>
  <si>
    <t>www.lixinger.com/analytics/company/sh/688125/688125/detail</t>
  </si>
  <si>
    <t>建车B</t>
  </si>
  <si>
    <t>www.lixinger.com/analytics/company/sz/200054/200054/detail</t>
  </si>
  <si>
    <t>万林物流</t>
  </si>
  <si>
    <t>www.lixinger.com/analytics/company/sh/603117/603117/detail</t>
  </si>
  <si>
    <t>福光股份</t>
  </si>
  <si>
    <t>www.lixinger.com/analytics/company/sh/688010/688010/detail</t>
  </si>
  <si>
    <t>泰恩康</t>
  </si>
  <si>
    <t>www.lixinger.com/analytics/company/sz/301263/301263/detail</t>
  </si>
  <si>
    <t>金春股份</t>
  </si>
  <si>
    <t>www.lixinger.com/analytics/company/sz/300877/300877/detail</t>
  </si>
  <si>
    <t>天宜上佳</t>
  </si>
  <si>
    <t>www.lixinger.com/analytics/company/sh/688033/688033/detail</t>
  </si>
  <si>
    <t>京蓝科技</t>
  </si>
  <si>
    <t>www.lixinger.com/analytics/company/sz/000711/711/detail</t>
  </si>
  <si>
    <t>正元智慧</t>
  </si>
  <si>
    <t>www.lixinger.com/analytics/company/sz/300645/300645/detail</t>
  </si>
  <si>
    <t>长方集团</t>
  </si>
  <si>
    <t>www.lixinger.com/analytics/company/sz/300301/300301/detail</t>
  </si>
  <si>
    <t>正川股份</t>
  </si>
  <si>
    <t>www.lixinger.com/analytics/company/sh/603976/603976/detail</t>
  </si>
  <si>
    <t>盛航股份</t>
  </si>
  <si>
    <t>www.lixinger.com/analytics/company/sz/001205/1205/detail</t>
  </si>
  <si>
    <t>南极光</t>
  </si>
  <si>
    <t>www.lixinger.com/analytics/company/sz/300940/300940/detail</t>
  </si>
  <si>
    <t>拓尔思</t>
  </si>
  <si>
    <t>www.lixinger.com/analytics/company/sz/300229/300229/detail</t>
  </si>
  <si>
    <t>*ST易见</t>
  </si>
  <si>
    <t>其他多元金融</t>
  </si>
  <si>
    <t>www.lixinger.com/analytics/company/sh/600093/600093/detail</t>
  </si>
  <si>
    <t>富临运业</t>
  </si>
  <si>
    <t>www.lixinger.com/analytics/company/sz/002357/2357/detail</t>
  </si>
  <si>
    <t>深天地Ａ</t>
  </si>
  <si>
    <t>www.lixinger.com/analytics/company/sz/000023/23/detail</t>
  </si>
  <si>
    <t>惠天热电</t>
  </si>
  <si>
    <t>www.lixinger.com/analytics/company/sz/000692/692/detail</t>
  </si>
  <si>
    <t>强瑞技术</t>
  </si>
  <si>
    <t>www.lixinger.com/analytics/company/sz/301128/301128/detail</t>
  </si>
  <si>
    <t>亚世光电</t>
  </si>
  <si>
    <t>www.lixinger.com/analytics/company/sz/002952/2952/detail</t>
  </si>
  <si>
    <t>海特生物</t>
  </si>
  <si>
    <t>www.lixinger.com/analytics/company/sz/300683/300683/detail</t>
  </si>
  <si>
    <t>大连友谊</t>
  </si>
  <si>
    <t>www.lixinger.com/analytics/company/sz/000679/679/detail</t>
  </si>
  <si>
    <t>深华发Ａ</t>
  </si>
  <si>
    <t>www.lixinger.com/analytics/company/sz/000020/20/detail</t>
  </si>
  <si>
    <t>维康药业</t>
  </si>
  <si>
    <t>www.lixinger.com/analytics/company/sz/300878/300878/detail</t>
  </si>
  <si>
    <t>山东华鹏</t>
  </si>
  <si>
    <t>www.lixinger.com/analytics/company/sh/603021/603021/detail</t>
  </si>
  <si>
    <t>长江材料</t>
  </si>
  <si>
    <t>www.lixinger.com/analytics/company/sz/001296/1296/detail</t>
  </si>
  <si>
    <t>舒泰神</t>
  </si>
  <si>
    <t>www.lixinger.com/analytics/company/sz/300204/300204/detail</t>
  </si>
  <si>
    <t>金埔园林</t>
  </si>
  <si>
    <t>www.lixinger.com/analytics/company/sz/301098/301098/detail</t>
  </si>
  <si>
    <t>建工修复</t>
  </si>
  <si>
    <t>www.lixinger.com/analytics/company/sz/300958/300958/detail</t>
  </si>
  <si>
    <t>嘉戎技术</t>
  </si>
  <si>
    <t>www.lixinger.com/analytics/company/sz/301148/301148/detail</t>
  </si>
  <si>
    <t>众望布艺</t>
  </si>
  <si>
    <t>www.lixinger.com/analytics/company/sh/605003/605003/detail</t>
  </si>
  <si>
    <t>西部黄金</t>
  </si>
  <si>
    <t>www.lixinger.com/analytics/company/sh/601069/601069/detail</t>
  </si>
  <si>
    <t>普丽盛</t>
  </si>
  <si>
    <t>www.lixinger.com/analytics/company/sz/300442/300442/detail</t>
  </si>
  <si>
    <t>仕佳光子</t>
  </si>
  <si>
    <t>www.lixinger.com/analytics/company/sh/688313/688313/detail</t>
  </si>
  <si>
    <t>能科科技</t>
  </si>
  <si>
    <t>www.lixinger.com/analytics/company/sh/603859/603859/detail</t>
  </si>
  <si>
    <t>德创环保</t>
  </si>
  <si>
    <t>www.lixinger.com/analytics/company/sh/603177/603177/detail</t>
  </si>
  <si>
    <t>富信科技</t>
  </si>
  <si>
    <t>www.lixinger.com/analytics/company/sh/688662/688662/detail</t>
  </si>
  <si>
    <t>电科院</t>
  </si>
  <si>
    <t>www.lixinger.com/analytics/company/sz/300215/300215/detail</t>
  </si>
  <si>
    <t>爱克股份</t>
  </si>
  <si>
    <t>www.lixinger.com/analytics/company/sz/300889/300889/detail</t>
  </si>
  <si>
    <t>东亚机械</t>
  </si>
  <si>
    <t>www.lixinger.com/analytics/company/sz/301028/301028/detail</t>
  </si>
  <si>
    <t>迪贝电气</t>
  </si>
  <si>
    <t>www.lixinger.com/analytics/company/sh/603320/603320/detail</t>
  </si>
  <si>
    <t>海力风电</t>
  </si>
  <si>
    <t>www.lixinger.com/analytics/company/sz/301155/301155/detail</t>
  </si>
  <si>
    <t>力星股份</t>
  </si>
  <si>
    <t>www.lixinger.com/analytics/company/sz/300421/300421/detail</t>
  </si>
  <si>
    <t>三祥新材</t>
  </si>
  <si>
    <t>www.lixinger.com/analytics/company/sh/603663/603663/detail</t>
  </si>
  <si>
    <t>*ST新光</t>
  </si>
  <si>
    <t>www.lixinger.com/analytics/company/sz/002147/2147/detail</t>
  </si>
  <si>
    <t>ST通葡</t>
  </si>
  <si>
    <t>www.lixinger.com/analytics/company/sh/600365/600365/detail</t>
  </si>
  <si>
    <t>狮头股份</t>
  </si>
  <si>
    <t>www.lixinger.com/analytics/company/sh/600539/600539/detail</t>
  </si>
  <si>
    <t>中密控股</t>
  </si>
  <si>
    <t>www.lixinger.com/analytics/company/sz/300470/300470/detail</t>
  </si>
  <si>
    <t>万事利</t>
  </si>
  <si>
    <t>www.lixinger.com/analytics/company/sz/301066/301066/detail</t>
  </si>
  <si>
    <t>慈文传媒</t>
  </si>
  <si>
    <t>www.lixinger.com/analytics/company/sz/002343/2343/detail</t>
  </si>
  <si>
    <t>原尚股份</t>
  </si>
  <si>
    <t>www.lixinger.com/analytics/company/sh/603813/603813/detail</t>
  </si>
  <si>
    <t>西仪股份</t>
  </si>
  <si>
    <t>www.lixinger.com/analytics/company/sz/002265/2265/detail</t>
  </si>
  <si>
    <t>中达安</t>
  </si>
  <si>
    <t>www.lixinger.com/analytics/company/sz/300635/300635/detail</t>
  </si>
  <si>
    <t>博通集成</t>
  </si>
  <si>
    <t>www.lixinger.com/analytics/company/sh/603068/603068/detail</t>
  </si>
  <si>
    <t>中电电机</t>
  </si>
  <si>
    <t>www.lixinger.com/analytics/company/sh/603988/603988/detail</t>
  </si>
  <si>
    <t>中船应急</t>
  </si>
  <si>
    <t>www.lixinger.com/analytics/company/sz/300527/300527/detail</t>
  </si>
  <si>
    <t>圣诺生物</t>
  </si>
  <si>
    <t>www.lixinger.com/analytics/company/sh/688117/688117/detail</t>
  </si>
  <si>
    <t>双乐股份</t>
  </si>
  <si>
    <t>www.lixinger.com/analytics/company/sz/301036/301036/detail</t>
  </si>
  <si>
    <t>华体科技</t>
  </si>
  <si>
    <t>www.lixinger.com/analytics/company/sh/603679/603679/detail</t>
  </si>
  <si>
    <t>华联控股</t>
  </si>
  <si>
    <t>www.lixinger.com/analytics/company/sz/000036/36/detail</t>
  </si>
  <si>
    <t>锐新科技</t>
  </si>
  <si>
    <t>www.lixinger.com/analytics/company/sz/300828/300828/detail</t>
  </si>
  <si>
    <t>广济药业</t>
  </si>
  <si>
    <t>www.lixinger.com/analytics/company/sz/000952/952/detail</t>
  </si>
  <si>
    <t>易明医药</t>
  </si>
  <si>
    <t>www.lixinger.com/analytics/company/sz/002826/2826/detail</t>
  </si>
  <si>
    <t>狄耐克</t>
  </si>
  <si>
    <t>www.lixinger.com/analytics/company/sz/300884/300884/detail</t>
  </si>
  <si>
    <t>阿尔特</t>
  </si>
  <si>
    <t>www.lixinger.com/analytics/company/sz/300825/300825/detail</t>
  </si>
  <si>
    <t>粤宏远Ａ</t>
  </si>
  <si>
    <t>www.lixinger.com/analytics/company/sz/000573/573/detail</t>
  </si>
  <si>
    <t>云鼎科技</t>
  </si>
  <si>
    <t>www.lixinger.com/analytics/company/sz/000409/409/detail</t>
  </si>
  <si>
    <t>云南锗业</t>
  </si>
  <si>
    <t>www.lixinger.com/analytics/company/sz/002428/2428/detail</t>
  </si>
  <si>
    <t>惠泉啤酒</t>
  </si>
  <si>
    <t>www.lixinger.com/analytics/company/sh/600573/600573/detail</t>
  </si>
  <si>
    <t>万泽股份</t>
  </si>
  <si>
    <t>www.lixinger.com/analytics/company/sz/000534/534/detail</t>
  </si>
  <si>
    <t>酷特智能</t>
  </si>
  <si>
    <t>www.lixinger.com/analytics/company/sz/300840/300840/detail</t>
  </si>
  <si>
    <t>美尔雅</t>
  </si>
  <si>
    <t>www.lixinger.com/analytics/company/sh/600107/600107/detail</t>
  </si>
  <si>
    <t>震安科技</t>
  </si>
  <si>
    <t>www.lixinger.com/analytics/company/sz/300767/300767/detail</t>
  </si>
  <si>
    <t>*ST赛为</t>
  </si>
  <si>
    <t>www.lixinger.com/analytics/company/sz/300044/300044/detail</t>
  </si>
  <si>
    <t>肇民科技</t>
  </si>
  <si>
    <t>www.lixinger.com/analytics/company/sz/301000/301000/detail</t>
  </si>
  <si>
    <t>百克生物</t>
  </si>
  <si>
    <t>www.lixinger.com/analytics/company/sh/688276/688276/detail</t>
  </si>
  <si>
    <t>海兰信</t>
  </si>
  <si>
    <t>www.lixinger.com/analytics/company/sz/300065/300065/detail</t>
  </si>
  <si>
    <t>深水规院</t>
  </si>
  <si>
    <t>www.lixinger.com/analytics/company/sz/301038/301038/detail</t>
  </si>
  <si>
    <t>中际联合</t>
  </si>
  <si>
    <t>www.lixinger.com/analytics/company/sh/605305/605305/detail</t>
  </si>
  <si>
    <t>中坚科技</t>
  </si>
  <si>
    <t>www.lixinger.com/analytics/company/sz/002779/2779/detail</t>
  </si>
  <si>
    <t>大洋生物</t>
  </si>
  <si>
    <t>www.lixinger.com/analytics/company/sz/003017/3017/detail</t>
  </si>
  <si>
    <t>科德教育</t>
  </si>
  <si>
    <t>www.lixinger.com/analytics/company/sz/300192/300192/detail</t>
  </si>
  <si>
    <t>坤彩科技</t>
  </si>
  <si>
    <t>www.lixinger.com/analytics/company/sh/603826/603826/detail</t>
  </si>
  <si>
    <t>力量钻石</t>
  </si>
  <si>
    <t>www.lixinger.com/analytics/company/sz/301071/301071/detail</t>
  </si>
  <si>
    <t>通源石油</t>
  </si>
  <si>
    <t>www.lixinger.com/analytics/company/sz/300164/300164/detail</t>
  </si>
  <si>
    <t>天晟新材</t>
  </si>
  <si>
    <t>www.lixinger.com/analytics/company/sz/300169/300169/detail</t>
  </si>
  <si>
    <t>联瑞新材</t>
  </si>
  <si>
    <t>www.lixinger.com/analytics/company/sh/688300/688300/detail</t>
  </si>
  <si>
    <t>南新制药</t>
  </si>
  <si>
    <t>www.lixinger.com/analytics/company/sh/688189/688189/detail</t>
  </si>
  <si>
    <t>豪尔赛</t>
  </si>
  <si>
    <t>www.lixinger.com/analytics/company/sz/002963/2963/detail</t>
  </si>
  <si>
    <t>佰奥智能</t>
  </si>
  <si>
    <t>www.lixinger.com/analytics/company/sz/300836/300836/detail</t>
  </si>
  <si>
    <t>因赛集团</t>
  </si>
  <si>
    <t>www.lixinger.com/analytics/company/sz/300781/300781/detail</t>
  </si>
  <si>
    <t>三友医疗</t>
  </si>
  <si>
    <t>www.lixinger.com/analytics/company/sh/688085/688085/detail</t>
  </si>
  <si>
    <t>森赫股份</t>
  </si>
  <si>
    <t>www.lixinger.com/analytics/company/sz/301056/301056/detail</t>
  </si>
  <si>
    <t>欢瑞世纪</t>
  </si>
  <si>
    <t>www.lixinger.com/analytics/company/sz/000892/892/detail</t>
  </si>
  <si>
    <t>宏力达</t>
  </si>
  <si>
    <t>www.lixinger.com/analytics/company/sh/688330/688330/detail</t>
  </si>
  <si>
    <t>新日恒力</t>
  </si>
  <si>
    <t>www.lixinger.com/analytics/company/sh/600165/600165/detail</t>
  </si>
  <si>
    <t>三夫户外</t>
  </si>
  <si>
    <t>www.lixinger.com/analytics/company/sz/002780/2780/detail</t>
  </si>
  <si>
    <t>川环科技</t>
  </si>
  <si>
    <t>www.lixinger.com/analytics/company/sz/300547/300547/detail</t>
  </si>
  <si>
    <t>天地数码</t>
  </si>
  <si>
    <t>www.lixinger.com/analytics/company/sz/300743/300743/detail</t>
  </si>
  <si>
    <t>日盈电子</t>
  </si>
  <si>
    <t>www.lixinger.com/analytics/company/sh/603286/603286/detail</t>
  </si>
  <si>
    <t>金桥信息</t>
  </si>
  <si>
    <t>www.lixinger.com/analytics/company/sh/603918/603918/detail</t>
  </si>
  <si>
    <t>恒天海龙</t>
  </si>
  <si>
    <t>www.lixinger.com/analytics/company/sz/000677/677/detail</t>
  </si>
  <si>
    <t>宏和科技</t>
  </si>
  <si>
    <t>www.lixinger.com/analytics/company/sh/603256/603256/detail</t>
  </si>
  <si>
    <t>宁波东力</t>
  </si>
  <si>
    <t>www.lixinger.com/analytics/company/sz/002164/2164/detail</t>
  </si>
  <si>
    <t>浙江世宝</t>
  </si>
  <si>
    <t>www.lixinger.com/analytics/company/sz/002703/2703/detail</t>
  </si>
  <si>
    <t>瑞德智能</t>
  </si>
  <si>
    <t>www.lixinger.com/analytics/company/sz/301135/301135/detail</t>
  </si>
  <si>
    <t>生意宝</t>
  </si>
  <si>
    <t>www.lixinger.com/analytics/company/sz/002095/2095/detail</t>
  </si>
  <si>
    <t>浙江东日</t>
  </si>
  <si>
    <t>www.lixinger.com/analytics/company/sh/600113/600113/detail</t>
  </si>
  <si>
    <t>ST和佳</t>
  </si>
  <si>
    <t>www.lixinger.com/analytics/company/sz/300273/300273/detail</t>
  </si>
  <si>
    <t>中孚信息</t>
  </si>
  <si>
    <t>www.lixinger.com/analytics/company/sz/300659/300659/detail</t>
  </si>
  <si>
    <t>祥源文化</t>
  </si>
  <si>
    <t>www.lixinger.com/analytics/company/sh/600576/600576/detail</t>
  </si>
  <si>
    <t>骏成科技</t>
  </si>
  <si>
    <t>www.lixinger.com/analytics/company/sz/301106/301106/detail</t>
  </si>
  <si>
    <t>百合股份</t>
  </si>
  <si>
    <t>www.lixinger.com/analytics/company/sh/603102/603102/detail</t>
  </si>
  <si>
    <t>南方精工</t>
  </si>
  <si>
    <t>www.lixinger.com/analytics/company/sz/002553/2553/detail</t>
  </si>
  <si>
    <t>辉煌科技</t>
  </si>
  <si>
    <t>www.lixinger.com/analytics/company/sz/002296/2296/detail</t>
  </si>
  <si>
    <t>特力Ｂ</t>
  </si>
  <si>
    <t>www.lixinger.com/analytics/company/sz/200025/200025/detail</t>
  </si>
  <si>
    <t>风光股份</t>
  </si>
  <si>
    <t>www.lixinger.com/analytics/company/sz/301100/301100/detail</t>
  </si>
  <si>
    <t>*ST美尚</t>
  </si>
  <si>
    <t>www.lixinger.com/analytics/company/sz/300495/300495/detail</t>
  </si>
  <si>
    <t>金字火腿</t>
  </si>
  <si>
    <t>www.lixinger.com/analytics/company/sz/002515/2515/detail</t>
  </si>
  <si>
    <t>海南椰岛</t>
  </si>
  <si>
    <t>www.lixinger.com/analytics/company/sh/600238/600238/detail</t>
  </si>
  <si>
    <t>易天股份</t>
  </si>
  <si>
    <t>www.lixinger.com/analytics/company/sz/300812/300812/detail</t>
  </si>
  <si>
    <t>致远互联</t>
  </si>
  <si>
    <t>www.lixinger.com/analytics/company/sh/688369/688369/detail</t>
  </si>
  <si>
    <t>力鼎光电</t>
  </si>
  <si>
    <t>www.lixinger.com/analytics/company/sh/605118/605118/detail</t>
  </si>
  <si>
    <t>清溢光电</t>
  </si>
  <si>
    <t>www.lixinger.com/analytics/company/sh/688138/688138/detail</t>
  </si>
  <si>
    <t>康希诺</t>
  </si>
  <si>
    <t>www.lixinger.com/analytics/company/sh/688185/688185/detail</t>
  </si>
  <si>
    <t>标榜股份</t>
  </si>
  <si>
    <t>www.lixinger.com/analytics/company/sz/301181/301181/detail</t>
  </si>
  <si>
    <t>艾隆科技</t>
  </si>
  <si>
    <t>www.lixinger.com/analytics/company/sh/688329/688329/detail</t>
  </si>
  <si>
    <t>矩子科技</t>
  </si>
  <si>
    <t>www.lixinger.com/analytics/company/sz/300802/300802/detail</t>
  </si>
  <si>
    <t>凯撒文化</t>
  </si>
  <si>
    <t>www.lixinger.com/analytics/company/sz/002425/2425/detail</t>
  </si>
  <si>
    <t>理工能科</t>
  </si>
  <si>
    <t>www.lixinger.com/analytics/company/sz/002322/2322/detail</t>
  </si>
  <si>
    <t>*ST安控</t>
  </si>
  <si>
    <t>www.lixinger.com/analytics/company/sz/300370/300370/detail</t>
  </si>
  <si>
    <t>世纪鼎利</t>
  </si>
  <si>
    <t>www.lixinger.com/analytics/company/sz/300050/300050/detail</t>
  </si>
  <si>
    <t>德林海</t>
  </si>
  <si>
    <t>www.lixinger.com/analytics/company/sh/688069/688069/detail</t>
  </si>
  <si>
    <t>泰福泵业</t>
  </si>
  <si>
    <t>www.lixinger.com/analytics/company/sz/300992/300992/detail</t>
  </si>
  <si>
    <t>华兰股份</t>
  </si>
  <si>
    <t>www.lixinger.com/analytics/company/sz/301093/301093/detail</t>
  </si>
  <si>
    <t>同益中</t>
  </si>
  <si>
    <t>www.lixinger.com/analytics/company/sh/688722/688722/detail</t>
  </si>
  <si>
    <t>飞天诚信</t>
  </si>
  <si>
    <t>www.lixinger.com/analytics/company/sz/300386/300386/detail</t>
  </si>
  <si>
    <t>德龙激光</t>
  </si>
  <si>
    <t>www.lixinger.com/analytics/company/sh/688170/688170/detail</t>
  </si>
  <si>
    <t>吉贝尔</t>
  </si>
  <si>
    <t>www.lixinger.com/analytics/company/sh/688566/688566/detail</t>
  </si>
  <si>
    <t>华录百纳</t>
  </si>
  <si>
    <t>www.lixinger.com/analytics/company/sz/300291/300291/detail</t>
  </si>
  <si>
    <t>协和电子</t>
  </si>
  <si>
    <t>www.lixinger.com/analytics/company/sh/605258/605258/detail</t>
  </si>
  <si>
    <t>*ST科迪</t>
  </si>
  <si>
    <t>www.lixinger.com/analytics/company/sz/002770/2770/detail</t>
  </si>
  <si>
    <t>东宝生物</t>
  </si>
  <si>
    <t>www.lixinger.com/analytics/company/sz/300239/300239/detail</t>
  </si>
  <si>
    <t>登海种业</t>
  </si>
  <si>
    <t>www.lixinger.com/analytics/company/sz/002041/2041/detail</t>
  </si>
  <si>
    <t>东港股份</t>
  </si>
  <si>
    <t>www.lixinger.com/analytics/company/sz/002117/2117/detail</t>
  </si>
  <si>
    <t>两面针</t>
  </si>
  <si>
    <t>www.lixinger.com/analytics/company/sh/600249/600249/detail</t>
  </si>
  <si>
    <t>本川智能</t>
  </si>
  <si>
    <t>www.lixinger.com/analytics/company/sz/300964/300964/detail</t>
  </si>
  <si>
    <t>沙河股份</t>
  </si>
  <si>
    <t>www.lixinger.com/analytics/company/sz/000014/14/detail</t>
  </si>
  <si>
    <t>大地海洋</t>
  </si>
  <si>
    <t>www.lixinger.com/analytics/company/sz/301068/301068/detail</t>
  </si>
  <si>
    <t>福昕软件</t>
  </si>
  <si>
    <t>www.lixinger.com/analytics/company/sh/688095/688095/detail</t>
  </si>
  <si>
    <t>屹通新材</t>
  </si>
  <si>
    <t>www.lixinger.com/analytics/company/sz/300930/300930/detail</t>
  </si>
  <si>
    <t>莱特光电</t>
  </si>
  <si>
    <t>www.lixinger.com/analytics/company/sh/688150/688150/detail</t>
  </si>
  <si>
    <t>新开普</t>
  </si>
  <si>
    <t>www.lixinger.com/analytics/company/sz/300248/300248/detail</t>
  </si>
  <si>
    <t>宁波方正</t>
  </si>
  <si>
    <t>www.lixinger.com/analytics/company/sz/300998/300998/detail</t>
  </si>
  <si>
    <t>宏达高科</t>
  </si>
  <si>
    <t>www.lixinger.com/analytics/company/sz/002144/2144/detail</t>
  </si>
  <si>
    <t>上海沿浦</t>
  </si>
  <si>
    <t>www.lixinger.com/analytics/company/sh/605128/605128/detail</t>
  </si>
  <si>
    <t>青云科技</t>
  </si>
  <si>
    <t>www.lixinger.com/analytics/company/sh/688316/688316/detail</t>
  </si>
  <si>
    <t>凯龙高科</t>
  </si>
  <si>
    <t>www.lixinger.com/analytics/company/sz/300912/300912/detail</t>
  </si>
  <si>
    <t>银河微电</t>
  </si>
  <si>
    <t>www.lixinger.com/analytics/company/sh/688689/688689/detail</t>
  </si>
  <si>
    <t>弘讯科技</t>
  </si>
  <si>
    <t>www.lixinger.com/analytics/company/sh/603015/603015/detail</t>
  </si>
  <si>
    <t>北矿科技</t>
  </si>
  <si>
    <t>www.lixinger.com/analytics/company/sh/600980/600980/detail</t>
  </si>
  <si>
    <t>上海洗霸</t>
  </si>
  <si>
    <t>www.lixinger.com/analytics/company/sh/603200/603200/detail</t>
  </si>
  <si>
    <t>科美诊断</t>
  </si>
  <si>
    <t>www.lixinger.com/analytics/company/sh/688468/688468/detail</t>
  </si>
  <si>
    <t>达威股份</t>
  </si>
  <si>
    <t>www.lixinger.com/analytics/company/sz/300535/300535/detail</t>
  </si>
  <si>
    <t>中兰环保</t>
  </si>
  <si>
    <t>www.lixinger.com/analytics/company/sz/300854/300854/detail</t>
  </si>
  <si>
    <t>大宏立</t>
  </si>
  <si>
    <t>www.lixinger.com/analytics/company/sz/300865/300865/detail</t>
  </si>
  <si>
    <t>皇庭国际</t>
  </si>
  <si>
    <t>www.lixinger.com/analytics/company/sz/000056/56/detail</t>
  </si>
  <si>
    <t>开开实业</t>
  </si>
  <si>
    <t>www.lixinger.com/analytics/company/sh/600272/600272/detail</t>
  </si>
  <si>
    <t>建龙微纳</t>
  </si>
  <si>
    <t>www.lixinger.com/analytics/company/sh/688357/688357/detail</t>
  </si>
  <si>
    <t>深深房Ａ</t>
  </si>
  <si>
    <t>www.lixinger.com/analytics/company/sz/000029/29/detail</t>
  </si>
  <si>
    <t>雷迪克</t>
  </si>
  <si>
    <t>www.lixinger.com/analytics/company/sz/300652/300652/detail</t>
  </si>
  <si>
    <t>海默科技</t>
  </si>
  <si>
    <t>www.lixinger.com/analytics/company/sz/300084/300084/detail</t>
  </si>
  <si>
    <t>山河药辅</t>
  </si>
  <si>
    <t>www.lixinger.com/analytics/company/sz/300452/300452/detail</t>
  </si>
  <si>
    <t>浙江黎明</t>
  </si>
  <si>
    <t>www.lixinger.com/analytics/company/sh/603048/603048/detail</t>
  </si>
  <si>
    <t>楚天龙</t>
  </si>
  <si>
    <t>www.lixinger.com/analytics/company/sz/003040/3040/detail</t>
  </si>
  <si>
    <t>久量股份</t>
  </si>
  <si>
    <t>www.lixinger.com/analytics/company/sz/300808/300808/detail</t>
  </si>
  <si>
    <t>欧科亿</t>
  </si>
  <si>
    <t>www.lixinger.com/analytics/company/sh/688308/688308/detail</t>
  </si>
  <si>
    <t>钢研纳克</t>
  </si>
  <si>
    <t>www.lixinger.com/analytics/company/sz/300797/300797/detail</t>
  </si>
  <si>
    <t>明月镜片</t>
  </si>
  <si>
    <t>www.lixinger.com/analytics/company/sz/301101/301101/detail</t>
  </si>
  <si>
    <t>东方通</t>
  </si>
  <si>
    <t>www.lixinger.com/analytics/company/sz/300379/300379/detail</t>
  </si>
  <si>
    <t>恒华科技</t>
  </si>
  <si>
    <t>www.lixinger.com/analytics/company/sz/300365/300365/detail</t>
  </si>
  <si>
    <t>金百泽</t>
  </si>
  <si>
    <t>www.lixinger.com/analytics/company/sz/301041/301041/detail</t>
  </si>
  <si>
    <t>普源精电</t>
  </si>
  <si>
    <t>www.lixinger.com/analytics/company/sh/688337/688337/detail</t>
  </si>
  <si>
    <t>宝莫股份</t>
  </si>
  <si>
    <t>www.lixinger.com/analytics/company/sz/002476/2476/detail</t>
  </si>
  <si>
    <t>赛特新材</t>
  </si>
  <si>
    <t>www.lixinger.com/analytics/company/sh/688398/688398/detail</t>
  </si>
  <si>
    <t>安居宝</t>
  </si>
  <si>
    <t>www.lixinger.com/analytics/company/sz/300155/300155/detail</t>
  </si>
  <si>
    <t>恒为科技</t>
  </si>
  <si>
    <t>www.lixinger.com/analytics/company/sh/603496/603496/detail</t>
  </si>
  <si>
    <t>诺泰生物</t>
  </si>
  <si>
    <t>www.lixinger.com/analytics/company/sh/688076/688076/detail</t>
  </si>
  <si>
    <t>运机集团</t>
  </si>
  <si>
    <t>www.lixinger.com/analytics/company/sz/001288/1288/detail</t>
  </si>
  <si>
    <t>延华智能</t>
  </si>
  <si>
    <t>www.lixinger.com/analytics/company/sz/002178/2178/detail</t>
  </si>
  <si>
    <t>如意集团</t>
  </si>
  <si>
    <t>www.lixinger.com/analytics/company/sz/002193/2193/detail</t>
  </si>
  <si>
    <t>万德斯</t>
  </si>
  <si>
    <t>www.lixinger.com/analytics/company/sh/688178/688178/detail</t>
  </si>
  <si>
    <t>康芝药业</t>
  </si>
  <si>
    <t>www.lixinger.com/analytics/company/sz/300086/300086/detail</t>
  </si>
  <si>
    <t>严牌股份</t>
  </si>
  <si>
    <t>www.lixinger.com/analytics/company/sz/301081/301081/detail</t>
  </si>
  <si>
    <t>星网宇达</t>
  </si>
  <si>
    <t>www.lixinger.com/analytics/company/sz/002829/2829/detail</t>
  </si>
  <si>
    <t>百奥泰</t>
  </si>
  <si>
    <t>www.lixinger.com/analytics/company/sh/688177/688177/detail</t>
  </si>
  <si>
    <t>荣科科技</t>
  </si>
  <si>
    <t>www.lixinger.com/analytics/company/sz/300290/300290/detail</t>
  </si>
  <si>
    <t>国盛智科</t>
  </si>
  <si>
    <t>www.lixinger.com/analytics/company/sh/688558/688558/detail</t>
  </si>
  <si>
    <t>新锐股份</t>
  </si>
  <si>
    <t>www.lixinger.com/analytics/company/sh/688257/688257/detail</t>
  </si>
  <si>
    <t>青岛食品</t>
  </si>
  <si>
    <t>www.lixinger.com/analytics/company/sz/001219/1219/detail</t>
  </si>
  <si>
    <t>当代文体</t>
  </si>
  <si>
    <t>www.lixinger.com/analytics/company/sh/600136/600136/detail</t>
  </si>
  <si>
    <t>嘉应制药</t>
  </si>
  <si>
    <t>www.lixinger.com/analytics/company/sz/002198/2198/detail</t>
  </si>
  <si>
    <t>融捷健康</t>
  </si>
  <si>
    <t>www.lixinger.com/analytics/company/sz/300247/300247/detail</t>
  </si>
  <si>
    <t>棒杰股份</t>
  </si>
  <si>
    <t>www.lixinger.com/analytics/company/sz/002634/2634/detail</t>
  </si>
  <si>
    <t>正和生态</t>
  </si>
  <si>
    <t>www.lixinger.com/analytics/company/sh/605069/605069/detail</t>
  </si>
  <si>
    <t>*ST德奥</t>
  </si>
  <si>
    <t>www.lixinger.com/analytics/company/sz/002260/2260/detail</t>
  </si>
  <si>
    <t>华立科技</t>
  </si>
  <si>
    <t>www.lixinger.com/analytics/company/sz/301011/301011/detail</t>
  </si>
  <si>
    <t>高争民爆</t>
  </si>
  <si>
    <t>www.lixinger.com/analytics/company/sz/002827/2827/detail</t>
  </si>
  <si>
    <t>哈投股份</t>
  </si>
  <si>
    <t>www.lixinger.com/analytics/company/sh/600864/600864/detail</t>
  </si>
  <si>
    <t>黄山旅游</t>
  </si>
  <si>
    <t>自然景区</t>
  </si>
  <si>
    <t>www.lixinger.com/analytics/company/sh/600054/600054/detail</t>
  </si>
  <si>
    <t>兴民智通</t>
  </si>
  <si>
    <t>www.lixinger.com/analytics/company/sz/002355/2355/detail</t>
  </si>
  <si>
    <t>迪威尔</t>
  </si>
  <si>
    <t>www.lixinger.com/analytics/company/sh/688377/688377/detail</t>
  </si>
  <si>
    <t>三星新材</t>
  </si>
  <si>
    <t>www.lixinger.com/analytics/company/sh/603578/603578/detail</t>
  </si>
  <si>
    <t>读者传媒</t>
  </si>
  <si>
    <t>www.lixinger.com/analytics/company/sh/603999/603999/detail</t>
  </si>
  <si>
    <t>美迪凯</t>
  </si>
  <si>
    <t>www.lixinger.com/analytics/company/sh/688079/688079/detail</t>
  </si>
  <si>
    <t>青海华鼎</t>
  </si>
  <si>
    <t>www.lixinger.com/analytics/company/sh/600243/600243/detail</t>
  </si>
  <si>
    <t>奥普特</t>
  </si>
  <si>
    <t>www.lixinger.com/analytics/company/sh/688686/688686/detail</t>
  </si>
  <si>
    <t>ST沪科</t>
  </si>
  <si>
    <t>www.lixinger.com/analytics/company/sh/600608/600608/detail</t>
  </si>
  <si>
    <t>烽火电子</t>
  </si>
  <si>
    <t>www.lixinger.com/analytics/company/sz/000561/561/detail</t>
  </si>
  <si>
    <t>创新医疗</t>
  </si>
  <si>
    <t>www.lixinger.com/analytics/company/sz/002173/2173/detail</t>
  </si>
  <si>
    <t>峨眉山Ａ</t>
  </si>
  <si>
    <t>www.lixinger.com/analytics/company/sz/000888/888/detail</t>
  </si>
  <si>
    <t>亨迪药业</t>
  </si>
  <si>
    <t>www.lixinger.com/analytics/company/sz/301211/301211/detail</t>
  </si>
  <si>
    <t>名臣健康</t>
  </si>
  <si>
    <t>www.lixinger.com/analytics/company/sz/002919/2919/detail</t>
  </si>
  <si>
    <t>海泰发展</t>
  </si>
  <si>
    <t>www.lixinger.com/analytics/company/sh/600082/600082/detail</t>
  </si>
  <si>
    <t>灵康药业</t>
  </si>
  <si>
    <t>www.lixinger.com/analytics/company/sh/603669/603669/detail</t>
  </si>
  <si>
    <t>虹软科技</t>
  </si>
  <si>
    <t>www.lixinger.com/analytics/company/sh/688088/688088/detail</t>
  </si>
  <si>
    <t>南大环境</t>
  </si>
  <si>
    <t>www.lixinger.com/analytics/company/sz/300864/300864/detail</t>
  </si>
  <si>
    <t>光力科技</t>
  </si>
  <si>
    <t>www.lixinger.com/analytics/company/sz/300480/300480/detail</t>
  </si>
  <si>
    <t>益民集团</t>
  </si>
  <si>
    <t>www.lixinger.com/analytics/company/sh/600824/600824/detail</t>
  </si>
  <si>
    <t>泰永长征</t>
  </si>
  <si>
    <t>www.lixinger.com/analytics/company/sz/002927/2927/detail</t>
  </si>
  <si>
    <t>敦煌种业</t>
  </si>
  <si>
    <t>www.lixinger.com/analytics/company/sh/600354/600354/detail</t>
  </si>
  <si>
    <t>金奥博</t>
  </si>
  <si>
    <t>www.lixinger.com/analytics/company/sz/002917/2917/detail</t>
  </si>
  <si>
    <t>深圳瑞捷</t>
  </si>
  <si>
    <t>www.lixinger.com/analytics/company/sz/300977/300977/detail</t>
  </si>
  <si>
    <t>雷柏科技</t>
  </si>
  <si>
    <t>www.lixinger.com/analytics/company/sz/002577/2577/detail</t>
  </si>
  <si>
    <t>龙源技术</t>
  </si>
  <si>
    <t>www.lixinger.com/analytics/company/sz/300105/300105/detail</t>
  </si>
  <si>
    <t>新坐标</t>
  </si>
  <si>
    <t>www.lixinger.com/analytics/company/sh/603040/603040/detail</t>
  </si>
  <si>
    <t>曲江文旅</t>
  </si>
  <si>
    <t>www.lixinger.com/analytics/company/sh/600706/600706/detail</t>
  </si>
  <si>
    <t>威创股份</t>
  </si>
  <si>
    <t>www.lixinger.com/analytics/company/sz/002308/2308/detail</t>
  </si>
  <si>
    <t>中旗新材</t>
  </si>
  <si>
    <t>www.lixinger.com/analytics/company/sz/001212/1212/detail</t>
  </si>
  <si>
    <t>名家汇</t>
  </si>
  <si>
    <t>www.lixinger.com/analytics/company/sz/300506/300506/detail</t>
  </si>
  <si>
    <t>尤安设计</t>
  </si>
  <si>
    <t>www.lixinger.com/analytics/company/sz/300983/300983/detail</t>
  </si>
  <si>
    <t>先河环保</t>
  </si>
  <si>
    <t>www.lixinger.com/analytics/company/sz/300137/300137/detail</t>
  </si>
  <si>
    <t>名雕股份</t>
  </si>
  <si>
    <t>www.lixinger.com/analytics/company/sz/002830/2830/detail</t>
  </si>
  <si>
    <t>淳中科技</t>
  </si>
  <si>
    <t>www.lixinger.com/analytics/company/sh/603516/603516/detail</t>
  </si>
  <si>
    <t>光库科技</t>
  </si>
  <si>
    <t>www.lixinger.com/analytics/company/sz/300620/300620/detail</t>
  </si>
  <si>
    <t>纽泰格</t>
  </si>
  <si>
    <t>www.lixinger.com/analytics/company/sz/301229/301229/detail</t>
  </si>
  <si>
    <t>神工股份</t>
  </si>
  <si>
    <t>www.lixinger.com/analytics/company/sh/688233/688233/detail</t>
  </si>
  <si>
    <t>宏盛股份</t>
  </si>
  <si>
    <t>www.lixinger.com/analytics/company/sh/603090/603090/detail</t>
  </si>
  <si>
    <t>华通热力</t>
  </si>
  <si>
    <t>www.lixinger.com/analytics/company/sz/002893/2893/detail</t>
  </si>
  <si>
    <t>倍杰特</t>
  </si>
  <si>
    <t>www.lixinger.com/analytics/company/sz/300774/300774/detail</t>
  </si>
  <si>
    <t>华鹏飞</t>
  </si>
  <si>
    <t>www.lixinger.com/analytics/company/sz/300350/300350/detail</t>
  </si>
  <si>
    <t>永安行</t>
  </si>
  <si>
    <t>www.lixinger.com/analytics/company/sh/603776/603776/detail</t>
  </si>
  <si>
    <t>浙矿股份</t>
  </si>
  <si>
    <t>www.lixinger.com/analytics/company/sz/300837/300837/detail</t>
  </si>
  <si>
    <t>欧比特</t>
  </si>
  <si>
    <t>www.lixinger.com/analytics/company/sz/300053/300053/detail</t>
  </si>
  <si>
    <t>世华科技</t>
  </si>
  <si>
    <t>www.lixinger.com/analytics/company/sh/688093/688093/detail</t>
  </si>
  <si>
    <t>微芯生物</t>
  </si>
  <si>
    <t>www.lixinger.com/analytics/company/sh/688321/688321/detail</t>
  </si>
  <si>
    <t>神马电力</t>
  </si>
  <si>
    <t>www.lixinger.com/analytics/company/sh/603530/603530/detail</t>
  </si>
  <si>
    <t>汇隆新材</t>
  </si>
  <si>
    <t>www.lixinger.com/analytics/company/sz/301057/301057/detail</t>
  </si>
  <si>
    <t>安记食品</t>
  </si>
  <si>
    <t>www.lixinger.com/analytics/company/sh/603696/603696/detail</t>
  </si>
  <si>
    <t>扬子新材</t>
  </si>
  <si>
    <t>www.lixinger.com/analytics/company/sz/002652/2652/detail</t>
  </si>
  <si>
    <t>上海亚虹</t>
  </si>
  <si>
    <t>www.lixinger.com/analytics/company/sh/603159/603159/detail</t>
  </si>
  <si>
    <t>佳力图</t>
  </si>
  <si>
    <t>www.lixinger.com/analytics/company/sh/603912/603912/detail</t>
  </si>
  <si>
    <t>粤传媒</t>
  </si>
  <si>
    <t>www.lixinger.com/analytics/company/sz/002181/2181/detail</t>
  </si>
  <si>
    <t>赛摩智能</t>
  </si>
  <si>
    <t>www.lixinger.com/analytics/company/sz/300466/300466/detail</t>
  </si>
  <si>
    <t>超达装备</t>
  </si>
  <si>
    <t>www.lixinger.com/analytics/company/sz/301186/301186/detail</t>
  </si>
  <si>
    <t>杰创智能</t>
  </si>
  <si>
    <t>www.lixinger.com/analytics/company/sz/301248/301248/detail</t>
  </si>
  <si>
    <t>华谊兄弟</t>
  </si>
  <si>
    <t>www.lixinger.com/analytics/company/sz/300027/300027/detail</t>
  </si>
  <si>
    <t>洪汇新材</t>
  </si>
  <si>
    <t>www.lixinger.com/analytics/company/sz/002802/2802/detail</t>
  </si>
  <si>
    <t>威龙股份</t>
  </si>
  <si>
    <t>www.lixinger.com/analytics/company/sh/603779/603779/detail</t>
  </si>
  <si>
    <t>宇晶股份</t>
  </si>
  <si>
    <t>www.lixinger.com/analytics/company/sz/002943/2943/detail</t>
  </si>
  <si>
    <t>恒锋工具</t>
  </si>
  <si>
    <t>www.lixinger.com/analytics/company/sz/300488/300488/detail</t>
  </si>
  <si>
    <t>罗曼股份</t>
  </si>
  <si>
    <t>www.lixinger.com/analytics/company/sh/605289/605289/detail</t>
  </si>
  <si>
    <t>华力创通</t>
  </si>
  <si>
    <t>www.lixinger.com/analytics/company/sz/300045/300045/detail</t>
  </si>
  <si>
    <t>冠昊生物</t>
  </si>
  <si>
    <t>www.lixinger.com/analytics/company/sz/300238/300238/detail</t>
  </si>
  <si>
    <t>绿茵生态</t>
  </si>
  <si>
    <t>www.lixinger.com/analytics/company/sz/002887/2887/detail</t>
  </si>
  <si>
    <t>华平股份</t>
  </si>
  <si>
    <t>www.lixinger.com/analytics/company/sz/300074/300074/detail</t>
  </si>
  <si>
    <t>同兴环保</t>
  </si>
  <si>
    <t>www.lixinger.com/analytics/company/sz/003027/3027/detail</t>
  </si>
  <si>
    <t>联泰环保</t>
  </si>
  <si>
    <t>www.lixinger.com/analytics/company/sh/603797/603797/detail</t>
  </si>
  <si>
    <t>光云科技</t>
  </si>
  <si>
    <t>www.lixinger.com/analytics/company/sh/688365/688365/detail</t>
  </si>
  <si>
    <t>中捷精工</t>
  </si>
  <si>
    <t>www.lixinger.com/analytics/company/sz/301072/301072/detail</t>
  </si>
  <si>
    <t>深城交</t>
  </si>
  <si>
    <t>www.lixinger.com/analytics/company/sz/301091/301091/detail</t>
  </si>
  <si>
    <t>开元教育</t>
  </si>
  <si>
    <t>www.lixinger.com/analytics/company/sz/300338/300338/detail</t>
  </si>
  <si>
    <t>昀冢科技</t>
  </si>
  <si>
    <t>www.lixinger.com/analytics/company/sh/688260/688260/detail</t>
  </si>
  <si>
    <t>创益通</t>
  </si>
  <si>
    <t>www.lixinger.com/analytics/company/sz/300991/300991/detail</t>
  </si>
  <si>
    <t>祥明智能</t>
  </si>
  <si>
    <t>www.lixinger.com/analytics/company/sz/301226/301226/detail</t>
  </si>
  <si>
    <t>华康医疗</t>
  </si>
  <si>
    <t>www.lixinger.com/analytics/company/sz/301235/301235/detail</t>
  </si>
  <si>
    <t>松井股份</t>
  </si>
  <si>
    <t>www.lixinger.com/analytics/company/sh/688157/688157/detail</t>
  </si>
  <si>
    <t>金富科技</t>
  </si>
  <si>
    <t>www.lixinger.com/analytics/company/sz/003018/3018/detail</t>
  </si>
  <si>
    <t>南凌科技</t>
  </si>
  <si>
    <t>www.lixinger.com/analytics/company/sz/300921/300921/detail</t>
  </si>
  <si>
    <t>宏达新材</t>
  </si>
  <si>
    <t>www.lixinger.com/analytics/company/sz/002211/2211/detail</t>
  </si>
  <si>
    <t>海辰药业</t>
  </si>
  <si>
    <t>www.lixinger.com/analytics/company/sz/300584/300584/detail</t>
  </si>
  <si>
    <t>华铭智能</t>
  </si>
  <si>
    <t>www.lixinger.com/analytics/company/sz/300462/300462/detail</t>
  </si>
  <si>
    <t>永吉股份</t>
  </si>
  <si>
    <t>www.lixinger.com/analytics/company/sh/603058/603058/detail</t>
  </si>
  <si>
    <t>豆神教育</t>
  </si>
  <si>
    <t>www.lixinger.com/analytics/company/sz/300010/300010/detail</t>
  </si>
  <si>
    <t>芯海科技</t>
  </si>
  <si>
    <t>www.lixinger.com/analytics/company/sh/688595/688595/detail</t>
  </si>
  <si>
    <t>凯众股份</t>
  </si>
  <si>
    <t>www.lixinger.com/analytics/company/sh/603037/603037/detail</t>
  </si>
  <si>
    <t>全通教育</t>
  </si>
  <si>
    <t>www.lixinger.com/analytics/company/sz/300359/300359/detail</t>
  </si>
  <si>
    <t>爱博医疗</t>
  </si>
  <si>
    <t>www.lixinger.com/analytics/company/sh/688050/688050/detail</t>
  </si>
  <si>
    <t>浙江恒威</t>
  </si>
  <si>
    <t>www.lixinger.com/analytics/company/sz/301222/301222/detail</t>
  </si>
  <si>
    <t>民德电子</t>
  </si>
  <si>
    <t>www.lixinger.com/analytics/company/sz/300656/300656/detail</t>
  </si>
  <si>
    <t>泰嘉股份</t>
  </si>
  <si>
    <t>www.lixinger.com/analytics/company/sz/002843/2843/detail</t>
  </si>
  <si>
    <t>锐奇股份</t>
  </si>
  <si>
    <t>www.lixinger.com/analytics/company/sz/300126/300126/detail</t>
  </si>
  <si>
    <t>华锋股份</t>
  </si>
  <si>
    <t>www.lixinger.com/analytics/company/sz/002806/2806/detail</t>
  </si>
  <si>
    <t>古鳌科技</t>
  </si>
  <si>
    <t>www.lixinger.com/analytics/company/sz/300551/300551/detail</t>
  </si>
  <si>
    <t>久远银海</t>
  </si>
  <si>
    <t>www.lixinger.com/analytics/company/sz/002777/2777/detail</t>
  </si>
  <si>
    <t>气派科技</t>
  </si>
  <si>
    <t>www.lixinger.com/analytics/company/sh/688216/688216/detail</t>
  </si>
  <si>
    <t>震有科技</t>
  </si>
  <si>
    <t>www.lixinger.com/analytics/company/sh/688418/688418/detail</t>
  </si>
  <si>
    <t>聆达股份</t>
  </si>
  <si>
    <t>www.lixinger.com/analytics/company/sz/300125/300125/detail</t>
  </si>
  <si>
    <t>天和防务</t>
  </si>
  <si>
    <t>www.lixinger.com/analytics/company/sz/300397/300397/detail</t>
  </si>
  <si>
    <t>大港股份</t>
  </si>
  <si>
    <t>www.lixinger.com/analytics/company/sz/002077/2077/detail</t>
  </si>
  <si>
    <t>正海生物</t>
  </si>
  <si>
    <t>www.lixinger.com/analytics/company/sz/300653/300653/detail</t>
  </si>
  <si>
    <t>滨海能源</t>
  </si>
  <si>
    <t>www.lixinger.com/analytics/company/sz/000695/695/detail</t>
  </si>
  <si>
    <t>万辰生物</t>
  </si>
  <si>
    <t>www.lixinger.com/analytics/company/sz/300972/300972/detail</t>
  </si>
  <si>
    <t>东来技术</t>
  </si>
  <si>
    <t>www.lixinger.com/analytics/company/sh/688129/688129/detail</t>
  </si>
  <si>
    <t>*ST广珠</t>
  </si>
  <si>
    <t>www.lixinger.com/analytics/company/sh/600382/600382/detail</t>
  </si>
  <si>
    <t>中银绒业</t>
  </si>
  <si>
    <t>www.lixinger.com/analytics/company/sz/000982/982/detail</t>
  </si>
  <si>
    <t>阳光诺和</t>
  </si>
  <si>
    <t>www.lixinger.com/analytics/company/sh/688621/688621/detail</t>
  </si>
  <si>
    <t>炬光科技</t>
  </si>
  <si>
    <t>www.lixinger.com/analytics/company/sh/688167/688167/detail</t>
  </si>
  <si>
    <t>富士莱</t>
  </si>
  <si>
    <t>www.lixinger.com/analytics/company/sz/301258/301258/detail</t>
  </si>
  <si>
    <t>宝丽迪</t>
  </si>
  <si>
    <t>www.lixinger.com/analytics/company/sz/300905/300905/detail</t>
  </si>
  <si>
    <t>创业黑马</t>
  </si>
  <si>
    <t>www.lixinger.com/analytics/company/sz/300688/300688/detail</t>
  </si>
  <si>
    <t>泽璟制药</t>
  </si>
  <si>
    <t>www.lixinger.com/analytics/company/sh/688266/688266/detail</t>
  </si>
  <si>
    <t>奥翔药业</t>
  </si>
  <si>
    <t>www.lixinger.com/analytics/company/sh/603229/603229/detail</t>
  </si>
  <si>
    <t>德迈仕</t>
  </si>
  <si>
    <t>www.lixinger.com/analytics/company/sz/301007/301007/detail</t>
  </si>
  <si>
    <t>盛德鑫泰</t>
  </si>
  <si>
    <t>www.lixinger.com/analytics/company/sz/300881/300881/detail</t>
  </si>
  <si>
    <t>国力股份</t>
  </si>
  <si>
    <t>www.lixinger.com/analytics/company/sh/688103/688103/detail</t>
  </si>
  <si>
    <t>天源环保</t>
  </si>
  <si>
    <t>www.lixinger.com/analytics/company/sz/301127/301127/detail</t>
  </si>
  <si>
    <t>金花股份</t>
  </si>
  <si>
    <t>www.lixinger.com/analytics/company/sh/600080/600080/detail</t>
  </si>
  <si>
    <t>特力Ａ</t>
  </si>
  <si>
    <t>www.lixinger.com/analytics/company/sz/000025/25/detail</t>
  </si>
  <si>
    <t>安必平</t>
  </si>
  <si>
    <t>www.lixinger.com/analytics/company/sh/688393/688393/detail</t>
  </si>
  <si>
    <t>新宏泰</t>
  </si>
  <si>
    <t>www.lixinger.com/analytics/company/sh/603016/603016/detail</t>
  </si>
  <si>
    <t>科创新源</t>
  </si>
  <si>
    <t>www.lixinger.com/analytics/company/sz/300731/300731/detail</t>
  </si>
  <si>
    <t>沪宁股份</t>
  </si>
  <si>
    <t>www.lixinger.com/analytics/company/sz/300669/300669/detail</t>
  </si>
  <si>
    <t>元成股份</t>
  </si>
  <si>
    <t>www.lixinger.com/analytics/company/sh/603388/603388/detail</t>
  </si>
  <si>
    <t>三角防务</t>
  </si>
  <si>
    <t>www.lixinger.com/analytics/company/sz/300775/300775/detail</t>
  </si>
  <si>
    <t>金房节能</t>
  </si>
  <si>
    <t>www.lixinger.com/analytics/company/sz/001210/1210/detail</t>
  </si>
  <si>
    <t>宝馨科技</t>
  </si>
  <si>
    <t>www.lixinger.com/analytics/company/sz/002514/2514/detail</t>
  </si>
  <si>
    <t>裕兴股份</t>
  </si>
  <si>
    <t>www.lixinger.com/analytics/company/sz/300305/300305/detail</t>
  </si>
  <si>
    <t>英诺激光</t>
  </si>
  <si>
    <t>www.lixinger.com/analytics/company/sz/301021/301021/detail</t>
  </si>
  <si>
    <t>贝肯能源</t>
  </si>
  <si>
    <t>www.lixinger.com/analytics/company/sz/002828/2828/detail</t>
  </si>
  <si>
    <t>华研精机</t>
  </si>
  <si>
    <t>www.lixinger.com/analytics/company/sz/301138/301138/detail</t>
  </si>
  <si>
    <t>*ST西发</t>
  </si>
  <si>
    <t>www.lixinger.com/analytics/company/sz/000752/752/detail</t>
  </si>
  <si>
    <t>仕净科技</t>
  </si>
  <si>
    <t>www.lixinger.com/analytics/company/sz/301030/301030/detail</t>
  </si>
  <si>
    <t>百胜智能</t>
  </si>
  <si>
    <t>www.lixinger.com/analytics/company/sz/301083/301083/detail</t>
  </si>
  <si>
    <t>壶化股份</t>
  </si>
  <si>
    <t>www.lixinger.com/analytics/company/sz/003002/3002/detail</t>
  </si>
  <si>
    <t>南卫股份</t>
  </si>
  <si>
    <t>www.lixinger.com/analytics/company/sh/603880/603880/detail</t>
  </si>
  <si>
    <t>*ST星星</t>
  </si>
  <si>
    <t>www.lixinger.com/analytics/company/sz/300256/300256/detail</t>
  </si>
  <si>
    <t>四方光电</t>
  </si>
  <si>
    <t>www.lixinger.com/analytics/company/sh/688665/688665/detail</t>
  </si>
  <si>
    <t>ST八菱</t>
  </si>
  <si>
    <t>www.lixinger.com/analytics/company/sz/002592/2592/detail</t>
  </si>
  <si>
    <t>每日互动</t>
  </si>
  <si>
    <t>www.lixinger.com/analytics/company/sz/300766/300766/detail</t>
  </si>
  <si>
    <t>百普赛斯</t>
  </si>
  <si>
    <t>www.lixinger.com/analytics/company/sz/301080/301080/detail</t>
  </si>
  <si>
    <t>鼎龙文化</t>
  </si>
  <si>
    <t>www.lixinger.com/analytics/company/sz/002502/2502/detail</t>
  </si>
  <si>
    <t>数字认证</t>
  </si>
  <si>
    <t>www.lixinger.com/analytics/company/sz/300579/300579/detail</t>
  </si>
  <si>
    <t>招标股份</t>
  </si>
  <si>
    <t>www.lixinger.com/analytics/company/sz/301136/301136/detail</t>
  </si>
  <si>
    <t>ST商城</t>
  </si>
  <si>
    <t>www.lixinger.com/analytics/company/sh/600306/600306/detail</t>
  </si>
  <si>
    <t>海泰科</t>
  </si>
  <si>
    <t>www.lixinger.com/analytics/company/sz/301022/301022/detail</t>
  </si>
  <si>
    <t>建科机械</t>
  </si>
  <si>
    <t>www.lixinger.com/analytics/company/sz/300823/300823/detail</t>
  </si>
  <si>
    <t>兰剑智能</t>
  </si>
  <si>
    <t>www.lixinger.com/analytics/company/sh/688557/688557/detail</t>
  </si>
  <si>
    <t>朗玛信息</t>
  </si>
  <si>
    <t>www.lixinger.com/analytics/company/sz/300288/300288/detail</t>
  </si>
  <si>
    <t>大龙地产</t>
  </si>
  <si>
    <t>www.lixinger.com/analytics/company/sh/600159/600159/detail</t>
  </si>
  <si>
    <t>绿岛风</t>
  </si>
  <si>
    <t>www.lixinger.com/analytics/company/sz/301043/301043/detail</t>
  </si>
  <si>
    <t>嘉泽新能</t>
  </si>
  <si>
    <t>www.lixinger.com/analytics/company/sh/601619/601619/detail</t>
  </si>
  <si>
    <t>多瑞医药</t>
  </si>
  <si>
    <t>www.lixinger.com/analytics/company/sz/301075/301075/detail</t>
  </si>
  <si>
    <t>榕基软件</t>
  </si>
  <si>
    <t>www.lixinger.com/analytics/company/sz/002474/2474/detail</t>
  </si>
  <si>
    <t>新风光</t>
  </si>
  <si>
    <t>www.lixinger.com/analytics/company/sh/688663/688663/detail</t>
  </si>
  <si>
    <t>*ST沈机</t>
  </si>
  <si>
    <t>www.lixinger.com/analytics/company/sz/000410/410/detail</t>
  </si>
  <si>
    <t>贝斯美</t>
  </si>
  <si>
    <t>www.lixinger.com/analytics/company/sz/300796/300796/detail</t>
  </si>
  <si>
    <t>聚杰微纤</t>
  </si>
  <si>
    <t>www.lixinger.com/analytics/company/sz/300819/300819/detail</t>
  </si>
  <si>
    <t>玉马遮阳</t>
  </si>
  <si>
    <t>www.lixinger.com/analytics/company/sz/300993/300993/detail</t>
  </si>
  <si>
    <t>康惠制药</t>
  </si>
  <si>
    <t>www.lixinger.com/analytics/company/sh/603139/603139/detail</t>
  </si>
  <si>
    <t>山科智能</t>
  </si>
  <si>
    <t>www.lixinger.com/analytics/company/sz/300897/300897/detail</t>
  </si>
  <si>
    <t>澄天伟业</t>
  </si>
  <si>
    <t>www.lixinger.com/analytics/company/sz/300689/300689/detail</t>
  </si>
  <si>
    <t>凯旺科技</t>
  </si>
  <si>
    <t>www.lixinger.com/analytics/company/sz/301182/301182/detail</t>
  </si>
  <si>
    <t>法狮龙</t>
  </si>
  <si>
    <t>www.lixinger.com/analytics/company/sh/605318/605318/detail</t>
  </si>
  <si>
    <t>扬电科技</t>
  </si>
  <si>
    <t>www.lixinger.com/analytics/company/sz/301012/301012/detail</t>
  </si>
  <si>
    <t>苏州龙杰</t>
  </si>
  <si>
    <t>www.lixinger.com/analytics/company/sh/603332/603332/detail</t>
  </si>
  <si>
    <t>新光药业</t>
  </si>
  <si>
    <t>www.lixinger.com/analytics/company/sz/300519/300519/detail</t>
  </si>
  <si>
    <t>西大门</t>
  </si>
  <si>
    <t>www.lixinger.com/analytics/company/sh/605155/605155/detail</t>
  </si>
  <si>
    <t>中熔电气</t>
  </si>
  <si>
    <t>www.lixinger.com/analytics/company/sz/301031/301031/detail</t>
  </si>
  <si>
    <t>采纳股份</t>
  </si>
  <si>
    <t>www.lixinger.com/analytics/company/sz/301122/301122/detail</t>
  </si>
  <si>
    <t>广生堂</t>
  </si>
  <si>
    <t>www.lixinger.com/analytics/company/sz/300436/300436/detail</t>
  </si>
  <si>
    <t>ST花王</t>
  </si>
  <si>
    <t>www.lixinger.com/analytics/company/sh/603007/603007/detail</t>
  </si>
  <si>
    <t>读客文化</t>
  </si>
  <si>
    <t>www.lixinger.com/analytics/company/sz/301025/301025/detail</t>
  </si>
  <si>
    <t>润阳科技</t>
  </si>
  <si>
    <t>www.lixinger.com/analytics/company/sz/300920/300920/detail</t>
  </si>
  <si>
    <t>四方达</t>
  </si>
  <si>
    <t>www.lixinger.com/analytics/company/sz/300179/300179/detail</t>
  </si>
  <si>
    <t>慧辰股份</t>
  </si>
  <si>
    <t>www.lixinger.com/analytics/company/sh/688500/688500/detail</t>
  </si>
  <si>
    <t>兰生股份</t>
  </si>
  <si>
    <t>www.lixinger.com/analytics/company/sh/600826/600826/detail</t>
  </si>
  <si>
    <t>宁波色母</t>
  </si>
  <si>
    <t>www.lixinger.com/analytics/company/sz/301019/301019/detail</t>
  </si>
  <si>
    <t>江龙船艇</t>
  </si>
  <si>
    <t>www.lixinger.com/analytics/company/sz/300589/300589/detail</t>
  </si>
  <si>
    <t>湖南发展</t>
  </si>
  <si>
    <t>www.lixinger.com/analytics/company/sz/000722/722/detail</t>
  </si>
  <si>
    <t>宁波精达</t>
  </si>
  <si>
    <t>www.lixinger.com/analytics/company/sh/603088/603088/detail</t>
  </si>
  <si>
    <t>燕麦科技</t>
  </si>
  <si>
    <t>www.lixinger.com/analytics/company/sh/688312/688312/detail</t>
  </si>
  <si>
    <t>凯盛新材</t>
  </si>
  <si>
    <t>www.lixinger.com/analytics/company/sz/301069/301069/detail</t>
  </si>
  <si>
    <t>炬芯科技</t>
  </si>
  <si>
    <t>www.lixinger.com/analytics/company/sh/688049/688049/detail</t>
  </si>
  <si>
    <t>长龄液压</t>
  </si>
  <si>
    <t>www.lixinger.com/analytics/company/sh/605389/605389/detail</t>
  </si>
  <si>
    <t>兆讯传媒</t>
  </si>
  <si>
    <t>www.lixinger.com/analytics/company/sz/301102/301102/detail</t>
  </si>
  <si>
    <t>希荻微</t>
  </si>
  <si>
    <t>www.lixinger.com/analytics/company/sh/688173/688173/detail</t>
  </si>
  <si>
    <t>华是科技</t>
  </si>
  <si>
    <t>www.lixinger.com/analytics/company/sz/301218/301218/detail</t>
  </si>
  <si>
    <t>雅运股份</t>
  </si>
  <si>
    <t>www.lixinger.com/analytics/company/sh/603790/603790/detail</t>
  </si>
  <si>
    <t>泰禾智能</t>
  </si>
  <si>
    <t>www.lixinger.com/analytics/company/sh/603656/603656/detail</t>
  </si>
  <si>
    <t>吉大通信</t>
  </si>
  <si>
    <t>www.lixinger.com/analytics/company/sz/300597/300597/detail</t>
  </si>
  <si>
    <t>五矿资本</t>
  </si>
  <si>
    <t>www.lixinger.com/analytics/company/sh/600390/600390/detail</t>
  </si>
  <si>
    <t>密封科技</t>
  </si>
  <si>
    <t>www.lixinger.com/analytics/company/sz/301020/301020/detail</t>
  </si>
  <si>
    <t>大连热电</t>
  </si>
  <si>
    <t>www.lixinger.com/analytics/company/sh/600719/600719/detail</t>
  </si>
  <si>
    <t>达刚控股</t>
  </si>
  <si>
    <t>www.lixinger.com/analytics/company/sz/300103/300103/detail</t>
  </si>
  <si>
    <t>创兴资源</t>
  </si>
  <si>
    <t>www.lixinger.com/analytics/company/sh/600193/600193/detail</t>
  </si>
  <si>
    <t>神开股份</t>
  </si>
  <si>
    <t>www.lixinger.com/analytics/company/sz/002278/2278/detail</t>
  </si>
  <si>
    <t>德生科技</t>
  </si>
  <si>
    <t>www.lixinger.com/analytics/company/sz/002908/2908/detail</t>
  </si>
  <si>
    <t>赢时胜</t>
  </si>
  <si>
    <t>www.lixinger.com/analytics/company/sz/300377/300377/detail</t>
  </si>
  <si>
    <t>天鹅股份</t>
  </si>
  <si>
    <t>www.lixinger.com/analytics/company/sh/603029/603029/detail</t>
  </si>
  <si>
    <t>恒信东方</t>
  </si>
  <si>
    <t>www.lixinger.com/analytics/company/sz/300081/300081/detail</t>
  </si>
  <si>
    <t>登云股份</t>
  </si>
  <si>
    <t>www.lixinger.com/analytics/company/sz/002715/2715/detail</t>
  </si>
  <si>
    <t>科拓生物</t>
  </si>
  <si>
    <t>www.lixinger.com/analytics/company/sz/300858/300858/detail</t>
  </si>
  <si>
    <t>莱尔科技</t>
  </si>
  <si>
    <t>www.lixinger.com/analytics/company/sh/688683/688683/detail</t>
  </si>
  <si>
    <t>奇德新材</t>
  </si>
  <si>
    <t>www.lixinger.com/analytics/company/sz/300995/300995/detail</t>
  </si>
  <si>
    <t>春晖智控</t>
  </si>
  <si>
    <t>www.lixinger.com/analytics/company/sz/300943/300943/detail</t>
  </si>
  <si>
    <t>英杰电气</t>
  </si>
  <si>
    <t>www.lixinger.com/analytics/company/sz/300820/300820/detail</t>
  </si>
  <si>
    <t>松发股份</t>
  </si>
  <si>
    <t>www.lixinger.com/analytics/company/sh/603268/603268/detail</t>
  </si>
  <si>
    <t>迈拓股份</t>
  </si>
  <si>
    <t>www.lixinger.com/analytics/company/sz/301006/301006/detail</t>
  </si>
  <si>
    <t>镇海股份</t>
  </si>
  <si>
    <t>www.lixinger.com/analytics/company/sh/603637/603637/detail</t>
  </si>
  <si>
    <t>深科达</t>
  </si>
  <si>
    <t>www.lixinger.com/analytics/company/sh/688328/688328/detail</t>
  </si>
  <si>
    <t>嘉和美康</t>
  </si>
  <si>
    <t>www.lixinger.com/analytics/company/sh/688246/688246/detail</t>
  </si>
  <si>
    <t>理工光科</t>
  </si>
  <si>
    <t>www.lixinger.com/analytics/company/sz/300557/300557/detail</t>
  </si>
  <si>
    <t>空港股份</t>
  </si>
  <si>
    <t>www.lixinger.com/analytics/company/sh/600463/600463/detail</t>
  </si>
  <si>
    <t>九鼎投资</t>
  </si>
  <si>
    <t>www.lixinger.com/analytics/company/sh/600053/600053/detail</t>
  </si>
  <si>
    <t>易联众</t>
  </si>
  <si>
    <t>www.lixinger.com/analytics/company/sz/300096/300096/detail</t>
  </si>
  <si>
    <t>祥和实业</t>
  </si>
  <si>
    <t>www.lixinger.com/analytics/company/sh/603500/603500/detail</t>
  </si>
  <si>
    <t>众信旅游</t>
  </si>
  <si>
    <t>www.lixinger.com/analytics/company/sz/002707/2707/detail</t>
  </si>
  <si>
    <t>迅游科技</t>
  </si>
  <si>
    <t>www.lixinger.com/analytics/company/sz/300467/300467/detail</t>
  </si>
  <si>
    <t>宏英智能</t>
  </si>
  <si>
    <t>www.lixinger.com/analytics/company/sz/001266/1266/detail</t>
  </si>
  <si>
    <t>东方材料</t>
  </si>
  <si>
    <t>www.lixinger.com/analytics/company/sh/603110/603110/detail</t>
  </si>
  <si>
    <t>汇源通信</t>
  </si>
  <si>
    <t>www.lixinger.com/analytics/company/sz/000586/586/detail</t>
  </si>
  <si>
    <t>嘉必优</t>
  </si>
  <si>
    <t>www.lixinger.com/analytics/company/sh/688089/688089/detail</t>
  </si>
  <si>
    <t>湘邮科技</t>
  </si>
  <si>
    <t>www.lixinger.com/analytics/company/sh/600476/600476/detail</t>
  </si>
  <si>
    <t>步科股份</t>
  </si>
  <si>
    <t>www.lixinger.com/analytics/company/sh/688160/688160/detail</t>
  </si>
  <si>
    <t>金马游乐</t>
  </si>
  <si>
    <t>www.lixinger.com/analytics/company/sz/300756/300756/detail</t>
  </si>
  <si>
    <t>*ST亚星</t>
  </si>
  <si>
    <t>www.lixinger.com/analytics/company/sh/600319/600319/detail</t>
  </si>
  <si>
    <t>利和兴</t>
  </si>
  <si>
    <t>www.lixinger.com/analytics/company/sz/301013/301013/detail</t>
  </si>
  <si>
    <t>潜能恒信</t>
  </si>
  <si>
    <t>www.lixinger.com/analytics/company/sz/300191/300191/detail</t>
  </si>
  <si>
    <t>青岛中程</t>
  </si>
  <si>
    <t>www.lixinger.com/analytics/company/sz/300208/300208/detail</t>
  </si>
  <si>
    <t>建新股份</t>
  </si>
  <si>
    <t>www.lixinger.com/analytics/company/sz/300107/300107/detail</t>
  </si>
  <si>
    <t>戴维医疗</t>
  </si>
  <si>
    <t>www.lixinger.com/analytics/company/sz/300314/300314/detail</t>
  </si>
  <si>
    <t>金现代</t>
  </si>
  <si>
    <t>www.lixinger.com/analytics/company/sz/300830/300830/detail</t>
  </si>
  <si>
    <t>中环海陆</t>
  </si>
  <si>
    <t>www.lixinger.com/analytics/company/sz/301040/301040/detail</t>
  </si>
  <si>
    <t>汇通能源</t>
  </si>
  <si>
    <t>www.lixinger.com/analytics/company/sh/600605/600605/detail</t>
  </si>
  <si>
    <t>新联电子</t>
  </si>
  <si>
    <t>www.lixinger.com/analytics/company/sz/002546/2546/detail</t>
  </si>
  <si>
    <t>伟隆股份</t>
  </si>
  <si>
    <t>www.lixinger.com/analytics/company/sz/002871/2871/detail</t>
  </si>
  <si>
    <t>ST华仪</t>
  </si>
  <si>
    <t>www.lixinger.com/analytics/company/sh/600290/600290/detail</t>
  </si>
  <si>
    <t>渝开发</t>
  </si>
  <si>
    <t>www.lixinger.com/analytics/company/sz/000514/514/detail</t>
  </si>
  <si>
    <t>梅安森</t>
  </si>
  <si>
    <t>www.lixinger.com/analytics/company/sz/300275/300275/detail</t>
  </si>
  <si>
    <t>诚达药业</t>
  </si>
  <si>
    <t>www.lixinger.com/analytics/company/sz/301201/301201/detail</t>
  </si>
  <si>
    <t>皖仪科技</t>
  </si>
  <si>
    <t>www.lixinger.com/analytics/company/sh/688600/688600/detail</t>
  </si>
  <si>
    <t>联测科技</t>
  </si>
  <si>
    <t>www.lixinger.com/analytics/company/sh/688113/688113/detail</t>
  </si>
  <si>
    <t>恒泰艾普</t>
  </si>
  <si>
    <t>www.lixinger.com/analytics/company/sz/300157/300157/detail</t>
  </si>
  <si>
    <t>华天酒店</t>
  </si>
  <si>
    <t>www.lixinger.com/analytics/company/sz/000428/428/detail</t>
  </si>
  <si>
    <t>万隆光电</t>
  </si>
  <si>
    <t>www.lixinger.com/analytics/company/sz/300710/300710/detail</t>
  </si>
  <si>
    <t>大千生态</t>
  </si>
  <si>
    <t>www.lixinger.com/analytics/company/sh/603955/603955/detail</t>
  </si>
  <si>
    <t>芯导科技</t>
  </si>
  <si>
    <t>www.lixinger.com/analytics/company/sh/688230/688230/detail</t>
  </si>
  <si>
    <t>高乐股份</t>
  </si>
  <si>
    <t>www.lixinger.com/analytics/company/sz/002348/2348/detail</t>
  </si>
  <si>
    <t>安妮股份</t>
  </si>
  <si>
    <t>www.lixinger.com/analytics/company/sz/002235/2235/detail</t>
  </si>
  <si>
    <t>中南文化</t>
  </si>
  <si>
    <t>www.lixinger.com/analytics/company/sz/002445/2445/detail</t>
  </si>
  <si>
    <t>信安世纪</t>
  </si>
  <si>
    <t>www.lixinger.com/analytics/company/sh/688201/688201/detail</t>
  </si>
  <si>
    <t>纳微科技</t>
  </si>
  <si>
    <t>www.lixinger.com/analytics/company/sh/688690/688690/detail</t>
  </si>
  <si>
    <t>思特奇</t>
  </si>
  <si>
    <t>www.lixinger.com/analytics/company/sz/300608/300608/detail</t>
  </si>
  <si>
    <t>利扬芯片</t>
  </si>
  <si>
    <t>www.lixinger.com/analytics/company/sh/688135/688135/detail</t>
  </si>
  <si>
    <t>浙江仙通</t>
  </si>
  <si>
    <t>www.lixinger.com/analytics/company/sh/603239/603239/detail</t>
  </si>
  <si>
    <t>天永智能</t>
  </si>
  <si>
    <t>www.lixinger.com/analytics/company/sh/603895/603895/detail</t>
  </si>
  <si>
    <t>海峡创新</t>
  </si>
  <si>
    <t>www.lixinger.com/analytics/company/sz/300300/300300/detail</t>
  </si>
  <si>
    <t>光庭信息</t>
  </si>
  <si>
    <t>www.lixinger.com/analytics/company/sz/301221/301221/detail</t>
  </si>
  <si>
    <t>中铁装配</t>
  </si>
  <si>
    <t>www.lixinger.com/analytics/company/sz/300374/300374/detail</t>
  </si>
  <si>
    <t>恒而达</t>
  </si>
  <si>
    <t>www.lixinger.com/analytics/company/sz/300946/300946/detail</t>
  </si>
  <si>
    <t>万胜智能</t>
  </si>
  <si>
    <t>www.lixinger.com/analytics/company/sz/300882/300882/detail</t>
  </si>
  <si>
    <t>菲林格尔</t>
  </si>
  <si>
    <t>www.lixinger.com/analytics/company/sh/603226/603226/detail</t>
  </si>
  <si>
    <t>轻纺城</t>
  </si>
  <si>
    <t>www.lixinger.com/analytics/company/sh/600790/600790/detail</t>
  </si>
  <si>
    <t>信测标准</t>
  </si>
  <si>
    <t>www.lixinger.com/analytics/company/sz/300938/300938/detail</t>
  </si>
  <si>
    <t>金明精机</t>
  </si>
  <si>
    <t>www.lixinger.com/analytics/company/sz/300281/300281/detail</t>
  </si>
  <si>
    <t>新益昌</t>
  </si>
  <si>
    <t>www.lixinger.com/analytics/company/sh/688383/688383/detail</t>
  </si>
  <si>
    <t>中自科技</t>
  </si>
  <si>
    <t>www.lixinger.com/analytics/company/sh/688737/688737/detail</t>
  </si>
  <si>
    <t>中望软件</t>
  </si>
  <si>
    <t>www.lixinger.com/analytics/company/sh/688083/688083/detail</t>
  </si>
  <si>
    <t>共同药业</t>
  </si>
  <si>
    <t>www.lixinger.com/analytics/company/sz/300966/300966/detail</t>
  </si>
  <si>
    <t>金冠电气</t>
  </si>
  <si>
    <t>www.lixinger.com/analytics/company/sh/688517/688517/detail</t>
  </si>
  <si>
    <t>当虹科技</t>
  </si>
  <si>
    <t>www.lixinger.com/analytics/company/sh/688039/688039/detail</t>
  </si>
  <si>
    <t>雅艺科技</t>
  </si>
  <si>
    <t>www.lixinger.com/analytics/company/sz/301113/301113/detail</t>
  </si>
  <si>
    <t>ST榕泰</t>
  </si>
  <si>
    <t>www.lixinger.com/analytics/company/sh/600589/600589/detail</t>
  </si>
  <si>
    <t>聚力文化</t>
  </si>
  <si>
    <t>www.lixinger.com/analytics/company/sz/002247/2247/detail</t>
  </si>
  <si>
    <t>春兰股份</t>
  </si>
  <si>
    <t>www.lixinger.com/analytics/company/sh/600854/600854/detail</t>
  </si>
  <si>
    <t>科蓝软件</t>
  </si>
  <si>
    <t>www.lixinger.com/analytics/company/sz/300663/300663/detail</t>
  </si>
  <si>
    <t>新赛股份</t>
  </si>
  <si>
    <t>www.lixinger.com/analytics/company/sh/600540/600540/detail</t>
  </si>
  <si>
    <t>永悦科技</t>
  </si>
  <si>
    <t>www.lixinger.com/analytics/company/sh/603879/603879/detail</t>
  </si>
  <si>
    <t>维宏股份</t>
  </si>
  <si>
    <t>www.lixinger.com/analytics/company/sz/300508/300508/detail</t>
  </si>
  <si>
    <t>*ST瑞德</t>
  </si>
  <si>
    <t>www.lixinger.com/analytics/company/sh/600666/600666/detail</t>
  </si>
  <si>
    <t>祥生医疗</t>
  </si>
  <si>
    <t>www.lixinger.com/analytics/company/sh/688358/688358/detail</t>
  </si>
  <si>
    <t>罗博特科</t>
  </si>
  <si>
    <t>www.lixinger.com/analytics/company/sz/300757/300757/detail</t>
  </si>
  <si>
    <t>高铁电气</t>
  </si>
  <si>
    <t>www.lixinger.com/analytics/company/sh/688285/688285/detail</t>
  </si>
  <si>
    <t>富春股份</t>
  </si>
  <si>
    <t>www.lixinger.com/analytics/company/sz/300299/300299/detail</t>
  </si>
  <si>
    <t>华强科技</t>
  </si>
  <si>
    <t>www.lixinger.com/analytics/company/sh/688151/688151/detail</t>
  </si>
  <si>
    <t>祥源新材</t>
  </si>
  <si>
    <t>www.lixinger.com/analytics/company/sz/300980/300980/detail</t>
  </si>
  <si>
    <t>旭光电子</t>
  </si>
  <si>
    <t>www.lixinger.com/analytics/company/sh/600353/600353/detail</t>
  </si>
  <si>
    <t>华生科技</t>
  </si>
  <si>
    <t>www.lixinger.com/analytics/company/sh/605180/605180/detail</t>
  </si>
  <si>
    <t>中元股份</t>
  </si>
  <si>
    <t>www.lixinger.com/analytics/company/sz/300018/300018/detail</t>
  </si>
  <si>
    <t>ST中珠</t>
  </si>
  <si>
    <t>www.lixinger.com/analytics/company/sh/600568/600568/detail</t>
  </si>
  <si>
    <t>波导股份</t>
  </si>
  <si>
    <t>www.lixinger.com/analytics/company/sh/600130/600130/detail</t>
  </si>
  <si>
    <t>星光农机</t>
  </si>
  <si>
    <t>www.lixinger.com/analytics/company/sh/603789/603789/detail</t>
  </si>
  <si>
    <t>果麦文化</t>
  </si>
  <si>
    <t>www.lixinger.com/analytics/company/sz/301052/301052/detail</t>
  </si>
  <si>
    <t>华骐环保</t>
  </si>
  <si>
    <t>www.lixinger.com/analytics/company/sz/300929/300929/detail</t>
  </si>
  <si>
    <t>百川畅银</t>
  </si>
  <si>
    <t>www.lixinger.com/analytics/company/sz/300614/300614/detail</t>
  </si>
  <si>
    <t>智能自控</t>
  </si>
  <si>
    <t>www.lixinger.com/analytics/company/sz/002877/2877/detail</t>
  </si>
  <si>
    <t>*ST罗顿</t>
  </si>
  <si>
    <t>www.lixinger.com/analytics/company/sh/600209/600209/detail</t>
  </si>
  <si>
    <t>元琛科技</t>
  </si>
  <si>
    <t>www.lixinger.com/analytics/company/sh/688659/688659/detail</t>
  </si>
  <si>
    <t>天普股份</t>
  </si>
  <si>
    <t>www.lixinger.com/analytics/company/sh/605255/605255/detail</t>
  </si>
  <si>
    <t>国统股份</t>
  </si>
  <si>
    <t>www.lixinger.com/analytics/company/sz/002205/2205/detail</t>
  </si>
  <si>
    <t>金道科技</t>
  </si>
  <si>
    <t>www.lixinger.com/analytics/company/sz/301279/301279/detail</t>
  </si>
  <si>
    <t>西安饮食</t>
  </si>
  <si>
    <t>www.lixinger.com/analytics/company/sz/000721/721/detail</t>
  </si>
  <si>
    <t>中触媒</t>
  </si>
  <si>
    <t>www.lixinger.com/analytics/company/sh/688267/688267/detail</t>
  </si>
  <si>
    <t>艾力斯</t>
  </si>
  <si>
    <t>www.lixinger.com/analytics/company/sh/688578/688578/detail</t>
  </si>
  <si>
    <t>直真科技</t>
  </si>
  <si>
    <t>www.lixinger.com/analytics/company/sz/003007/3007/detail</t>
  </si>
  <si>
    <t>远望谷</t>
  </si>
  <si>
    <t>www.lixinger.com/analytics/company/sz/002161/2161/detail</t>
  </si>
  <si>
    <t>派瑞股份</t>
  </si>
  <si>
    <t>www.lixinger.com/analytics/company/sz/300831/300831/detail</t>
  </si>
  <si>
    <t>国林科技</t>
  </si>
  <si>
    <t>www.lixinger.com/analytics/company/sz/300786/300786/detail</t>
  </si>
  <si>
    <t>芯能科技</t>
  </si>
  <si>
    <t>www.lixinger.com/analytics/company/sh/603105/603105/detail</t>
  </si>
  <si>
    <t>铂科新材</t>
  </si>
  <si>
    <t>www.lixinger.com/analytics/company/sz/300811/300811/detail</t>
  </si>
  <si>
    <t>先锋电子</t>
  </si>
  <si>
    <t>www.lixinger.com/analytics/company/sz/002767/2767/detail</t>
  </si>
  <si>
    <t>金太阳</t>
  </si>
  <si>
    <t>www.lixinger.com/analytics/company/sz/300606/300606/detail</t>
  </si>
  <si>
    <t>向日葵</t>
  </si>
  <si>
    <t>www.lixinger.com/analytics/company/sz/300111/300111/detail</t>
  </si>
  <si>
    <t>奥普光电</t>
  </si>
  <si>
    <t>www.lixinger.com/analytics/company/sz/002338/2338/detail</t>
  </si>
  <si>
    <t>喜悦智行</t>
  </si>
  <si>
    <t>www.lixinger.com/analytics/company/sz/301198/301198/detail</t>
  </si>
  <si>
    <t>翔宇医疗</t>
  </si>
  <si>
    <t>www.lixinger.com/analytics/company/sh/688626/688626/detail</t>
  </si>
  <si>
    <t>世茂能源</t>
  </si>
  <si>
    <t>www.lixinger.com/analytics/company/sh/605028/605028/detail</t>
  </si>
  <si>
    <t>ST瀚叶</t>
  </si>
  <si>
    <t>www.lixinger.com/analytics/company/sh/600226/600226/detail</t>
  </si>
  <si>
    <t>蓝特光学</t>
  </si>
  <si>
    <t>www.lixinger.com/analytics/company/sh/688127/688127/detail</t>
  </si>
  <si>
    <t>力合微</t>
  </si>
  <si>
    <t>www.lixinger.com/analytics/company/sh/688589/688589/detail</t>
  </si>
  <si>
    <t>高斯贝尔</t>
  </si>
  <si>
    <t>www.lixinger.com/analytics/company/sz/002848/2848/detail</t>
  </si>
  <si>
    <t>海泰新光</t>
  </si>
  <si>
    <t>www.lixinger.com/analytics/company/sh/688677/688677/detail</t>
  </si>
  <si>
    <t>金瑞矿业</t>
  </si>
  <si>
    <t>www.lixinger.com/analytics/company/sh/600714/600714/detail</t>
  </si>
  <si>
    <t>霍普股份</t>
  </si>
  <si>
    <t>www.lixinger.com/analytics/company/sz/301024/301024/detail</t>
  </si>
  <si>
    <t>日久光电</t>
  </si>
  <si>
    <t>www.lixinger.com/analytics/company/sz/003015/3015/detail</t>
  </si>
  <si>
    <t>全信股份</t>
  </si>
  <si>
    <t>www.lixinger.com/analytics/company/sz/300447/300447/detail</t>
  </si>
  <si>
    <t>*ST凯瑞</t>
  </si>
  <si>
    <t>www.lixinger.com/analytics/company/sz/002072/2072/detail</t>
  </si>
  <si>
    <t>青海春天</t>
  </si>
  <si>
    <t>www.lixinger.com/analytics/company/sh/600381/600381/detail</t>
  </si>
  <si>
    <t>奥雅设计</t>
  </si>
  <si>
    <t>www.lixinger.com/analytics/company/sz/300949/300949/detail</t>
  </si>
  <si>
    <t>交大思诺</t>
  </si>
  <si>
    <t>www.lixinger.com/analytics/company/sz/300851/300851/detail</t>
  </si>
  <si>
    <t>新炬网络</t>
  </si>
  <si>
    <t>www.lixinger.com/analytics/company/sh/605398/605398/detail</t>
  </si>
  <si>
    <t>未名医药</t>
  </si>
  <si>
    <t>www.lixinger.com/analytics/company/sz/002581/2581/detail</t>
  </si>
  <si>
    <t>ST凯乐</t>
  </si>
  <si>
    <t>www.lixinger.com/analytics/company/sh/600260/600260/detail</t>
  </si>
  <si>
    <t>金自天正</t>
  </si>
  <si>
    <t>www.lixinger.com/analytics/company/sh/600560/600560/detail</t>
  </si>
  <si>
    <t>阿拉丁</t>
  </si>
  <si>
    <t>www.lixinger.com/analytics/company/sh/688179/688179/detail</t>
  </si>
  <si>
    <t>安诺其</t>
  </si>
  <si>
    <t>www.lixinger.com/analytics/company/sz/300067/300067/detail</t>
  </si>
  <si>
    <t>行动教育</t>
  </si>
  <si>
    <t>www.lixinger.com/analytics/company/sh/605098/605098/detail</t>
  </si>
  <si>
    <t>ST东洋</t>
  </si>
  <si>
    <t>www.lixinger.com/analytics/company/sz/002086/2086/detail</t>
  </si>
  <si>
    <t>峰岹科技</t>
  </si>
  <si>
    <t>www.lixinger.com/analytics/company/sh/688279/688279/detail</t>
  </si>
  <si>
    <t>四方精创</t>
  </si>
  <si>
    <t>www.lixinger.com/analytics/company/sz/300468/300468/detail</t>
  </si>
  <si>
    <t>同飞股份</t>
  </si>
  <si>
    <t>www.lixinger.com/analytics/company/sz/300990/300990/detail</t>
  </si>
  <si>
    <t>明微电子</t>
  </si>
  <si>
    <t>www.lixinger.com/analytics/company/sh/688699/688699/detail</t>
  </si>
  <si>
    <t>悦安新材</t>
  </si>
  <si>
    <t>www.lixinger.com/analytics/company/sh/688786/688786/detail</t>
  </si>
  <si>
    <t>ST天润</t>
  </si>
  <si>
    <t>www.lixinger.com/analytics/company/sz/002113/2113/detail</t>
  </si>
  <si>
    <t>日辰股份</t>
  </si>
  <si>
    <t>www.lixinger.com/analytics/company/sh/603755/603755/detail</t>
  </si>
  <si>
    <t>天玑科技</t>
  </si>
  <si>
    <t>www.lixinger.com/analytics/company/sz/300245/300245/detail</t>
  </si>
  <si>
    <t>安博通</t>
  </si>
  <si>
    <t>www.lixinger.com/analytics/company/sh/688168/688168/detail</t>
  </si>
  <si>
    <t>芯碁微装</t>
  </si>
  <si>
    <t>www.lixinger.com/analytics/company/sh/688630/688630/detail</t>
  </si>
  <si>
    <t>安车检测</t>
  </si>
  <si>
    <t>www.lixinger.com/analytics/company/sz/300572/300572/detail</t>
  </si>
  <si>
    <t>争光股份</t>
  </si>
  <si>
    <t>www.lixinger.com/analytics/company/sz/301092/301092/detail</t>
  </si>
  <si>
    <t>统联精密</t>
  </si>
  <si>
    <t>www.lixinger.com/analytics/company/sh/688210/688210/detail</t>
  </si>
  <si>
    <t>伟创电气</t>
  </si>
  <si>
    <t>www.lixinger.com/analytics/company/sh/688698/688698/detail</t>
  </si>
  <si>
    <t>鞍重股份</t>
  </si>
  <si>
    <t>www.lixinger.com/analytics/company/sz/002667/2667/detail</t>
  </si>
  <si>
    <t>华辰装备</t>
  </si>
  <si>
    <t>www.lixinger.com/analytics/company/sz/300809/300809/detail</t>
  </si>
  <si>
    <t>优德精密</t>
  </si>
  <si>
    <t>www.lixinger.com/analytics/company/sz/300549/300549/detail</t>
  </si>
  <si>
    <t>新特电气</t>
  </si>
  <si>
    <t>www.lixinger.com/analytics/company/sz/301120/301120/detail</t>
  </si>
  <si>
    <t>冠中生态</t>
  </si>
  <si>
    <t>www.lixinger.com/analytics/company/sz/300948/300948/detail</t>
  </si>
  <si>
    <t>灿勤科技</t>
  </si>
  <si>
    <t>www.lixinger.com/analytics/company/sh/688182/688182/detail</t>
  </si>
  <si>
    <t>凯马Ｂ</t>
  </si>
  <si>
    <t>www.lixinger.com/analytics/company/sh/900953/900953/detail</t>
  </si>
  <si>
    <t>广哈通信</t>
  </si>
  <si>
    <t>www.lixinger.com/analytics/company/sz/300711/300711/detail</t>
  </si>
  <si>
    <t>力盛赛车</t>
  </si>
  <si>
    <t>www.lixinger.com/analytics/company/sz/002858/2858/detail</t>
  </si>
  <si>
    <t>耐普矿机</t>
  </si>
  <si>
    <t>www.lixinger.com/analytics/company/sz/300818/300818/detail</t>
  </si>
  <si>
    <t>巴安水务</t>
  </si>
  <si>
    <t>www.lixinger.com/analytics/company/sz/300262/300262/detail</t>
  </si>
  <si>
    <t>同大股份</t>
  </si>
  <si>
    <t>www.lixinger.com/analytics/company/sz/300321/300321/detail</t>
  </si>
  <si>
    <t>广信材料</t>
  </si>
  <si>
    <t>www.lixinger.com/analytics/company/sz/300537/300537/detail</t>
  </si>
  <si>
    <t>凯撒旅业</t>
  </si>
  <si>
    <t>www.lixinger.com/analytics/company/sz/000796/796/detail</t>
  </si>
  <si>
    <t>甘化科工</t>
  </si>
  <si>
    <t>www.lixinger.com/analytics/company/sz/000576/576/detail</t>
  </si>
  <si>
    <t>蓝盾光电</t>
  </si>
  <si>
    <t>www.lixinger.com/analytics/company/sz/300862/300862/detail</t>
  </si>
  <si>
    <t>申通地铁</t>
  </si>
  <si>
    <t>www.lixinger.com/analytics/company/sh/600834/600834/detail</t>
  </si>
  <si>
    <t>融钰集团</t>
  </si>
  <si>
    <t>www.lixinger.com/analytics/company/sz/002622/2622/detail</t>
  </si>
  <si>
    <t>青达环保</t>
  </si>
  <si>
    <t>www.lixinger.com/analytics/company/sh/688501/688501/detail</t>
  </si>
  <si>
    <t>上海瀚讯</t>
  </si>
  <si>
    <t>www.lixinger.com/analytics/company/sz/300762/300762/detail</t>
  </si>
  <si>
    <t>天岳先进</t>
  </si>
  <si>
    <t>www.lixinger.com/analytics/company/sh/688234/688234/detail</t>
  </si>
  <si>
    <t>美思德</t>
  </si>
  <si>
    <t>www.lixinger.com/analytics/company/sh/603041/603041/detail</t>
  </si>
  <si>
    <t>金刚玻璃</t>
  </si>
  <si>
    <t>www.lixinger.com/analytics/company/sz/300093/300093/detail</t>
  </si>
  <si>
    <t>腾景科技</t>
  </si>
  <si>
    <t>www.lixinger.com/analytics/company/sh/688195/688195/detail</t>
  </si>
  <si>
    <t>西力科技</t>
  </si>
  <si>
    <t>www.lixinger.com/analytics/company/sh/688616/688616/detail</t>
  </si>
  <si>
    <t>国安达</t>
  </si>
  <si>
    <t>www.lixinger.com/analytics/company/sz/300902/300902/detail</t>
  </si>
  <si>
    <t>键凯科技</t>
  </si>
  <si>
    <t>www.lixinger.com/analytics/company/sh/688356/688356/detail</t>
  </si>
  <si>
    <t>万里股份</t>
  </si>
  <si>
    <t>www.lixinger.com/analytics/company/sh/600847/600847/detail</t>
  </si>
  <si>
    <t>格尔软件</t>
  </si>
  <si>
    <t>www.lixinger.com/analytics/company/sh/603232/603232/detail</t>
  </si>
  <si>
    <t>ST荣华</t>
  </si>
  <si>
    <t>www.lixinger.com/analytics/company/sh/600311/600311/detail</t>
  </si>
  <si>
    <t>本立科技</t>
  </si>
  <si>
    <t>www.lixinger.com/analytics/company/sz/301065/301065/detail</t>
  </si>
  <si>
    <t>兰州黄河</t>
  </si>
  <si>
    <t>www.lixinger.com/analytics/company/sz/000929/929/detail</t>
  </si>
  <si>
    <t>飞鹿股份</t>
  </si>
  <si>
    <t>www.lixinger.com/analytics/company/sz/300665/300665/detail</t>
  </si>
  <si>
    <t>汇中股份</t>
  </si>
  <si>
    <t>www.lixinger.com/analytics/company/sz/300371/300371/detail</t>
  </si>
  <si>
    <t>龙江交通</t>
  </si>
  <si>
    <t>www.lixinger.com/analytics/company/sh/601188/601188/detail</t>
  </si>
  <si>
    <t>浩欧博</t>
  </si>
  <si>
    <t>www.lixinger.com/analytics/company/sh/688656/688656/detail</t>
  </si>
  <si>
    <t>山大地纬</t>
  </si>
  <si>
    <t>www.lixinger.com/analytics/company/sh/688579/688579/detail</t>
  </si>
  <si>
    <t>德宏股份</t>
  </si>
  <si>
    <t>www.lixinger.com/analytics/company/sh/603701/603701/detail</t>
  </si>
  <si>
    <t>宋城演艺</t>
  </si>
  <si>
    <t>www.lixinger.com/analytics/company/sz/300144/300144/detail</t>
  </si>
  <si>
    <t>中洲特材</t>
  </si>
  <si>
    <t>www.lixinger.com/analytics/company/sz/300963/300963/detail</t>
  </si>
  <si>
    <t>容大感光</t>
  </si>
  <si>
    <t>www.lixinger.com/analytics/company/sz/300576/300576/detail</t>
  </si>
  <si>
    <t>中通国脉</t>
  </si>
  <si>
    <t>www.lixinger.com/analytics/company/sh/603559/603559/detail</t>
  </si>
  <si>
    <t>朗源股份</t>
  </si>
  <si>
    <t>www.lixinger.com/analytics/company/sz/300175/300175/detail</t>
  </si>
  <si>
    <t>初灵信息</t>
  </si>
  <si>
    <t>www.lixinger.com/analytics/company/sz/300250/300250/detail</t>
  </si>
  <si>
    <t>善水科技</t>
  </si>
  <si>
    <t>www.lixinger.com/analytics/company/sz/301190/301190/detail</t>
  </si>
  <si>
    <t>金陵体育</t>
  </si>
  <si>
    <t>www.lixinger.com/analytics/company/sz/300651/300651/detail</t>
  </si>
  <si>
    <t>交大昂立</t>
  </si>
  <si>
    <t>www.lixinger.com/analytics/company/sh/600530/600530/detail</t>
  </si>
  <si>
    <t>超捷股份</t>
  </si>
  <si>
    <t>www.lixinger.com/analytics/company/sz/301005/301005/detail</t>
  </si>
  <si>
    <t>国发股份</t>
  </si>
  <si>
    <t>www.lixinger.com/analytics/company/sh/600538/600538/detail</t>
  </si>
  <si>
    <t>通用电梯</t>
  </si>
  <si>
    <t>www.lixinger.com/analytics/company/sz/300931/300931/detail</t>
  </si>
  <si>
    <t>恒银科技</t>
  </si>
  <si>
    <t>www.lixinger.com/analytics/company/sh/603106/603106/detail</t>
  </si>
  <si>
    <t>博济医药</t>
  </si>
  <si>
    <t>www.lixinger.com/analytics/company/sz/300404/300404/detail</t>
  </si>
  <si>
    <t>九华旅游</t>
  </si>
  <si>
    <t>www.lixinger.com/analytics/company/sh/603199/603199/detail</t>
  </si>
  <si>
    <t>蓝海华腾</t>
  </si>
  <si>
    <t>www.lixinger.com/analytics/company/sz/300484/300484/detail</t>
  </si>
  <si>
    <t>凤凰股份</t>
  </si>
  <si>
    <t>www.lixinger.com/analytics/company/sh/600716/600716/detail</t>
  </si>
  <si>
    <t>广联航空</t>
  </si>
  <si>
    <t>www.lixinger.com/analytics/company/sz/300900/300900/detail</t>
  </si>
  <si>
    <t>金钟股份</t>
  </si>
  <si>
    <t>www.lixinger.com/analytics/company/sz/301133/301133/detail</t>
  </si>
  <si>
    <t>江航装备</t>
  </si>
  <si>
    <t>www.lixinger.com/analytics/company/sh/688586/688586/detail</t>
  </si>
  <si>
    <t>三德科技</t>
  </si>
  <si>
    <t>www.lixinger.com/analytics/company/sz/300515/300515/detail</t>
  </si>
  <si>
    <t>拓新药业</t>
  </si>
  <si>
    <t>www.lixinger.com/analytics/company/sz/301089/301089/detail</t>
  </si>
  <si>
    <t>金科环境</t>
  </si>
  <si>
    <t>www.lixinger.com/analytics/company/sh/688466/688466/detail</t>
  </si>
  <si>
    <t>ST信通</t>
  </si>
  <si>
    <t>www.lixinger.com/analytics/company/sh/600289/600289/detail</t>
  </si>
  <si>
    <t>保力新</t>
  </si>
  <si>
    <t>www.lixinger.com/analytics/company/sz/300116/300116/detail</t>
  </si>
  <si>
    <t>海量数据</t>
  </si>
  <si>
    <t>www.lixinger.com/analytics/company/sh/603138/603138/detail</t>
  </si>
  <si>
    <t>竞业达</t>
  </si>
  <si>
    <t>www.lixinger.com/analytics/company/sz/003005/3005/detail</t>
  </si>
  <si>
    <t>铂力特</t>
  </si>
  <si>
    <t>www.lixinger.com/analytics/company/sh/688333/688333/detail</t>
  </si>
  <si>
    <t>国美通讯</t>
  </si>
  <si>
    <t>www.lixinger.com/analytics/company/sh/600898/600898/detail</t>
  </si>
  <si>
    <t>正强股份</t>
  </si>
  <si>
    <t>www.lixinger.com/analytics/company/sz/301119/301119/detail</t>
  </si>
  <si>
    <t>世纪天鸿</t>
  </si>
  <si>
    <t>www.lixinger.com/analytics/company/sz/300654/300654/detail</t>
  </si>
  <si>
    <t>思进智能</t>
  </si>
  <si>
    <t>www.lixinger.com/analytics/company/sz/003025/3025/detail</t>
  </si>
  <si>
    <t>中青宝</t>
  </si>
  <si>
    <t>www.lixinger.com/analytics/company/sz/300052/300052/detail</t>
  </si>
  <si>
    <t>金迪克</t>
  </si>
  <si>
    <t>www.lixinger.com/analytics/company/sh/688670/688670/detail</t>
  </si>
  <si>
    <t>泰林生物</t>
  </si>
  <si>
    <t>www.lixinger.com/analytics/company/sz/300813/300813/detail</t>
  </si>
  <si>
    <t>雪龙集团</t>
  </si>
  <si>
    <t>www.lixinger.com/analytics/company/sh/603949/603949/detail</t>
  </si>
  <si>
    <t>映翰通</t>
  </si>
  <si>
    <t>www.lixinger.com/analytics/company/sh/688080/688080/detail</t>
  </si>
  <si>
    <t>云涌科技</t>
  </si>
  <si>
    <t>www.lixinger.com/analytics/company/sh/688060/688060/detail</t>
  </si>
  <si>
    <t>西安旅游</t>
  </si>
  <si>
    <t>www.lixinger.com/analytics/company/sz/000610/610/detail</t>
  </si>
  <si>
    <t>药康生物</t>
  </si>
  <si>
    <t>www.lixinger.com/analytics/company/sh/688046/688046/detail</t>
  </si>
  <si>
    <t>敏芯股份</t>
  </si>
  <si>
    <t>www.lixinger.com/analytics/company/sh/688286/688286/detail</t>
  </si>
  <si>
    <t>ST北文</t>
  </si>
  <si>
    <t>www.lixinger.com/analytics/company/sz/000802/802/detail</t>
  </si>
  <si>
    <t>浪莎股份</t>
  </si>
  <si>
    <t>www.lixinger.com/analytics/company/sh/600137/600137/detail</t>
  </si>
  <si>
    <t>奥福环保</t>
  </si>
  <si>
    <t>www.lixinger.com/analytics/company/sh/688021/688021/detail</t>
  </si>
  <si>
    <t>海伦钢琴</t>
  </si>
  <si>
    <t>www.lixinger.com/analytics/company/sz/300329/300329/detail</t>
  </si>
  <si>
    <t>世名科技</t>
  </si>
  <si>
    <t>www.lixinger.com/analytics/company/sz/300522/300522/detail</t>
  </si>
  <si>
    <t>锦盛新材</t>
  </si>
  <si>
    <t>www.lixinger.com/analytics/company/sz/300849/300849/detail</t>
  </si>
  <si>
    <t>海昌新材</t>
  </si>
  <si>
    <t>www.lixinger.com/analytics/company/sz/300885/300885/detail</t>
  </si>
  <si>
    <t>远方信息</t>
  </si>
  <si>
    <t>www.lixinger.com/analytics/company/sz/300306/300306/detail</t>
  </si>
  <si>
    <t>如通股份</t>
  </si>
  <si>
    <t>www.lixinger.com/analytics/company/sh/603036/603036/detail</t>
  </si>
  <si>
    <t>天舟文化</t>
  </si>
  <si>
    <t>www.lixinger.com/analytics/company/sz/300148/300148/detail</t>
  </si>
  <si>
    <t>泛亚微透</t>
  </si>
  <si>
    <t>www.lixinger.com/analytics/company/sh/688386/688386/detail</t>
  </si>
  <si>
    <t>绿康生化</t>
  </si>
  <si>
    <t>www.lixinger.com/analytics/company/sz/002868/2868/detail</t>
  </si>
  <si>
    <t>中科信息</t>
  </si>
  <si>
    <t>www.lixinger.com/analytics/company/sz/300678/300678/detail</t>
  </si>
  <si>
    <t>吉大正元</t>
  </si>
  <si>
    <t>www.lixinger.com/analytics/company/sz/003029/3029/detail</t>
  </si>
  <si>
    <t>罗普特</t>
  </si>
  <si>
    <t>www.lixinger.com/analytics/company/sh/688619/688619/detail</t>
  </si>
  <si>
    <t>深南电A</t>
  </si>
  <si>
    <t>www.lixinger.com/analytics/company/sz/000037/37/detail</t>
  </si>
  <si>
    <t>展鹏科技</t>
  </si>
  <si>
    <t>www.lixinger.com/analytics/company/sh/603488/603488/detail</t>
  </si>
  <si>
    <t>四通股份</t>
  </si>
  <si>
    <t>www.lixinger.com/analytics/company/sh/603838/603838/detail</t>
  </si>
  <si>
    <t>山水比德</t>
  </si>
  <si>
    <t>www.lixinger.com/analytics/company/sz/300844/300844/detail</t>
  </si>
  <si>
    <t>声迅股份</t>
  </si>
  <si>
    <t>www.lixinger.com/analytics/company/sz/003004/3004/detail</t>
  </si>
  <si>
    <t>海源复材</t>
  </si>
  <si>
    <t>www.lixinger.com/analytics/company/sz/002529/2529/detail</t>
  </si>
  <si>
    <t>中科星图</t>
  </si>
  <si>
    <t>www.lixinger.com/analytics/company/sh/688568/688568/detail</t>
  </si>
  <si>
    <t>绿的谐波</t>
  </si>
  <si>
    <t>www.lixinger.com/analytics/company/sh/688017/688017/detail</t>
  </si>
  <si>
    <t>桂发祥</t>
  </si>
  <si>
    <t>www.lixinger.com/analytics/company/sz/002820/2820/detail</t>
  </si>
  <si>
    <t>启迪药业</t>
  </si>
  <si>
    <t>www.lixinger.com/analytics/company/sz/000590/590/detail</t>
  </si>
  <si>
    <t>中晶科技</t>
  </si>
  <si>
    <t>www.lixinger.com/analytics/company/sz/003026/3026/detail</t>
  </si>
  <si>
    <t>澳华内镜</t>
  </si>
  <si>
    <t>www.lixinger.com/analytics/company/sh/688212/688212/detail</t>
  </si>
  <si>
    <t>神思电子</t>
  </si>
  <si>
    <t>www.lixinger.com/analytics/company/sz/300479/300479/detail</t>
  </si>
  <si>
    <t>ST九有</t>
  </si>
  <si>
    <t>www.lixinger.com/analytics/company/sh/600462/600462/detail</t>
  </si>
  <si>
    <t>康斯特</t>
  </si>
  <si>
    <t>www.lixinger.com/analytics/company/sz/300445/300445/detail</t>
  </si>
  <si>
    <t>永安林业</t>
  </si>
  <si>
    <t>www.lixinger.com/analytics/company/sz/000663/663/detail</t>
  </si>
  <si>
    <t>莱伯泰科</t>
  </si>
  <si>
    <t>www.lixinger.com/analytics/company/sh/688056/688056/detail</t>
  </si>
  <si>
    <t>华锐精密</t>
  </si>
  <si>
    <t>www.lixinger.com/analytics/company/sh/688059/688059/detail</t>
  </si>
  <si>
    <t>蒙泰高新</t>
  </si>
  <si>
    <t>www.lixinger.com/analytics/company/sz/300876/300876/detail</t>
  </si>
  <si>
    <t>杭州柯林</t>
  </si>
  <si>
    <t>www.lixinger.com/analytics/company/sh/688611/688611/detail</t>
  </si>
  <si>
    <t>天益医疗</t>
  </si>
  <si>
    <t>www.lixinger.com/analytics/company/sz/301097/301097/detail</t>
  </si>
  <si>
    <t>凯尔达</t>
  </si>
  <si>
    <t>www.lixinger.com/analytics/company/sh/688255/688255/detail</t>
  </si>
  <si>
    <t>品茗股份</t>
  </si>
  <si>
    <t>www.lixinger.com/analytics/company/sh/688109/688109/detail</t>
  </si>
  <si>
    <t>新瀚新材</t>
  </si>
  <si>
    <t>www.lixinger.com/analytics/company/sz/301076/301076/detail</t>
  </si>
  <si>
    <t>ST华钰</t>
  </si>
  <si>
    <t>www.lixinger.com/analytics/company/sh/601020/601020/detail</t>
  </si>
  <si>
    <t>爱朋医疗</t>
  </si>
  <si>
    <t>www.lixinger.com/analytics/company/sz/300753/300753/detail</t>
  </si>
  <si>
    <t>阳光股份</t>
  </si>
  <si>
    <t>www.lixinger.com/analytics/company/sz/000608/608/detail</t>
  </si>
  <si>
    <t>鼎阳科技</t>
  </si>
  <si>
    <t>www.lixinger.com/analytics/company/sh/688112/688112/detail</t>
  </si>
  <si>
    <t>煜邦电力</t>
  </si>
  <si>
    <t>www.lixinger.com/analytics/company/sh/688597/688597/detail</t>
  </si>
  <si>
    <t>仁度生物</t>
  </si>
  <si>
    <t>www.lixinger.com/analytics/company/sh/688193/688193/detail</t>
  </si>
  <si>
    <t>ST星源</t>
  </si>
  <si>
    <t>www.lixinger.com/analytics/company/sz/000005/5/detail</t>
  </si>
  <si>
    <t>安达维尔</t>
  </si>
  <si>
    <t>www.lixinger.com/analytics/company/sz/300719/300719/detail</t>
  </si>
  <si>
    <t>路德环境</t>
  </si>
  <si>
    <t>www.lixinger.com/analytics/company/sh/688156/688156/detail</t>
  </si>
  <si>
    <t>东望时代</t>
  </si>
  <si>
    <t>www.lixinger.com/analytics/company/sh/600052/600052/detail</t>
  </si>
  <si>
    <t>三晖电气</t>
  </si>
  <si>
    <t>www.lixinger.com/analytics/company/sz/002857/2857/detail</t>
  </si>
  <si>
    <t>北摩高科</t>
  </si>
  <si>
    <t>www.lixinger.com/analytics/company/sz/002985/2985/detail</t>
  </si>
  <si>
    <t>万通发展</t>
  </si>
  <si>
    <t>www.lixinger.com/analytics/company/sh/600246/600246/detail</t>
  </si>
  <si>
    <t>能辉科技</t>
  </si>
  <si>
    <t>www.lixinger.com/analytics/company/sz/301046/301046/detail</t>
  </si>
  <si>
    <t>博云新材</t>
  </si>
  <si>
    <t>www.lixinger.com/analytics/company/sz/002297/2297/detail</t>
  </si>
  <si>
    <t>双成药业</t>
  </si>
  <si>
    <t>www.lixinger.com/analytics/company/sz/002693/2693/detail</t>
  </si>
  <si>
    <t>昂立教育</t>
  </si>
  <si>
    <t>www.lixinger.com/analytics/company/sh/600661/600661/detail</t>
  </si>
  <si>
    <t>粤万年青</t>
  </si>
  <si>
    <t>www.lixinger.com/analytics/company/sz/301111/301111/detail</t>
  </si>
  <si>
    <t>新华传媒</t>
  </si>
  <si>
    <t>www.lixinger.com/analytics/company/sh/600825/600825/detail</t>
  </si>
  <si>
    <t>奥维通信</t>
  </si>
  <si>
    <t>www.lixinger.com/analytics/company/sz/002231/2231/detail</t>
  </si>
  <si>
    <t>欧林生物</t>
  </si>
  <si>
    <t>www.lixinger.com/analytics/company/sh/688319/688319/detail</t>
  </si>
  <si>
    <t>国光电气</t>
  </si>
  <si>
    <t>www.lixinger.com/analytics/company/sh/688776/688776/detail</t>
  </si>
  <si>
    <t>*ST德新</t>
  </si>
  <si>
    <t>www.lixinger.com/analytics/company/sh/603032/603032/detail</t>
  </si>
  <si>
    <t>和顺电气</t>
  </si>
  <si>
    <t>www.lixinger.com/analytics/company/sz/300141/300141/detail</t>
  </si>
  <si>
    <t>金运激光</t>
  </si>
  <si>
    <t>www.lixinger.com/analytics/company/sz/300220/300220/detail</t>
  </si>
  <si>
    <t>中天火箭</t>
  </si>
  <si>
    <t>www.lixinger.com/analytics/company/sz/003009/3009/detail</t>
  </si>
  <si>
    <t>金发拉比</t>
  </si>
  <si>
    <t>www.lixinger.com/analytics/company/sz/002762/2762/detail</t>
  </si>
  <si>
    <t>陇神戎发</t>
  </si>
  <si>
    <t>www.lixinger.com/analytics/company/sz/300534/300534/detail</t>
  </si>
  <si>
    <t>龙高股份</t>
  </si>
  <si>
    <t>www.lixinger.com/analytics/company/sh/605086/605086/detail</t>
  </si>
  <si>
    <t>大烨智能</t>
  </si>
  <si>
    <t>www.lixinger.com/analytics/company/sz/300670/300670/detail</t>
  </si>
  <si>
    <t>博瑞传播</t>
  </si>
  <si>
    <t>学历教育</t>
  </si>
  <si>
    <t>www.lixinger.com/analytics/company/sh/600880/600880/detail</t>
  </si>
  <si>
    <t>麦迪科技</t>
  </si>
  <si>
    <t>www.lixinger.com/analytics/company/sh/603990/603990/detail</t>
  </si>
  <si>
    <t>中水渔业</t>
  </si>
  <si>
    <t>www.lixinger.com/analytics/company/sz/000798/798/detail</t>
  </si>
  <si>
    <t>欣天科技</t>
  </si>
  <si>
    <t>www.lixinger.com/analytics/company/sz/300615/300615/detail</t>
  </si>
  <si>
    <t>佳华科技</t>
  </si>
  <si>
    <t>www.lixinger.com/analytics/company/sh/688051/688051/detail</t>
  </si>
  <si>
    <t>综艺股份</t>
  </si>
  <si>
    <t>www.lixinger.com/analytics/company/sh/600770/600770/detail</t>
  </si>
  <si>
    <t>西点药业</t>
  </si>
  <si>
    <t>www.lixinger.com/analytics/company/sz/301130/301130/detail</t>
  </si>
  <si>
    <t>国芯科技</t>
  </si>
  <si>
    <t>www.lixinger.com/analytics/company/sh/688262/688262/detail</t>
  </si>
  <si>
    <t>百诚医药</t>
  </si>
  <si>
    <t>www.lixinger.com/analytics/company/sz/301096/301096/detail</t>
  </si>
  <si>
    <t>星球石墨</t>
  </si>
  <si>
    <t>www.lixinger.com/analytics/company/sh/688633/688633/detail</t>
  </si>
  <si>
    <t>万向德农</t>
  </si>
  <si>
    <t>www.lixinger.com/analytics/company/sh/600371/600371/detail</t>
  </si>
  <si>
    <t>华业香料</t>
  </si>
  <si>
    <t>www.lixinger.com/analytics/company/sz/300886/300886/detail</t>
  </si>
  <si>
    <t>蕾奥规划</t>
  </si>
  <si>
    <t>www.lixinger.com/analytics/company/sz/300989/300989/detail</t>
  </si>
  <si>
    <t>爱科科技</t>
  </si>
  <si>
    <t>www.lixinger.com/analytics/company/sh/688092/688092/detail</t>
  </si>
  <si>
    <t>中金辐照</t>
  </si>
  <si>
    <t>其他专业服务</t>
  </si>
  <si>
    <t>www.lixinger.com/analytics/company/sz/300962/300962/detail</t>
  </si>
  <si>
    <t>华信新材</t>
  </si>
  <si>
    <t>www.lixinger.com/analytics/company/sz/300717/300717/detail</t>
  </si>
  <si>
    <t>沃尔德</t>
  </si>
  <si>
    <t>www.lixinger.com/analytics/company/sh/688028/688028/detail</t>
  </si>
  <si>
    <t>正弦电气</t>
  </si>
  <si>
    <t>www.lixinger.com/analytics/company/sh/688395/688395/detail</t>
  </si>
  <si>
    <t>力源科技</t>
  </si>
  <si>
    <t>www.lixinger.com/analytics/company/sh/688565/688565/detail</t>
  </si>
  <si>
    <t>禾川科技</t>
  </si>
  <si>
    <t>www.lixinger.com/analytics/company/sh/688320/688320/detail</t>
  </si>
  <si>
    <t>ST辉丰</t>
  </si>
  <si>
    <t>www.lixinger.com/analytics/company/sz/002496/2496/detail</t>
  </si>
  <si>
    <t>沐邦高科</t>
  </si>
  <si>
    <t>www.lixinger.com/analytics/company/sh/603398/603398/detail</t>
  </si>
  <si>
    <t>深中华B</t>
  </si>
  <si>
    <t>www.lixinger.com/analytics/company/sz/200017/200017/detail</t>
  </si>
  <si>
    <t>科安达</t>
  </si>
  <si>
    <t>www.lixinger.com/analytics/company/sz/002972/2972/detail</t>
  </si>
  <si>
    <t>雄帝科技</t>
  </si>
  <si>
    <t>www.lixinger.com/analytics/company/sz/300546/300546/detail</t>
  </si>
  <si>
    <t>重庆路桥</t>
  </si>
  <si>
    <t>www.lixinger.com/analytics/company/sh/600106/600106/detail</t>
  </si>
  <si>
    <t>四环生物</t>
  </si>
  <si>
    <t>www.lixinger.com/analytics/company/sz/000518/518/detail</t>
  </si>
  <si>
    <t>蜀道装备</t>
  </si>
  <si>
    <t>www.lixinger.com/analytics/company/sz/300540/300540/detail</t>
  </si>
  <si>
    <t>三特索道</t>
  </si>
  <si>
    <t>www.lixinger.com/analytics/company/sz/002159/2159/detail</t>
  </si>
  <si>
    <t>艾布鲁</t>
  </si>
  <si>
    <t>www.lixinger.com/analytics/company/sz/301259/301259/detail</t>
  </si>
  <si>
    <t>科新发展</t>
  </si>
  <si>
    <t>www.lixinger.com/analytics/company/sh/600234/600234/detail</t>
  </si>
  <si>
    <t>奥来德</t>
  </si>
  <si>
    <t>www.lixinger.com/analytics/company/sh/688378/688378/detail</t>
  </si>
  <si>
    <t>*ST腾邦</t>
  </si>
  <si>
    <t>www.lixinger.com/analytics/company/sz/300178/300178/detail</t>
  </si>
  <si>
    <t>天秦装备</t>
  </si>
  <si>
    <t>www.lixinger.com/analytics/company/sz/300922/300922/detail</t>
  </si>
  <si>
    <t>和达科技</t>
  </si>
  <si>
    <t>www.lixinger.com/analytics/company/sh/688296/688296/detail</t>
  </si>
  <si>
    <t>三盛教育</t>
  </si>
  <si>
    <t>www.lixinger.com/analytics/company/sz/300282/300282/detail</t>
  </si>
  <si>
    <t>中胤时尚</t>
  </si>
  <si>
    <t>www.lixinger.com/analytics/company/sz/300901/300901/detail</t>
  </si>
  <si>
    <t>海天瑞声</t>
  </si>
  <si>
    <t>www.lixinger.com/analytics/company/sh/688787/688787/detail</t>
  </si>
  <si>
    <t>致远新能</t>
  </si>
  <si>
    <t>www.lixinger.com/analytics/company/sz/300985/300985/detail</t>
  </si>
  <si>
    <t>四川金顶</t>
  </si>
  <si>
    <t>www.lixinger.com/analytics/company/sh/600678/600678/detail</t>
  </si>
  <si>
    <t>和林微纳</t>
  </si>
  <si>
    <t>www.lixinger.com/analytics/company/sh/688661/688661/detail</t>
  </si>
  <si>
    <t>汇纳科技</t>
  </si>
  <si>
    <t>www.lixinger.com/analytics/company/sz/300609/300609/detail</t>
  </si>
  <si>
    <t>荣昌生物</t>
  </si>
  <si>
    <t>www.lixinger.com/analytics/company/sh/688331/688331/detail</t>
  </si>
  <si>
    <t>奥联电子</t>
  </si>
  <si>
    <t>www.lixinger.com/analytics/company/sz/300585/300585/detail</t>
  </si>
  <si>
    <t>先锋新材</t>
  </si>
  <si>
    <t>www.lixinger.com/analytics/company/sz/300163/300163/detail</t>
  </si>
  <si>
    <t>成都先导</t>
  </si>
  <si>
    <t>www.lixinger.com/analytics/company/sh/688222/688222/detail</t>
  </si>
  <si>
    <t>中新赛克</t>
  </si>
  <si>
    <t>www.lixinger.com/analytics/company/sz/002912/2912/detail</t>
  </si>
  <si>
    <t>金溢科技</t>
  </si>
  <si>
    <t>www.lixinger.com/analytics/company/sz/002869/2869/detail</t>
  </si>
  <si>
    <t>力合科技</t>
  </si>
  <si>
    <t>www.lixinger.com/analytics/company/sz/300800/300800/detail</t>
  </si>
  <si>
    <t>森远股份</t>
  </si>
  <si>
    <t>www.lixinger.com/analytics/company/sz/300210/300210/detail</t>
  </si>
  <si>
    <t>华斯股份</t>
  </si>
  <si>
    <t>www.lixinger.com/analytics/company/sz/002494/2494/detail</t>
  </si>
  <si>
    <t>普元信息</t>
  </si>
  <si>
    <t>www.lixinger.com/analytics/company/sh/688118/688118/detail</t>
  </si>
  <si>
    <t>寒武纪</t>
  </si>
  <si>
    <t>www.lixinger.com/analytics/company/sh/688256/688256/detail</t>
  </si>
  <si>
    <t>*ST中基</t>
  </si>
  <si>
    <t>www.lixinger.com/analytics/company/sz/000972/972/detail</t>
  </si>
  <si>
    <t>南京化纤</t>
  </si>
  <si>
    <t>www.lixinger.com/analytics/company/sh/600889/600889/detail</t>
  </si>
  <si>
    <t>品高股份</t>
  </si>
  <si>
    <t>www.lixinger.com/analytics/company/sh/688227/688227/detail</t>
  </si>
  <si>
    <t>开普云</t>
  </si>
  <si>
    <t>www.lixinger.com/analytics/company/sh/688228/688228/detail</t>
  </si>
  <si>
    <t>铜牛信息</t>
  </si>
  <si>
    <t>www.lixinger.com/analytics/company/sz/300895/300895/detail</t>
  </si>
  <si>
    <t>唯赛勃</t>
  </si>
  <si>
    <t>www.lixinger.com/analytics/company/sh/688718/688718/detail</t>
  </si>
  <si>
    <t>返利科技</t>
  </si>
  <si>
    <t>www.lixinger.com/analytics/company/sh/600228/600228/detail</t>
  </si>
  <si>
    <t>*ST光一</t>
  </si>
  <si>
    <t>www.lixinger.com/analytics/company/sz/300356/300356/detail</t>
  </si>
  <si>
    <t>亿通科技</t>
  </si>
  <si>
    <t>www.lixinger.com/analytics/company/sz/300211/300211/detail</t>
  </si>
  <si>
    <t>浙海德曼</t>
  </si>
  <si>
    <t>www.lixinger.com/analytics/company/sh/688577/688577/detail</t>
  </si>
  <si>
    <t>大立科技</t>
  </si>
  <si>
    <t>www.lixinger.com/analytics/company/sz/002214/2214/detail</t>
  </si>
  <si>
    <t>田中精机</t>
  </si>
  <si>
    <t>www.lixinger.com/analytics/company/sz/300461/300461/detail</t>
  </si>
  <si>
    <t>冀凯股份</t>
  </si>
  <si>
    <t>www.lixinger.com/analytics/company/sz/002691/2691/detail</t>
  </si>
  <si>
    <t>*ST天龙</t>
  </si>
  <si>
    <t>www.lixinger.com/analytics/company/sz/300029/300029/detail</t>
  </si>
  <si>
    <t>ST熊猫</t>
  </si>
  <si>
    <t>www.lixinger.com/analytics/company/sh/600599/600599/detail</t>
  </si>
  <si>
    <t>浩云科技</t>
  </si>
  <si>
    <t>www.lixinger.com/analytics/company/sz/300448/300448/detail</t>
  </si>
  <si>
    <t>京源环保</t>
  </si>
  <si>
    <t>www.lixinger.com/analytics/company/sh/688096/688096/detail</t>
  </si>
  <si>
    <t>农尚环境</t>
  </si>
  <si>
    <t>www.lixinger.com/analytics/company/sz/300536/300536/detail</t>
  </si>
  <si>
    <t>百邦科技</t>
  </si>
  <si>
    <t>www.lixinger.com/analytics/company/sz/300736/300736/detail</t>
  </si>
  <si>
    <t>博亚精工</t>
  </si>
  <si>
    <t>www.lixinger.com/analytics/company/sz/300971/300971/detail</t>
  </si>
  <si>
    <t>*ST赫美</t>
  </si>
  <si>
    <t>www.lixinger.com/analytics/company/sz/002356/2356/detail</t>
  </si>
  <si>
    <t>爱迪尔</t>
  </si>
  <si>
    <t>www.lixinger.com/analytics/company/sz/002740/2740/detail</t>
  </si>
  <si>
    <t>黄山胶囊</t>
  </si>
  <si>
    <t>www.lixinger.com/analytics/company/sz/002817/2817/detail</t>
  </si>
  <si>
    <t>长光华芯</t>
  </si>
  <si>
    <t>www.lixinger.com/analytics/company/sh/688048/688048/detail</t>
  </si>
  <si>
    <t>建科院</t>
  </si>
  <si>
    <t>www.lixinger.com/analytics/company/sz/300675/300675/detail</t>
  </si>
  <si>
    <t>伟思医疗</t>
  </si>
  <si>
    <t>www.lixinger.com/analytics/company/sh/688580/688580/detail</t>
  </si>
  <si>
    <t>南华生物</t>
  </si>
  <si>
    <t>www.lixinger.com/analytics/company/sz/000504/504/detail</t>
  </si>
  <si>
    <t>卓锦股份</t>
  </si>
  <si>
    <t>www.lixinger.com/analytics/company/sh/688701/688701/detail</t>
  </si>
  <si>
    <t>三六五网</t>
  </si>
  <si>
    <t>www.lixinger.com/analytics/company/sz/300295/300295/detail</t>
  </si>
  <si>
    <t>*ST全新</t>
  </si>
  <si>
    <t>www.lixinger.com/analytics/company/sz/000007/7/detail</t>
  </si>
  <si>
    <t>精伦电子</t>
  </si>
  <si>
    <t>www.lixinger.com/analytics/company/sh/600355/600355/detail</t>
  </si>
  <si>
    <t>佳发教育</t>
  </si>
  <si>
    <t>www.lixinger.com/analytics/company/sz/300559/300559/detail</t>
  </si>
  <si>
    <t>亚太实业</t>
  </si>
  <si>
    <t>www.lixinger.com/analytics/company/sz/000691/691/detail</t>
  </si>
  <si>
    <t>佰仁医疗</t>
  </si>
  <si>
    <t>www.lixinger.com/analytics/company/sh/688198/688198/detail</t>
  </si>
  <si>
    <t>方邦股份</t>
  </si>
  <si>
    <t>www.lixinger.com/analytics/company/sh/688020/688020/detail</t>
  </si>
  <si>
    <t>太和水</t>
  </si>
  <si>
    <t>www.lixinger.com/analytics/company/sh/605081/605081/detail</t>
  </si>
  <si>
    <t>泽达易盛</t>
  </si>
  <si>
    <t>www.lixinger.com/analytics/company/sh/688555/688555/detail</t>
  </si>
  <si>
    <t>零点有数</t>
  </si>
  <si>
    <t>www.lixinger.com/analytics/company/sz/301169/301169/detail</t>
  </si>
  <si>
    <t>惠程科技</t>
  </si>
  <si>
    <t>www.lixinger.com/analytics/company/sz/002168/2168/detail</t>
  </si>
  <si>
    <t>ST起步</t>
  </si>
  <si>
    <t>www.lixinger.com/analytics/company/sh/603557/603557/detail</t>
  </si>
  <si>
    <t>中润资源</t>
  </si>
  <si>
    <t>www.lixinger.com/analytics/company/sz/000506/506/detail</t>
  </si>
  <si>
    <t>科创信息</t>
  </si>
  <si>
    <t>www.lixinger.com/analytics/company/sz/300730/300730/detail</t>
  </si>
  <si>
    <t>国瑞科技</t>
  </si>
  <si>
    <t>www.lixinger.com/analytics/company/sz/300600/300600/detail</t>
  </si>
  <si>
    <t>恒锋信息</t>
  </si>
  <si>
    <t>www.lixinger.com/analytics/company/sz/300605/300605/detail</t>
  </si>
  <si>
    <t>天目湖</t>
  </si>
  <si>
    <t>www.lixinger.com/analytics/company/sh/603136/603136/detail</t>
  </si>
  <si>
    <t>准油股份</t>
  </si>
  <si>
    <t>www.lixinger.com/analytics/company/sz/002207/2207/detail</t>
  </si>
  <si>
    <t>实丰文化</t>
  </si>
  <si>
    <t>www.lixinger.com/analytics/company/sz/002862/2862/detail</t>
  </si>
  <si>
    <t>艾迪药业</t>
  </si>
  <si>
    <t>www.lixinger.com/analytics/company/sh/688488/688488/detail</t>
  </si>
  <si>
    <t>杰恩设计</t>
  </si>
  <si>
    <t>www.lixinger.com/analytics/company/sz/300668/300668/detail</t>
  </si>
  <si>
    <t>德固特</t>
  </si>
  <si>
    <t>www.lixinger.com/analytics/company/sz/300950/300950/detail</t>
  </si>
  <si>
    <t>新余国科</t>
  </si>
  <si>
    <t>www.lixinger.com/analytics/company/sz/300722/300722/detail</t>
  </si>
  <si>
    <t>景业智能</t>
  </si>
  <si>
    <t>www.lixinger.com/analytics/company/sh/688290/688290/detail</t>
  </si>
  <si>
    <t>科威尔</t>
  </si>
  <si>
    <t>www.lixinger.com/analytics/company/sh/688551/688551/detail</t>
  </si>
  <si>
    <t>乐通股份</t>
  </si>
  <si>
    <t>www.lixinger.com/analytics/company/sz/002319/2319/detail</t>
  </si>
  <si>
    <t>邵阳液压</t>
  </si>
  <si>
    <t>www.lixinger.com/analytics/company/sz/301079/301079/detail</t>
  </si>
  <si>
    <t>梅雁吉祥</t>
  </si>
  <si>
    <t>www.lixinger.com/analytics/company/sh/600868/600868/detail</t>
  </si>
  <si>
    <t>中广天择</t>
  </si>
  <si>
    <t>www.lixinger.com/analytics/company/sh/603721/603721/detail</t>
  </si>
  <si>
    <t>瑞纳智能</t>
  </si>
  <si>
    <t>www.lixinger.com/analytics/company/sz/301129/301129/detail</t>
  </si>
  <si>
    <t>北纬科技</t>
  </si>
  <si>
    <t>www.lixinger.com/analytics/company/sz/002148/2148/detail</t>
  </si>
  <si>
    <t>易尚展示</t>
  </si>
  <si>
    <t>www.lixinger.com/analytics/company/sz/002751/2751/detail</t>
  </si>
  <si>
    <t>紫晶存储</t>
  </si>
  <si>
    <t>www.lixinger.com/analytics/company/sh/688086/688086/detail</t>
  </si>
  <si>
    <t>惠威科技</t>
  </si>
  <si>
    <t>www.lixinger.com/analytics/company/sz/002888/2888/detail</t>
  </si>
  <si>
    <t>卓易信息</t>
  </si>
  <si>
    <t>www.lixinger.com/analytics/company/sh/688258/688258/detail</t>
  </si>
  <si>
    <t>新城市</t>
  </si>
  <si>
    <t>www.lixinger.com/analytics/company/sz/300778/300778/detail</t>
  </si>
  <si>
    <t>奥特迅</t>
  </si>
  <si>
    <t>www.lixinger.com/analytics/company/sz/002227/2227/detail</t>
  </si>
  <si>
    <t>奥精医疗</t>
  </si>
  <si>
    <t>www.lixinger.com/analytics/company/sh/688613/688613/detail</t>
  </si>
  <si>
    <t>普联软件</t>
  </si>
  <si>
    <t>www.lixinger.com/analytics/company/sz/300996/300996/detail</t>
  </si>
  <si>
    <t>南风股份</t>
  </si>
  <si>
    <t>www.lixinger.com/analytics/company/sz/300004/300004/detail</t>
  </si>
  <si>
    <t>金时科技</t>
  </si>
  <si>
    <t>www.lixinger.com/analytics/company/sz/002951/2951/detail</t>
  </si>
  <si>
    <t>健麾信息</t>
  </si>
  <si>
    <t>www.lixinger.com/analytics/company/sh/605186/605186/detail</t>
  </si>
  <si>
    <t>海南高速</t>
  </si>
  <si>
    <t>www.lixinger.com/analytics/company/sz/000886/886/detail</t>
  </si>
  <si>
    <t>安硕信息</t>
  </si>
  <si>
    <t>www.lixinger.com/analytics/company/sz/300380/300380/detail</t>
  </si>
  <si>
    <t>海联讯</t>
  </si>
  <si>
    <t>www.lixinger.com/analytics/company/sz/300277/300277/detail</t>
  </si>
  <si>
    <t>*ST百花</t>
  </si>
  <si>
    <t>www.lixinger.com/analytics/company/sh/600721/600721/detail</t>
  </si>
  <si>
    <t>康拓医疗</t>
  </si>
  <si>
    <t>www.lixinger.com/analytics/company/sh/688314/688314/detail</t>
  </si>
  <si>
    <t>河化股份</t>
  </si>
  <si>
    <t>www.lixinger.com/analytics/company/sz/000953/953/detail</t>
  </si>
  <si>
    <t>东方网络</t>
  </si>
  <si>
    <t>www.lixinger.com/analytics/company/sz/002175/2175/detail</t>
  </si>
  <si>
    <t>佳缘科技</t>
  </si>
  <si>
    <t>www.lixinger.com/analytics/company/sz/301117/301117/detail</t>
  </si>
  <si>
    <t>天亿马</t>
  </si>
  <si>
    <t>www.lixinger.com/analytics/company/sz/301178/301178/detail</t>
  </si>
  <si>
    <t>瑞华泰</t>
  </si>
  <si>
    <t>www.lixinger.com/analytics/company/sh/688323/688323/detail</t>
  </si>
  <si>
    <t>康众医疗</t>
  </si>
  <si>
    <t>www.lixinger.com/analytics/company/sh/688607/688607/detail</t>
  </si>
  <si>
    <t>路通视信</t>
  </si>
  <si>
    <t>www.lixinger.com/analytics/company/sz/300555/300555/detail</t>
  </si>
  <si>
    <t>信息发展</t>
  </si>
  <si>
    <t>www.lixinger.com/analytics/company/sz/300469/300469/detail</t>
  </si>
  <si>
    <t>国新文化</t>
  </si>
  <si>
    <t>www.lixinger.com/analytics/company/sh/600636/600636/detail</t>
  </si>
  <si>
    <t>唐源电气</t>
  </si>
  <si>
    <t>www.lixinger.com/analytics/company/sz/300789/300789/detail</t>
  </si>
  <si>
    <t>华丽家族</t>
  </si>
  <si>
    <t>www.lixinger.com/analytics/company/sh/600503/600503/detail</t>
  </si>
  <si>
    <t>恒久科技</t>
  </si>
  <si>
    <t>www.lixinger.com/analytics/company/sz/002808/2808/detail</t>
  </si>
  <si>
    <t>中汽股份</t>
  </si>
  <si>
    <t>www.lixinger.com/analytics/company/sz/301215/301215/detail</t>
  </si>
  <si>
    <t>越博动力</t>
  </si>
  <si>
    <t>www.lixinger.com/analytics/company/sz/300742/300742/detail</t>
  </si>
  <si>
    <t>通业科技</t>
  </si>
  <si>
    <t>www.lixinger.com/analytics/company/sz/300960/300960/detail</t>
  </si>
  <si>
    <t>金三江</t>
  </si>
  <si>
    <t>www.lixinger.com/analytics/company/sz/301059/301059/detail</t>
  </si>
  <si>
    <t>森霸传感</t>
  </si>
  <si>
    <t>www.lixinger.com/analytics/company/sz/300701/300701/detail</t>
  </si>
  <si>
    <t>*ST恒誉</t>
  </si>
  <si>
    <t>www.lixinger.com/analytics/company/sh/688309/688309/detail</t>
  </si>
  <si>
    <t>深中华A</t>
  </si>
  <si>
    <t>www.lixinger.com/analytics/company/sz/000017/17/detail</t>
  </si>
  <si>
    <t>天臣医疗</t>
  </si>
  <si>
    <t>www.lixinger.com/analytics/company/sh/688013/688013/detail</t>
  </si>
  <si>
    <t>华依科技</t>
  </si>
  <si>
    <t>www.lixinger.com/analytics/company/sh/688071/688071/detail</t>
  </si>
  <si>
    <t>赛科希德</t>
  </si>
  <si>
    <t>www.lixinger.com/analytics/company/sh/688338/688338/detail</t>
  </si>
  <si>
    <t>湖南天雁</t>
  </si>
  <si>
    <t>www.lixinger.com/analytics/company/sh/600698/600698/detail</t>
  </si>
  <si>
    <t>亚振家居</t>
  </si>
  <si>
    <t>www.lixinger.com/analytics/company/sh/603389/603389/detail</t>
  </si>
  <si>
    <t>容知日新</t>
  </si>
  <si>
    <t>www.lixinger.com/analytics/company/sh/688768/688768/detail</t>
  </si>
  <si>
    <t>中威电子</t>
  </si>
  <si>
    <t>www.lixinger.com/analytics/company/sz/300270/300270/detail</t>
  </si>
  <si>
    <t>龙津药业</t>
  </si>
  <si>
    <t>www.lixinger.com/analytics/company/sz/002750/2750/detail</t>
  </si>
  <si>
    <t>*ST博信</t>
  </si>
  <si>
    <t>www.lixinger.com/analytics/company/sh/600083/600083/detail</t>
  </si>
  <si>
    <t>兆新股份</t>
  </si>
  <si>
    <t>www.lixinger.com/analytics/company/sz/002256/2256/detail</t>
  </si>
  <si>
    <t>英可瑞</t>
  </si>
  <si>
    <t>www.lixinger.com/analytics/company/sz/300713/300713/detail</t>
  </si>
  <si>
    <t>鸿泉物联</t>
  </si>
  <si>
    <t>www.lixinger.com/analytics/company/sh/688288/688288/detail</t>
  </si>
  <si>
    <t>万里马</t>
  </si>
  <si>
    <t>www.lixinger.com/analytics/company/sz/300591/300591/detail</t>
  </si>
  <si>
    <t>三孚新科</t>
  </si>
  <si>
    <t>www.lixinger.com/analytics/company/sh/688359/688359/detail</t>
  </si>
  <si>
    <t>国中水务</t>
  </si>
  <si>
    <t>www.lixinger.com/analytics/company/sh/600187/600187/detail</t>
  </si>
  <si>
    <t>赛微微电</t>
  </si>
  <si>
    <t>www.lixinger.com/analytics/company/sh/688325/688325/detail</t>
  </si>
  <si>
    <t>津膜科技</t>
  </si>
  <si>
    <t>www.lixinger.com/analytics/company/sz/300334/300334/detail</t>
  </si>
  <si>
    <t>大晟文化</t>
  </si>
  <si>
    <t>www.lixinger.com/analytics/company/sh/600892/600892/detail</t>
  </si>
  <si>
    <t>和科达</t>
  </si>
  <si>
    <t>www.lixinger.com/analytics/company/sz/002816/2816/detail</t>
  </si>
  <si>
    <t>科汇股份</t>
  </si>
  <si>
    <t>www.lixinger.com/analytics/company/sh/688681/688681/detail</t>
  </si>
  <si>
    <t>捷强装备</t>
  </si>
  <si>
    <t>www.lixinger.com/analytics/company/sz/300875/300875/detail</t>
  </si>
  <si>
    <t>三旺通信</t>
  </si>
  <si>
    <t>www.lixinger.com/analytics/company/sh/688618/688618/detail</t>
  </si>
  <si>
    <t>美邦股份</t>
  </si>
  <si>
    <t>www.lixinger.com/analytics/company/sh/605033/605033/detail</t>
  </si>
  <si>
    <t>江南奕帆</t>
  </si>
  <si>
    <t>www.lixinger.com/analytics/company/sz/301023/301023/detail</t>
  </si>
  <si>
    <t>建研设计</t>
  </si>
  <si>
    <t>www.lixinger.com/analytics/company/sz/301167/301167/detail</t>
  </si>
  <si>
    <t>锋尚文化</t>
  </si>
  <si>
    <t>www.lixinger.com/analytics/company/sz/300860/300860/detail</t>
  </si>
  <si>
    <t>*ST中葡</t>
  </si>
  <si>
    <t>www.lixinger.com/analytics/company/sh/600084/600084/detail</t>
  </si>
  <si>
    <t>网达软件</t>
  </si>
  <si>
    <t>www.lixinger.com/analytics/company/sh/603189/603189/detail</t>
  </si>
  <si>
    <t>赛诺医疗</t>
  </si>
  <si>
    <t>www.lixinger.com/analytics/company/sh/688108/688108/detail</t>
  </si>
  <si>
    <t>爱威科技</t>
  </si>
  <si>
    <t>www.lixinger.com/analytics/company/sh/688067/688067/detail</t>
  </si>
  <si>
    <t>ST摩登</t>
  </si>
  <si>
    <t>www.lixinger.com/analytics/company/sz/002656/2656/detail</t>
  </si>
  <si>
    <t>通达电气</t>
  </si>
  <si>
    <t>www.lixinger.com/analytics/company/sh/603390/603390/detail</t>
  </si>
  <si>
    <t>*ST雪莱</t>
  </si>
  <si>
    <t>www.lixinger.com/analytics/company/sz/002076/2076/detail</t>
  </si>
  <si>
    <t>台海核电</t>
  </si>
  <si>
    <t>www.lixinger.com/analytics/company/sz/002366/2366/detail</t>
  </si>
  <si>
    <t>深水海纳</t>
  </si>
  <si>
    <t>www.lixinger.com/analytics/company/sz/300961/300961/detail</t>
  </si>
  <si>
    <t>三维天地</t>
  </si>
  <si>
    <t>www.lixinger.com/analytics/company/sz/301159/301159/detail</t>
  </si>
  <si>
    <t>新兴装备</t>
  </si>
  <si>
    <t>www.lixinger.com/analytics/company/sz/002933/2933/detail</t>
  </si>
  <si>
    <t>智明达</t>
  </si>
  <si>
    <t>www.lixinger.com/analytics/company/sh/688636/688636/detail</t>
  </si>
  <si>
    <t>艾艾精工</t>
  </si>
  <si>
    <t>www.lixinger.com/analytics/company/sh/603580/603580/detail</t>
  </si>
  <si>
    <t>同有科技</t>
  </si>
  <si>
    <t>www.lixinger.com/analytics/company/sz/300302/300302/detail</t>
  </si>
  <si>
    <t>瑞晟智能</t>
  </si>
  <si>
    <t>www.lixinger.com/analytics/company/sh/688215/688215/detail</t>
  </si>
  <si>
    <t>丽江股份</t>
  </si>
  <si>
    <t>www.lixinger.com/analytics/company/sz/002033/2033/detail</t>
  </si>
  <si>
    <t>超越科技</t>
  </si>
  <si>
    <t>www.lixinger.com/analytics/company/sz/301049/301049/detail</t>
  </si>
  <si>
    <t>ST新海</t>
  </si>
  <si>
    <t>www.lixinger.com/analytics/company/sz/002089/2089/detail</t>
  </si>
  <si>
    <t>壹石通</t>
  </si>
  <si>
    <t>www.lixinger.com/analytics/company/sh/688733/688733/detail</t>
  </si>
  <si>
    <t>睿昂基因</t>
  </si>
  <si>
    <t>www.lixinger.com/analytics/company/sh/688217/688217/detail</t>
  </si>
  <si>
    <t>申科股份</t>
  </si>
  <si>
    <t>www.lixinger.com/analytics/company/sz/002633/2633/detail</t>
  </si>
  <si>
    <t>米奥会展</t>
  </si>
  <si>
    <t>www.lixinger.com/analytics/company/sz/300795/300795/detail</t>
  </si>
  <si>
    <t>和仁科技</t>
  </si>
  <si>
    <t>www.lixinger.com/analytics/company/sz/300550/300550/detail</t>
  </si>
  <si>
    <t>财富趋势</t>
  </si>
  <si>
    <t>www.lixinger.com/analytics/company/sh/688318/688318/detail</t>
  </si>
  <si>
    <t>文一科技</t>
  </si>
  <si>
    <t>www.lixinger.com/analytics/company/sh/600520/600520/detail</t>
  </si>
  <si>
    <t>创识科技</t>
  </si>
  <si>
    <t>www.lixinger.com/analytics/company/sz/300941/300941/detail</t>
  </si>
  <si>
    <t>*ST巴士</t>
  </si>
  <si>
    <t>www.lixinger.com/analytics/company/sz/002188/2188/detail</t>
  </si>
  <si>
    <t>君亭酒店</t>
  </si>
  <si>
    <t>www.lixinger.com/analytics/company/sz/301073/301073/detail</t>
  </si>
  <si>
    <t>ST三五</t>
  </si>
  <si>
    <t>www.lixinger.com/analytics/company/sz/300051/300051/detail</t>
  </si>
  <si>
    <t>路畅科技</t>
  </si>
  <si>
    <t>www.lixinger.com/analytics/company/sz/002813/2813/detail</t>
  </si>
  <si>
    <t>*ST利源</t>
  </si>
  <si>
    <t>www.lixinger.com/analytics/company/sz/002501/2501/detail</t>
  </si>
  <si>
    <t>爱司凯</t>
  </si>
  <si>
    <t>www.lixinger.com/analytics/company/sz/300521/300521/detail</t>
  </si>
  <si>
    <t>国脉科技</t>
  </si>
  <si>
    <t>www.lixinger.com/analytics/company/sz/002093/2093/detail</t>
  </si>
  <si>
    <t>宝鼎科技</t>
  </si>
  <si>
    <t>www.lixinger.com/analytics/company/sz/002552/2552/detail</t>
  </si>
  <si>
    <t>海川智能</t>
  </si>
  <si>
    <t>www.lixinger.com/analytics/company/sz/300720/300720/detail</t>
  </si>
  <si>
    <t>南模生物</t>
  </si>
  <si>
    <t>www.lixinger.com/analytics/company/sh/688265/688265/detail</t>
  </si>
  <si>
    <t>长江通信</t>
  </si>
  <si>
    <t>www.lixinger.com/analytics/company/sh/600345/600345/detail</t>
  </si>
  <si>
    <t>集智股份</t>
  </si>
  <si>
    <t>www.lixinger.com/analytics/company/sz/300553/300553/detail</t>
  </si>
  <si>
    <t>实朴检测</t>
  </si>
  <si>
    <t>www.lixinger.com/analytics/company/sz/301228/301228/detail</t>
  </si>
  <si>
    <t>和顺科技</t>
  </si>
  <si>
    <t>www.lixinger.com/analytics/company/sz/301237/301237/detail</t>
  </si>
  <si>
    <t>国能日新</t>
  </si>
  <si>
    <t>www.lixinger.com/analytics/company/sz/301162/301162/detail</t>
  </si>
  <si>
    <t>*ST蓝盾</t>
  </si>
  <si>
    <t>www.lixinger.com/analytics/company/sz/300297/300297/detail</t>
  </si>
  <si>
    <t>好利科技</t>
  </si>
  <si>
    <t>www.lixinger.com/analytics/company/sz/002729/2729/detail</t>
  </si>
  <si>
    <t>渝三峡Ａ</t>
  </si>
  <si>
    <t>www.lixinger.com/analytics/company/sz/000565/565/detail</t>
  </si>
  <si>
    <t>东晶电子</t>
  </si>
  <si>
    <t>www.lixinger.com/analytics/company/sz/002199/2199/detail</t>
  </si>
  <si>
    <t>科德数控</t>
  </si>
  <si>
    <t>www.lixinger.com/analytics/company/sh/688305/688305/detail</t>
  </si>
  <si>
    <t>宝塔实业</t>
  </si>
  <si>
    <t>www.lixinger.com/analytics/company/sz/000595/595/detail</t>
  </si>
  <si>
    <t>德石股份</t>
  </si>
  <si>
    <t>www.lixinger.com/analytics/company/sz/301158/301158/detail</t>
  </si>
  <si>
    <t>顶点软件</t>
  </si>
  <si>
    <t>www.lixinger.com/analytics/company/sh/603383/603383/detail</t>
  </si>
  <si>
    <t>海利生物</t>
  </si>
  <si>
    <t>www.lixinger.com/analytics/company/sh/603718/603718/detail</t>
  </si>
  <si>
    <t>华虹计通</t>
  </si>
  <si>
    <t>www.lixinger.com/analytics/company/sz/300330/300330/detail</t>
  </si>
  <si>
    <t>霍莱沃</t>
  </si>
  <si>
    <t>www.lixinger.com/analytics/company/sh/688682/688682/detail</t>
  </si>
  <si>
    <t>华民股份</t>
  </si>
  <si>
    <t>www.lixinger.com/analytics/company/sz/300345/300345/detail</t>
  </si>
  <si>
    <t>新元科技</t>
  </si>
  <si>
    <t>www.lixinger.com/analytics/company/sz/300472/300472/detail</t>
  </si>
  <si>
    <t>迈普医学</t>
  </si>
  <si>
    <t>www.lixinger.com/analytics/company/sz/301033/301033/detail</t>
  </si>
  <si>
    <t>三超新材</t>
  </si>
  <si>
    <t>www.lixinger.com/analytics/company/sz/300554/300554/detail</t>
  </si>
  <si>
    <t>远信工业</t>
  </si>
  <si>
    <t>www.lixinger.com/analytics/company/sz/301053/301053/detail</t>
  </si>
  <si>
    <t>东华测试</t>
  </si>
  <si>
    <t>www.lixinger.com/analytics/company/sz/300354/300354/detail</t>
  </si>
  <si>
    <t>*ST丰华</t>
  </si>
  <si>
    <t>www.lixinger.com/analytics/company/sh/600615/600615/detail</t>
  </si>
  <si>
    <t>开勒股份</t>
  </si>
  <si>
    <t>www.lixinger.com/analytics/company/sz/301070/301070/detail</t>
  </si>
  <si>
    <t>海航科技</t>
  </si>
  <si>
    <t>www.lixinger.com/analytics/company/sh/600751/600751/detail</t>
  </si>
  <si>
    <t>*ST新文</t>
  </si>
  <si>
    <t>www.lixinger.com/analytics/company/sz/300336/300336/detail</t>
  </si>
  <si>
    <t>退市拉夏</t>
  </si>
  <si>
    <t>www.lixinger.com/analytics/company/sh/603157/603157/detail</t>
  </si>
  <si>
    <t>江泉实业</t>
  </si>
  <si>
    <t>www.lixinger.com/analytics/company/sh/600212/600212/detail</t>
  </si>
  <si>
    <t>和元生物</t>
  </si>
  <si>
    <t>www.lixinger.com/analytics/company/sh/688238/688238/detail</t>
  </si>
  <si>
    <t>中科通达</t>
  </si>
  <si>
    <t>www.lixinger.com/analytics/company/sh/688038/688038/detail</t>
  </si>
  <si>
    <t>国华网安</t>
  </si>
  <si>
    <t>www.lixinger.com/analytics/company/sz/000004/4/detail</t>
  </si>
  <si>
    <t>朗进科技</t>
  </si>
  <si>
    <t>www.lixinger.com/analytics/company/sz/300594/300594/detail</t>
  </si>
  <si>
    <t>赛隆药业</t>
  </si>
  <si>
    <t>www.lixinger.com/analytics/company/sz/002898/2898/detail</t>
  </si>
  <si>
    <t>ST步森</t>
  </si>
  <si>
    <t>www.lixinger.com/analytics/company/sz/002569/2569/detail</t>
  </si>
  <si>
    <t>*ST聚龙</t>
  </si>
  <si>
    <t>www.lixinger.com/analytics/company/sz/300202/300202/detail</t>
  </si>
  <si>
    <t>研奥股份</t>
  </si>
  <si>
    <t>www.lixinger.com/analytics/company/sz/300923/300923/detail</t>
  </si>
  <si>
    <t>秦川物联</t>
  </si>
  <si>
    <t>www.lixinger.com/analytics/company/sh/688528/688528/detail</t>
  </si>
  <si>
    <t>新宏泽</t>
  </si>
  <si>
    <t>www.lixinger.com/analytics/company/sz/002836/2836/detail</t>
  </si>
  <si>
    <t>朗博科技</t>
  </si>
  <si>
    <t>www.lixinger.com/analytics/company/sh/603655/603655/detail</t>
  </si>
  <si>
    <t>东电退</t>
  </si>
  <si>
    <t>www.lixinger.com/analytics/company/sz/000585/585/detail</t>
  </si>
  <si>
    <t>新光光电</t>
  </si>
  <si>
    <t>www.lixinger.com/analytics/company/sh/688011/688011/detail</t>
  </si>
  <si>
    <t>光启技术</t>
  </si>
  <si>
    <t>www.lixinger.com/analytics/company/sz/002625/2625/detail</t>
  </si>
  <si>
    <t>亚太药业</t>
  </si>
  <si>
    <t>www.lixinger.com/analytics/company/sz/002370/2370/detail</t>
  </si>
  <si>
    <t>宁波富邦</t>
  </si>
  <si>
    <t>www.lixinger.com/analytics/company/sh/600768/600768/detail</t>
  </si>
  <si>
    <t>迈信林</t>
  </si>
  <si>
    <t>www.lixinger.com/analytics/company/sh/688685/688685/detail</t>
  </si>
  <si>
    <t>大理药业</t>
  </si>
  <si>
    <t>www.lixinger.com/analytics/company/sh/603963/603963/detail</t>
  </si>
  <si>
    <t>*ST天首</t>
  </si>
  <si>
    <t>www.lixinger.com/analytics/company/sz/000611/611/detail</t>
  </si>
  <si>
    <t>盈建科</t>
  </si>
  <si>
    <t>www.lixinger.com/analytics/company/sz/300935/300935/detail</t>
  </si>
  <si>
    <t>晓程科技</t>
  </si>
  <si>
    <t>www.lixinger.com/analytics/company/sz/300139/300139/detail</t>
  </si>
  <si>
    <t>ST云投</t>
  </si>
  <si>
    <t>www.lixinger.com/analytics/company/sz/002200/2200/detail</t>
  </si>
  <si>
    <t>川大智胜</t>
  </si>
  <si>
    <t>www.lixinger.com/analytics/company/sz/002253/2253/detail</t>
  </si>
  <si>
    <t>工大高科</t>
  </si>
  <si>
    <t>www.lixinger.com/analytics/company/sh/688367/688367/detail</t>
  </si>
  <si>
    <t>纵横股份</t>
  </si>
  <si>
    <t>www.lixinger.com/analytics/company/sh/688070/688070/detail</t>
  </si>
  <si>
    <t>弘宇股份</t>
  </si>
  <si>
    <t>www.lixinger.com/analytics/company/sz/002890/2890/detail</t>
  </si>
  <si>
    <t>合金投资</t>
  </si>
  <si>
    <t>www.lixinger.com/analytics/company/sz/000633/633/detail</t>
  </si>
  <si>
    <t>航亚科技</t>
  </si>
  <si>
    <t>www.lixinger.com/analytics/company/sh/688510/688510/detail</t>
  </si>
  <si>
    <t>香溢融通</t>
  </si>
  <si>
    <t>www.lixinger.com/analytics/company/sh/600830/600830/detail</t>
  </si>
  <si>
    <t>科融环境</t>
  </si>
  <si>
    <t>www.lixinger.com/analytics/company/sz/300152/300152/detail</t>
  </si>
  <si>
    <t>概伦电子</t>
  </si>
  <si>
    <t>www.lixinger.com/analytics/company/sh/688206/688206/detail</t>
  </si>
  <si>
    <t>*ST乐材</t>
  </si>
  <si>
    <t>www.lixinger.com/analytics/company/sz/300446/300446/detail</t>
  </si>
  <si>
    <t>格灵深瞳</t>
  </si>
  <si>
    <t>www.lixinger.com/analytics/company/sh/688207/688207/detail</t>
  </si>
  <si>
    <t>*ST金洲</t>
  </si>
  <si>
    <t>www.lixinger.com/analytics/company/sz/000587/587/detail</t>
  </si>
  <si>
    <t>中油资本</t>
  </si>
  <si>
    <t>www.lixinger.com/analytics/company/sz/000617/617/detail</t>
  </si>
  <si>
    <t>通合科技</t>
  </si>
  <si>
    <t>www.lixinger.com/analytics/company/sz/300491/300491/detail</t>
  </si>
  <si>
    <t>*ST同洲</t>
  </si>
  <si>
    <t>www.lixinger.com/analytics/company/sz/002052/2052/detail</t>
  </si>
  <si>
    <t>臻镭科技</t>
  </si>
  <si>
    <t>www.lixinger.com/analytics/company/sh/688270/688270/detail</t>
  </si>
  <si>
    <t>南华仪器</t>
  </si>
  <si>
    <t>www.lixinger.com/analytics/company/sz/300417/300417/detail</t>
  </si>
  <si>
    <t>禾信仪器</t>
  </si>
  <si>
    <t>www.lixinger.com/analytics/company/sh/688622/688622/detail</t>
  </si>
  <si>
    <t>佳创视讯</t>
  </si>
  <si>
    <t>www.lixinger.com/analytics/company/sz/300264/300264/detail</t>
  </si>
  <si>
    <t>*ST达志</t>
  </si>
  <si>
    <t>www.lixinger.com/analytics/company/sz/300530/300530/detail</t>
  </si>
  <si>
    <t>天智航</t>
  </si>
  <si>
    <t>www.lixinger.com/analytics/company/sh/688277/688277/detail</t>
  </si>
  <si>
    <t>*ST景谷</t>
  </si>
  <si>
    <t>www.lixinger.com/analytics/company/sh/600265/600265/detail</t>
  </si>
  <si>
    <t>台基股份</t>
  </si>
  <si>
    <t>www.lixinger.com/analytics/company/sz/300046/300046/detail</t>
  </si>
  <si>
    <t>*ST海医</t>
  </si>
  <si>
    <t>www.lixinger.com/analytics/company/sh/600896/600896/detail</t>
  </si>
  <si>
    <t>龙软科技</t>
  </si>
  <si>
    <t>www.lixinger.com/analytics/company/sh/688078/688078/detail</t>
  </si>
  <si>
    <t>*ST圣莱</t>
  </si>
  <si>
    <t>www.lixinger.com/analytics/company/sz/002473/2473/detail</t>
  </si>
  <si>
    <t>迈得医疗</t>
  </si>
  <si>
    <t>www.lixinger.com/analytics/company/sh/688310/688310/detail</t>
  </si>
  <si>
    <t>中英科技</t>
  </si>
  <si>
    <t>www.lixinger.com/analytics/company/sz/300936/300936/detail</t>
  </si>
  <si>
    <t>博睿数据</t>
  </si>
  <si>
    <t>www.lixinger.com/analytics/company/sh/688229/688229/detail</t>
  </si>
  <si>
    <t>高凌信息</t>
  </si>
  <si>
    <t>www.lixinger.com/analytics/company/sh/688175/688175/detail</t>
  </si>
  <si>
    <t>兴图新科</t>
  </si>
  <si>
    <t>www.lixinger.com/analytics/company/sh/688081/688081/detail</t>
  </si>
  <si>
    <t>上海凯鑫</t>
  </si>
  <si>
    <t>www.lixinger.com/analytics/company/sz/300899/300899/detail</t>
  </si>
  <si>
    <t>捷安高科</t>
  </si>
  <si>
    <t>www.lixinger.com/analytics/company/sz/300845/300845/detail</t>
  </si>
  <si>
    <t>天微电子</t>
  </si>
  <si>
    <t>www.lixinger.com/analytics/company/sh/688511/688511/detail</t>
  </si>
  <si>
    <t>GQY视讯</t>
  </si>
  <si>
    <t>www.lixinger.com/analytics/company/sz/300076/300076/detail</t>
  </si>
  <si>
    <t>纬德信息</t>
  </si>
  <si>
    <t>www.lixinger.com/analytics/company/sh/688171/688171/detail</t>
  </si>
  <si>
    <t>唐德影视</t>
  </si>
  <si>
    <t>www.lixinger.com/analytics/company/sz/300426/300426/detail</t>
  </si>
  <si>
    <t>岱勒新材</t>
  </si>
  <si>
    <t>www.lixinger.com/analytics/company/sz/300700/300700/detail</t>
  </si>
  <si>
    <t>熙菱信息</t>
  </si>
  <si>
    <t>www.lixinger.com/analytics/company/sz/300588/300588/detail</t>
  </si>
  <si>
    <t>碳元科技</t>
  </si>
  <si>
    <t>www.lixinger.com/analytics/company/sh/603133/603133/detail</t>
  </si>
  <si>
    <t>必得科技</t>
  </si>
  <si>
    <t>www.lixinger.com/analytics/company/sh/605298/605298/detail</t>
  </si>
  <si>
    <t>久之洋</t>
  </si>
  <si>
    <t>www.lixinger.com/analytics/company/sz/300516/300516/detail</t>
  </si>
  <si>
    <t>川网传媒</t>
  </si>
  <si>
    <t>www.lixinger.com/analytics/company/sz/300987/300987/detail</t>
  </si>
  <si>
    <t>*ST皇台</t>
  </si>
  <si>
    <t>www.lixinger.com/analytics/company/sz/000995/995/detail</t>
  </si>
  <si>
    <t>莫高股份</t>
  </si>
  <si>
    <t>www.lixinger.com/analytics/company/sh/600543/600543/detail</t>
  </si>
  <si>
    <t>ST天山</t>
  </si>
  <si>
    <t>www.lixinger.com/analytics/company/sz/300313/300313/detail</t>
  </si>
  <si>
    <t>*ST圣亚</t>
  </si>
  <si>
    <t>www.lixinger.com/analytics/company/sh/600593/600593/detail</t>
  </si>
  <si>
    <t>乾景园林</t>
  </si>
  <si>
    <t>www.lixinger.com/analytics/company/sh/603778/603778/detail</t>
  </si>
  <si>
    <t>盟升电子</t>
  </si>
  <si>
    <t>www.lixinger.com/analytics/company/sh/688311/688311/detail</t>
  </si>
  <si>
    <t>飞马国际</t>
  </si>
  <si>
    <t>www.lixinger.com/analytics/company/sz/002210/2210/detail</t>
  </si>
  <si>
    <t>ST文化</t>
  </si>
  <si>
    <t>www.lixinger.com/analytics/company/sz/300089/300089/detail</t>
  </si>
  <si>
    <t>宝兰德</t>
  </si>
  <si>
    <t>www.lixinger.com/analytics/company/sh/688058/688058/detail</t>
  </si>
  <si>
    <t>开普检测</t>
  </si>
  <si>
    <t>www.lixinger.com/analytics/company/sz/003008/3008/detail</t>
  </si>
  <si>
    <t>*ST深南</t>
  </si>
  <si>
    <t>www.lixinger.com/analytics/company/sz/002417/2417/detail</t>
  </si>
  <si>
    <t>*ST当代</t>
  </si>
  <si>
    <t>www.lixinger.com/analytics/company/sz/000673/673/detail</t>
  </si>
  <si>
    <t>金利华电</t>
  </si>
  <si>
    <t>www.lixinger.com/analytics/company/sz/300069/300069/detail</t>
  </si>
  <si>
    <t>兆日科技</t>
  </si>
  <si>
    <t>www.lixinger.com/analytics/company/sz/300333/300333/detail</t>
  </si>
  <si>
    <t>华东数控</t>
  </si>
  <si>
    <t>www.lixinger.com/analytics/company/sz/002248/2248/detail</t>
  </si>
  <si>
    <t>坤恒顺维</t>
  </si>
  <si>
    <t>www.lixinger.com/analytics/company/sh/688283/688283/detail</t>
  </si>
  <si>
    <t>*ST威尔</t>
  </si>
  <si>
    <t>www.lixinger.com/analytics/company/sz/002058/2058/detail</t>
  </si>
  <si>
    <t>神农科技</t>
  </si>
  <si>
    <t>www.lixinger.com/analytics/company/sz/300189/300189/detail</t>
  </si>
  <si>
    <t>*ST雅博</t>
  </si>
  <si>
    <t>www.lixinger.com/analytics/company/sz/002323/2323/detail</t>
  </si>
  <si>
    <t>思林杰</t>
  </si>
  <si>
    <t>www.lixinger.com/analytics/company/sh/688115/688115/detail</t>
  </si>
  <si>
    <t>*ST科林</t>
  </si>
  <si>
    <t>www.lixinger.com/analytics/company/sz/002499/2499/detail</t>
  </si>
  <si>
    <t>浙江富润</t>
  </si>
  <si>
    <t>www.lixinger.com/analytics/company/sh/600070/600070/detail</t>
  </si>
  <si>
    <t>华秦科技</t>
  </si>
  <si>
    <t>www.lixinger.com/analytics/company/sh/688281/688281/detail</t>
  </si>
  <si>
    <t>莱茵体育</t>
  </si>
  <si>
    <t>www.lixinger.com/analytics/company/sz/000558/558/detail</t>
  </si>
  <si>
    <t>中科云网</t>
  </si>
  <si>
    <t>www.lixinger.com/analytics/company/sz/002306/2306/detail</t>
  </si>
  <si>
    <t>天迈科技</t>
  </si>
  <si>
    <t>www.lixinger.com/analytics/company/sz/300807/300807/detail</t>
  </si>
  <si>
    <t>ST目药</t>
  </si>
  <si>
    <t>www.lixinger.com/analytics/company/sh/600671/600671/detail</t>
  </si>
  <si>
    <t>惠城环保</t>
  </si>
  <si>
    <t>www.lixinger.com/analytics/company/sz/300779/300779/detail</t>
  </si>
  <si>
    <t>*ST绿景</t>
  </si>
  <si>
    <t>www.lixinger.com/analytics/company/sz/000502/502/detail</t>
  </si>
  <si>
    <t>桂林旅游</t>
  </si>
  <si>
    <t>www.lixinger.com/analytics/company/sz/000978/978/detail</t>
  </si>
  <si>
    <t>汇金科技</t>
  </si>
  <si>
    <t>www.lixinger.com/analytics/company/sz/300561/300561/detail</t>
  </si>
  <si>
    <t>华鑫股份</t>
  </si>
  <si>
    <t>www.lixinger.com/analytics/company/sh/600621/600621/detail</t>
  </si>
  <si>
    <t>ST中昌</t>
  </si>
  <si>
    <t>www.lixinger.com/analytics/company/sh/600242/600242/detail</t>
  </si>
  <si>
    <t>ST弘高</t>
  </si>
  <si>
    <t>www.lixinger.com/analytics/company/sz/002504/2504/detail</t>
  </si>
  <si>
    <t>宇顺电子</t>
  </si>
  <si>
    <t>www.lixinger.com/analytics/company/sz/002289/2289/detail</t>
  </si>
  <si>
    <t>上海谊众</t>
  </si>
  <si>
    <t>www.lixinger.com/analytics/company/sh/688091/688091/detail</t>
  </si>
  <si>
    <t>长白山</t>
  </si>
  <si>
    <t>www.lixinger.com/analytics/company/sh/603099/603099/detail</t>
  </si>
  <si>
    <t>恒立实业</t>
  </si>
  <si>
    <t>www.lixinger.com/analytics/company/sz/000622/622/detail</t>
  </si>
  <si>
    <t>中国高科</t>
  </si>
  <si>
    <t>www.lixinger.com/analytics/company/sh/600730/600730/detail</t>
  </si>
  <si>
    <t>富吉瑞</t>
  </si>
  <si>
    <t>www.lixinger.com/analytics/company/sh/688272/688272/detail</t>
  </si>
  <si>
    <t>新劲刚</t>
  </si>
  <si>
    <t>www.lixinger.com/analytics/company/sz/300629/300629/detail</t>
  </si>
  <si>
    <t>新力金融</t>
  </si>
  <si>
    <t>www.lixinger.com/analytics/company/sh/600318/600318/detail</t>
  </si>
  <si>
    <t>*ST吉艾</t>
  </si>
  <si>
    <t>www.lixinger.com/analytics/company/sz/300309/300309/detail</t>
  </si>
  <si>
    <t>清研环境</t>
  </si>
  <si>
    <t>www.lixinger.com/analytics/company/sz/301288/301288/detail</t>
  </si>
  <si>
    <t>申昊科技</t>
  </si>
  <si>
    <t>www.lixinger.com/analytics/company/sz/300853/300853/detail</t>
  </si>
  <si>
    <t>仁智股份</t>
  </si>
  <si>
    <t>www.lixinger.com/analytics/company/sz/002629/2629/detail</t>
  </si>
  <si>
    <t>博汇科技</t>
  </si>
  <si>
    <t>www.lixinger.com/analytics/company/sh/688004/688004/detail</t>
  </si>
  <si>
    <t>*ST节能</t>
  </si>
  <si>
    <t>www.lixinger.com/analytics/company/sz/000820/820/detail</t>
  </si>
  <si>
    <t>ST海投</t>
  </si>
  <si>
    <t>www.lixinger.com/analytics/company/sz/000616/616/detail</t>
  </si>
  <si>
    <t>申联生物</t>
  </si>
  <si>
    <t>www.lixinger.com/analytics/company/sh/688098/688098/detail</t>
  </si>
  <si>
    <t>华嵘控股</t>
  </si>
  <si>
    <t>www.lixinger.com/analytics/company/sh/600421/600421/detail</t>
  </si>
  <si>
    <t>国新健康</t>
  </si>
  <si>
    <t>www.lixinger.com/analytics/company/sz/000503/503/detail</t>
  </si>
  <si>
    <t>腾信股份</t>
  </si>
  <si>
    <t>www.lixinger.com/analytics/company/sz/300392/300392/detail</t>
  </si>
  <si>
    <t>美吉姆</t>
  </si>
  <si>
    <t>www.lixinger.com/analytics/company/sz/002621/2621/detail</t>
  </si>
  <si>
    <t>晨曦航空</t>
  </si>
  <si>
    <t>www.lixinger.com/analytics/company/sz/300581/300581/detail</t>
  </si>
  <si>
    <t>上海九百</t>
  </si>
  <si>
    <t>www.lixinger.com/analytics/company/sh/600838/600838/detail</t>
  </si>
  <si>
    <t>国盾量子</t>
  </si>
  <si>
    <t>www.lixinger.com/analytics/company/sh/688027/688027/detail</t>
  </si>
  <si>
    <t>*ST宝德</t>
  </si>
  <si>
    <t>www.lixinger.com/analytics/company/sz/300023/300023/detail</t>
  </si>
  <si>
    <t>*ST金泰</t>
  </si>
  <si>
    <t>www.lixinger.com/analytics/company/sh/600385/600385/detail</t>
  </si>
  <si>
    <t>汉邦高科</t>
  </si>
  <si>
    <t>www.lixinger.com/analytics/company/sz/300449/300449/detail</t>
  </si>
  <si>
    <t>*ST万方</t>
  </si>
  <si>
    <t>www.lixinger.com/analytics/company/sz/000638/638/detail</t>
  </si>
  <si>
    <t>华图山鼎</t>
  </si>
  <si>
    <t>www.lixinger.com/analytics/company/sz/300492/300492/detail</t>
  </si>
  <si>
    <t>日月明</t>
  </si>
  <si>
    <t>www.lixinger.com/analytics/company/sz/300906/300906/detail</t>
  </si>
  <si>
    <t>御银股份</t>
  </si>
  <si>
    <t>www.lixinger.com/analytics/company/sz/002177/2177/detail</t>
  </si>
  <si>
    <t>ST顺利</t>
  </si>
  <si>
    <t>www.lixinger.com/analytics/company/sz/000606/606/detail</t>
  </si>
  <si>
    <t>柳化股份</t>
  </si>
  <si>
    <t>www.lixinger.com/analytics/company/sh/600423/600423/detail</t>
  </si>
  <si>
    <t>鲁信创投</t>
  </si>
  <si>
    <t>www.lixinger.com/analytics/company/sh/600783/600783/detail</t>
  </si>
  <si>
    <t>同达创业</t>
  </si>
  <si>
    <t>www.lixinger.com/analytics/company/sh/600647/600647/detail</t>
  </si>
  <si>
    <t>*ST天成</t>
  </si>
  <si>
    <t>www.lixinger.com/analytics/company/sh/600112/600112/detail</t>
  </si>
  <si>
    <t>杭州高新</t>
  </si>
  <si>
    <t>www.lixinger.com/analytics/company/sz/300478/300478/detail</t>
  </si>
  <si>
    <t>佳隆股份</t>
  </si>
  <si>
    <t>www.lixinger.com/analytics/company/sz/002495/2495/detail</t>
  </si>
  <si>
    <t>*ST运盛</t>
  </si>
  <si>
    <t>www.lixinger.com/analytics/company/sh/600767/600767/detail</t>
  </si>
  <si>
    <t>*ST华资</t>
  </si>
  <si>
    <t>www.lixinger.com/analytics/company/sh/600191/600191/detail</t>
  </si>
  <si>
    <t>赛伦生物</t>
  </si>
  <si>
    <t>www.lixinger.com/analytics/company/sh/688163/688163/detail</t>
  </si>
  <si>
    <t>*ST晨鑫</t>
  </si>
  <si>
    <t>www.lixinger.com/analytics/company/sz/002447/2447/detail</t>
  </si>
  <si>
    <t>雷尔伟</t>
  </si>
  <si>
    <t>www.lixinger.com/analytics/company/sz/301016/301016/detail</t>
  </si>
  <si>
    <t>前沿生物</t>
  </si>
  <si>
    <t>www.lixinger.com/analytics/company/sh/688221/688221/detail</t>
  </si>
  <si>
    <t>鸥玛软件</t>
  </si>
  <si>
    <t>www.lixinger.com/analytics/company/sz/301185/301185/detail</t>
  </si>
  <si>
    <t>祥龙电业</t>
  </si>
  <si>
    <t>www.lixinger.com/analytics/company/sh/600769/600769/detail</t>
  </si>
  <si>
    <t>至正股份</t>
  </si>
  <si>
    <t>www.lixinger.com/analytics/company/sh/603991/603991/detail</t>
  </si>
  <si>
    <t>方直科技</t>
  </si>
  <si>
    <t>www.lixinger.com/analytics/company/sz/300235/300235/detail</t>
  </si>
  <si>
    <t>*ST网力</t>
  </si>
  <si>
    <t>www.lixinger.com/analytics/company/sz/300367/300367/detail</t>
  </si>
  <si>
    <t>爱乐达</t>
  </si>
  <si>
    <t>www.lixinger.com/analytics/company/sz/300696/300696/detail</t>
  </si>
  <si>
    <t>廊坊发展</t>
  </si>
  <si>
    <t>www.lixinger.com/analytics/company/sh/600149/600149/detail</t>
  </si>
  <si>
    <t>*ST东海B</t>
  </si>
  <si>
    <t>www.lixinger.com/analytics/company/sz/200613/200613/detail</t>
  </si>
  <si>
    <t>*ST绿庭</t>
  </si>
  <si>
    <t>www.lixinger.com/analytics/company/sh/600695/600695/detail</t>
  </si>
  <si>
    <t>恒宇信通</t>
  </si>
  <si>
    <t>www.lixinger.com/analytics/company/sz/300965/300965/detail</t>
  </si>
  <si>
    <t>ST新城</t>
  </si>
  <si>
    <t>www.lixinger.com/analytics/company/sz/000809/809/detail</t>
  </si>
  <si>
    <t>华阳新材</t>
  </si>
  <si>
    <t>www.lixinger.com/analytics/company/sh/600281/600281/detail</t>
  </si>
  <si>
    <t>*ST东海A</t>
  </si>
  <si>
    <t>www.lixinger.com/analytics/company/sz/000613/613/detail</t>
  </si>
  <si>
    <t>凯文教育</t>
  </si>
  <si>
    <t>www.lixinger.com/analytics/company/sz/002659/2659/detail</t>
  </si>
  <si>
    <t>*ST昌鱼</t>
  </si>
  <si>
    <t>www.lixinger.com/analytics/company/sh/600275/600275/detail</t>
  </si>
  <si>
    <t>威帝股份</t>
  </si>
  <si>
    <t>www.lixinger.com/analytics/company/sh/603023/603023/detail</t>
  </si>
  <si>
    <t>*ST园城</t>
  </si>
  <si>
    <t>www.lixinger.com/analytics/company/sh/600766/600766/detail</t>
  </si>
  <si>
    <t>立航科技</t>
  </si>
  <si>
    <t>www.lixinger.com/analytics/company/sh/603261/603261/detail</t>
  </si>
  <si>
    <t>中简科技</t>
  </si>
  <si>
    <t>www.lixinger.com/analytics/company/sz/300777/300777/detail</t>
  </si>
  <si>
    <t>迪哲医药</t>
  </si>
  <si>
    <t>www.lixinger.com/analytics/company/sh/688192/688192/detail</t>
  </si>
  <si>
    <t>福建金森</t>
  </si>
  <si>
    <t>www.lixinger.com/analytics/company/sz/002679/2679/detail</t>
  </si>
  <si>
    <t>西藏旅游</t>
  </si>
  <si>
    <t>www.lixinger.com/analytics/company/sh/600749/600749/detail</t>
  </si>
  <si>
    <t>张家界</t>
  </si>
  <si>
    <t>www.lixinger.com/analytics/company/sz/000430/430/detail</t>
  </si>
  <si>
    <t>锦旅Ｂ股</t>
  </si>
  <si>
    <t>www.lixinger.com/analytics/company/sh/900929/900929/detail</t>
  </si>
  <si>
    <t>*ST丹邦</t>
  </si>
  <si>
    <t>www.lixinger.com/analytics/company/sz/002618/2618/detail</t>
  </si>
  <si>
    <t>观想科技</t>
  </si>
  <si>
    <t>www.lixinger.com/analytics/company/sz/301213/301213/detail</t>
  </si>
  <si>
    <t>*ST西域</t>
  </si>
  <si>
    <t>www.lixinger.com/analytics/company/sz/300859/300859/detail</t>
  </si>
  <si>
    <t>*ST中潜</t>
  </si>
  <si>
    <t>www.lixinger.com/analytics/company/sz/300526/300526/detail</t>
  </si>
  <si>
    <t>*ST华讯</t>
  </si>
  <si>
    <t>www.lixinger.com/analytics/company/sz/000687/687/detail</t>
  </si>
  <si>
    <t>中科海讯</t>
  </si>
  <si>
    <t>www.lixinger.com/analytics/company/sz/300810/300810/detail</t>
  </si>
  <si>
    <t>华创阳安</t>
  </si>
  <si>
    <t>www.lixinger.com/analytics/company/sh/600155/600155/detail</t>
  </si>
  <si>
    <t>*ST游久</t>
  </si>
  <si>
    <t>www.lixinger.com/analytics/company/sh/600652/600652/detail</t>
  </si>
  <si>
    <t>博闻科技</t>
  </si>
  <si>
    <t>www.lixinger.com/analytics/company/sh/600883/600883/detail</t>
  </si>
  <si>
    <t>左江科技</t>
  </si>
  <si>
    <t>www.lixinger.com/analytics/company/sz/300799/300799/detail</t>
  </si>
  <si>
    <t>*ST群兴</t>
  </si>
  <si>
    <t>www.lixinger.com/analytics/company/sz/002575/2575/detail</t>
  </si>
  <si>
    <t>天箭科技</t>
  </si>
  <si>
    <t>www.lixinger.com/analytics/company/sz/002977/2977/detail</t>
  </si>
  <si>
    <t>天宸股份</t>
  </si>
  <si>
    <t>www.lixinger.com/analytics/company/sh/600620/600620/detail</t>
  </si>
  <si>
    <t>*ST实达</t>
  </si>
  <si>
    <t>www.lixinger.com/analytics/company/sh/600734/600734/detail</t>
  </si>
  <si>
    <t>首药控股</t>
  </si>
  <si>
    <t>www.lixinger.com/analytics/company/sh/688197/688197/detail</t>
  </si>
  <si>
    <t>博通股份</t>
  </si>
  <si>
    <t>www.lixinger.com/analytics/company/sh/600455/600455/detail</t>
  </si>
  <si>
    <t>凌云Ｂ股</t>
  </si>
  <si>
    <t>www.lixinger.com/analytics/company/sh/900957/900957/detail</t>
  </si>
  <si>
    <t>*ST明科</t>
  </si>
  <si>
    <t>www.lixinger.com/analytics/company/sh/600091/600091/detail</t>
  </si>
  <si>
    <t>*ST海创</t>
  </si>
  <si>
    <t>www.lixinger.com/analytics/company/sh/600555/600555/detail</t>
  </si>
  <si>
    <t>民生控股</t>
  </si>
  <si>
    <t>www.lixinger.com/analytics/company/sz/000416/416/detail</t>
  </si>
  <si>
    <t>迈威生物</t>
  </si>
  <si>
    <t>www.lixinger.com/analytics/company/sh/688062/688062/detail</t>
  </si>
  <si>
    <t>理工导航</t>
  </si>
  <si>
    <t>www.lixinger.com/analytics/company/sh/688282/688282/detail</t>
  </si>
  <si>
    <t>汇丽B</t>
  </si>
  <si>
    <t>www.lixinger.com/analytics/company/sh/900939/900939/detail</t>
  </si>
  <si>
    <t>*ST中房</t>
  </si>
  <si>
    <t>www.lixinger.com/analytics/company/sh/600890/600890/detail</t>
  </si>
  <si>
    <t>退市中新</t>
  </si>
  <si>
    <t>www.lixinger.com/analytics/company/sh/603996/603996/detail</t>
  </si>
  <si>
    <t>长动退</t>
  </si>
  <si>
    <t>www.lixinger.com/analytics/company/sz/000835/835/detail</t>
  </si>
  <si>
    <t>中国中期</t>
  </si>
  <si>
    <t>www.lixinger.com/analytics/company/sz/000996/996/detail</t>
  </si>
  <si>
    <t>ST西源</t>
  </si>
  <si>
    <t>www.lixinger.com/analytics/company/sh/600139/600139/detail</t>
  </si>
  <si>
    <t>ST安信</t>
  </si>
  <si>
    <t>www.lixinger.com/analytics/company/sh/600816/600816/detail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</si>
  <si>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</si>
  <si>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</si>
  <si>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</si>
  <si>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</si>
  <si>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中公高科</t>
  </si>
  <si>
    <t>www.lixinger.com/analytics/company/sh/603860/603860/detail</t>
  </si>
  <si>
    <t>冠盛股份</t>
  </si>
  <si>
    <t>www.lixinger.com/analytics/company/sh/605088/605088/detail</t>
  </si>
  <si>
    <t>亚虹医药</t>
  </si>
  <si>
    <t>www.lixinger.com/analytics/company/sh/688176/688176/detail</t>
  </si>
  <si>
    <t>海创药业</t>
  </si>
  <si>
    <t>www.lixinger.com/analytics/company/sh/688302/688302/detail</t>
  </si>
  <si>
    <t>天茂集团</t>
  </si>
  <si>
    <t>保险</t>
  </si>
  <si>
    <t>www.lixinger.com/analytics/company/sz/000627/627/detail</t>
  </si>
  <si>
    <t>兰州银行</t>
  </si>
  <si>
    <t>城商行</t>
  </si>
  <si>
    <t>www.lixinger.com/analytics/company/sz/001227/1227/detail</t>
  </si>
  <si>
    <t>国盛金控</t>
  </si>
  <si>
    <t>www.lixinger.com/analytics/company/sz/002670/2670/detail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</si>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</sst>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"601857"</f>
        <v>601857</v>
      </c>
      <c r="C2" t="s">
        <v>18</v>
      </c>
      <c r="D2" t="s">
        <v>19</v>
      </c>
      <c r="E2">
        <v>831182000000</v>
      </c>
      <c r="F2">
        <v>600249000000</v>
      </c>
      <c r="G2">
        <v>561517000000</v>
      </c>
      <c r="H2">
        <v>668029000000</v>
      </c>
      <c r="I2">
        <v>609010000000</v>
      </c>
      <c r="J2">
        <v>559523000000</v>
      </c>
      <c r="K2">
        <v>404504000000</v>
      </c>
      <c r="L2">
        <v>470087000000</v>
      </c>
      <c r="M2">
        <v>599720000000</v>
      </c>
      <c r="N2">
        <v>617368000000</v>
      </c>
      <c r="O2">
        <v>588045000000</v>
      </c>
      <c r="P2">
        <v>1280</v>
      </c>
      <c r="Q2" t="s">
        <v>20</v>
      </c>
    </row>
    <row r="3" spans="1:17" x14ac:dyDescent="0.3">
      <c r="A3" t="s">
        <v>17</v>
      </c>
      <c r="B3" t="str">
        <f>"600028"</f>
        <v>600028</v>
      </c>
      <c r="C3" t="s">
        <v>21</v>
      </c>
      <c r="D3" t="s">
        <v>19</v>
      </c>
      <c r="E3">
        <v>784361000000</v>
      </c>
      <c r="F3">
        <v>605032000000</v>
      </c>
      <c r="G3">
        <v>600228000000</v>
      </c>
      <c r="H3">
        <v>760693000000</v>
      </c>
      <c r="I3">
        <v>707017000000</v>
      </c>
      <c r="J3">
        <v>662996000000</v>
      </c>
      <c r="K3">
        <v>493549000000</v>
      </c>
      <c r="L3">
        <v>550150000000</v>
      </c>
      <c r="M3">
        <v>709912000000</v>
      </c>
      <c r="N3">
        <v>748248000000</v>
      </c>
      <c r="O3">
        <v>747045000000</v>
      </c>
      <c r="P3">
        <v>2315</v>
      </c>
      <c r="Q3" t="s">
        <v>22</v>
      </c>
    </row>
    <row r="4" spans="1:17" x14ac:dyDescent="0.3">
      <c r="A4" t="s">
        <v>17</v>
      </c>
      <c r="B4" t="str">
        <f>"601668"</f>
        <v>601668</v>
      </c>
      <c r="C4" t="s">
        <v>23</v>
      </c>
      <c r="D4" t="s">
        <v>24</v>
      </c>
      <c r="E4">
        <v>499832733000</v>
      </c>
      <c r="F4">
        <v>475421019000</v>
      </c>
      <c r="G4">
        <v>295343325000</v>
      </c>
      <c r="H4">
        <v>323479352000</v>
      </c>
      <c r="I4">
        <v>291752300000</v>
      </c>
      <c r="J4">
        <v>255888313000</v>
      </c>
      <c r="K4">
        <v>224417272000</v>
      </c>
      <c r="L4">
        <v>210030570000</v>
      </c>
      <c r="M4">
        <v>179938138000</v>
      </c>
      <c r="N4">
        <v>124918516000</v>
      </c>
      <c r="O4">
        <v>102501460000</v>
      </c>
      <c r="P4">
        <v>10290</v>
      </c>
      <c r="Q4" t="s">
        <v>25</v>
      </c>
    </row>
    <row r="5" spans="1:17" x14ac:dyDescent="0.3">
      <c r="A5" t="s">
        <v>17</v>
      </c>
      <c r="B5" t="str">
        <f>"601390"</f>
        <v>601390</v>
      </c>
      <c r="C5" t="s">
        <v>26</v>
      </c>
      <c r="D5" t="s">
        <v>27</v>
      </c>
      <c r="E5">
        <v>267552032000</v>
      </c>
      <c r="F5">
        <v>250825166000</v>
      </c>
      <c r="G5">
        <v>172173183000</v>
      </c>
      <c r="H5">
        <v>183933698000</v>
      </c>
      <c r="I5">
        <v>171958671000</v>
      </c>
      <c r="J5">
        <v>161738456000</v>
      </c>
      <c r="K5">
        <v>155417691000</v>
      </c>
      <c r="L5">
        <v>146059621000</v>
      </c>
      <c r="M5">
        <v>136589108000</v>
      </c>
      <c r="N5">
        <v>118098100000</v>
      </c>
      <c r="O5">
        <v>100639128000</v>
      </c>
      <c r="P5">
        <v>1323</v>
      </c>
      <c r="Q5" t="s">
        <v>28</v>
      </c>
    </row>
    <row r="6" spans="1:17" x14ac:dyDescent="0.3">
      <c r="A6" t="s">
        <v>17</v>
      </c>
      <c r="B6" t="str">
        <f>"601186"</f>
        <v>601186</v>
      </c>
      <c r="C6" t="s">
        <v>29</v>
      </c>
      <c r="D6" t="s">
        <v>27</v>
      </c>
      <c r="E6">
        <v>265069624000</v>
      </c>
      <c r="F6">
        <v>233728319000</v>
      </c>
      <c r="G6">
        <v>136669838000</v>
      </c>
      <c r="H6">
        <v>155240230000</v>
      </c>
      <c r="I6">
        <v>129692454000</v>
      </c>
      <c r="J6">
        <v>143252562000</v>
      </c>
      <c r="K6">
        <v>139296507000</v>
      </c>
      <c r="L6">
        <v>136975104000</v>
      </c>
      <c r="M6">
        <v>115731708000</v>
      </c>
      <c r="N6">
        <v>105833569000</v>
      </c>
      <c r="O6">
        <v>74995166000</v>
      </c>
      <c r="P6">
        <v>1361</v>
      </c>
      <c r="Q6" t="s">
        <v>30</v>
      </c>
    </row>
    <row r="7" spans="1:17" x14ac:dyDescent="0.3">
      <c r="A7" t="s">
        <v>17</v>
      </c>
      <c r="B7" t="str">
        <f>"600941"</f>
        <v>600941</v>
      </c>
      <c r="C7" t="s">
        <v>31</v>
      </c>
      <c r="D7" t="s">
        <v>32</v>
      </c>
      <c r="E7">
        <v>235343000000</v>
      </c>
      <c r="P7">
        <v>114</v>
      </c>
      <c r="Q7" t="s">
        <v>33</v>
      </c>
    </row>
    <row r="8" spans="1:17" x14ac:dyDescent="0.3">
      <c r="A8" t="s">
        <v>17</v>
      </c>
      <c r="B8" t="str">
        <f>"600153"</f>
        <v>600153</v>
      </c>
      <c r="C8" t="s">
        <v>34</v>
      </c>
      <c r="D8" t="s">
        <v>35</v>
      </c>
      <c r="E8">
        <v>204105943017</v>
      </c>
      <c r="F8">
        <v>161148566808</v>
      </c>
      <c r="G8">
        <v>86895609862</v>
      </c>
      <c r="H8">
        <v>74723346958</v>
      </c>
      <c r="I8">
        <v>67433743083</v>
      </c>
      <c r="J8">
        <v>52602761794</v>
      </c>
      <c r="K8">
        <v>32618614640</v>
      </c>
      <c r="L8">
        <v>29681847591</v>
      </c>
      <c r="M8">
        <v>29998527110</v>
      </c>
      <c r="N8">
        <v>27521709940</v>
      </c>
      <c r="O8">
        <v>23148823647</v>
      </c>
      <c r="P8">
        <v>2153</v>
      </c>
      <c r="Q8" t="s">
        <v>36</v>
      </c>
    </row>
    <row r="9" spans="1:17" x14ac:dyDescent="0.3">
      <c r="A9" t="s">
        <v>17</v>
      </c>
      <c r="B9" t="str">
        <f>"600104"</f>
        <v>600104</v>
      </c>
      <c r="C9" t="s">
        <v>37</v>
      </c>
      <c r="D9" t="s">
        <v>38</v>
      </c>
      <c r="E9">
        <v>175283354226</v>
      </c>
      <c r="F9">
        <v>181654150734</v>
      </c>
      <c r="G9">
        <v>116352025473</v>
      </c>
      <c r="H9">
        <v>173450992741</v>
      </c>
      <c r="I9">
        <v>229852065940</v>
      </c>
      <c r="J9">
        <v>180362431072</v>
      </c>
      <c r="K9">
        <v>181213014544</v>
      </c>
      <c r="L9">
        <v>157378261574</v>
      </c>
      <c r="M9">
        <v>157517849970</v>
      </c>
      <c r="N9">
        <v>138199808930</v>
      </c>
      <c r="O9">
        <v>115890890532</v>
      </c>
      <c r="P9">
        <v>11366</v>
      </c>
      <c r="Q9" t="s">
        <v>39</v>
      </c>
    </row>
    <row r="10" spans="1:17" x14ac:dyDescent="0.3">
      <c r="A10" t="s">
        <v>17</v>
      </c>
      <c r="B10" t="str">
        <f>"601800"</f>
        <v>601800</v>
      </c>
      <c r="C10" t="s">
        <v>40</v>
      </c>
      <c r="D10" t="s">
        <v>27</v>
      </c>
      <c r="E10">
        <v>168469649154</v>
      </c>
      <c r="F10">
        <v>162460049805</v>
      </c>
      <c r="G10">
        <v>105895557858</v>
      </c>
      <c r="H10">
        <v>119934449276</v>
      </c>
      <c r="I10">
        <v>119618224327</v>
      </c>
      <c r="J10">
        <v>95083182178</v>
      </c>
      <c r="K10">
        <v>94249982464</v>
      </c>
      <c r="L10">
        <v>86298748265</v>
      </c>
      <c r="M10">
        <v>73818053936</v>
      </c>
      <c r="N10">
        <v>69498625283</v>
      </c>
      <c r="O10">
        <v>55703152599</v>
      </c>
      <c r="P10">
        <v>899</v>
      </c>
      <c r="Q10" t="s">
        <v>41</v>
      </c>
    </row>
    <row r="11" spans="1:17" x14ac:dyDescent="0.3">
      <c r="A11" t="s">
        <v>17</v>
      </c>
      <c r="B11" t="str">
        <f>"600704"</f>
        <v>600704</v>
      </c>
      <c r="C11" t="s">
        <v>42</v>
      </c>
      <c r="D11" t="s">
        <v>35</v>
      </c>
      <c r="E11">
        <v>149442319870</v>
      </c>
      <c r="F11">
        <v>131759018645</v>
      </c>
      <c r="G11">
        <v>84761641218</v>
      </c>
      <c r="H11">
        <v>86445605873</v>
      </c>
      <c r="I11">
        <v>68057826626</v>
      </c>
      <c r="J11">
        <v>71831806915</v>
      </c>
      <c r="K11">
        <v>42321357195</v>
      </c>
      <c r="L11">
        <v>11307608663</v>
      </c>
      <c r="M11">
        <v>12318099854</v>
      </c>
      <c r="N11">
        <v>10086892910</v>
      </c>
      <c r="O11">
        <v>9914382064</v>
      </c>
      <c r="P11">
        <v>749</v>
      </c>
      <c r="Q11" t="s">
        <v>43</v>
      </c>
    </row>
    <row r="12" spans="1:17" x14ac:dyDescent="0.3">
      <c r="A12" t="s">
        <v>17</v>
      </c>
      <c r="B12" t="str">
        <f>"600362"</f>
        <v>600362</v>
      </c>
      <c r="C12" t="s">
        <v>44</v>
      </c>
      <c r="D12" t="s">
        <v>45</v>
      </c>
      <c r="E12">
        <v>138640534817</v>
      </c>
      <c r="F12">
        <v>115976495400</v>
      </c>
      <c r="G12">
        <v>63774161759</v>
      </c>
      <c r="H12">
        <v>56120978475</v>
      </c>
      <c r="I12">
        <v>56273219868</v>
      </c>
      <c r="J12">
        <v>48791928342</v>
      </c>
      <c r="K12">
        <v>38380427527</v>
      </c>
      <c r="L12">
        <v>35591889526</v>
      </c>
      <c r="M12">
        <v>48014415668</v>
      </c>
      <c r="N12">
        <v>53442314938</v>
      </c>
      <c r="O12">
        <v>33260980606</v>
      </c>
      <c r="P12">
        <v>911</v>
      </c>
      <c r="Q12" t="s">
        <v>46</v>
      </c>
    </row>
    <row r="13" spans="1:17" x14ac:dyDescent="0.3">
      <c r="A13" t="s">
        <v>17</v>
      </c>
      <c r="B13" t="str">
        <f>"600755"</f>
        <v>600755</v>
      </c>
      <c r="C13" t="s">
        <v>47</v>
      </c>
      <c r="D13" t="s">
        <v>35</v>
      </c>
      <c r="E13">
        <v>127073831617</v>
      </c>
      <c r="F13">
        <v>114157961744</v>
      </c>
      <c r="G13">
        <v>57886784494</v>
      </c>
      <c r="H13">
        <v>53714684281</v>
      </c>
      <c r="I13">
        <v>41418814912</v>
      </c>
      <c r="J13">
        <v>33521636946</v>
      </c>
      <c r="K13">
        <v>17651983517</v>
      </c>
      <c r="L13">
        <v>13684363867</v>
      </c>
      <c r="M13">
        <v>13538797269</v>
      </c>
      <c r="N13">
        <v>14391212955</v>
      </c>
      <c r="O13">
        <v>9608961041</v>
      </c>
      <c r="P13">
        <v>742</v>
      </c>
      <c r="Q13" t="s">
        <v>48</v>
      </c>
    </row>
    <row r="14" spans="1:17" x14ac:dyDescent="0.3">
      <c r="A14" t="s">
        <v>17</v>
      </c>
      <c r="B14" t="str">
        <f>"600057"</f>
        <v>600057</v>
      </c>
      <c r="C14" t="s">
        <v>49</v>
      </c>
      <c r="D14" t="s">
        <v>35</v>
      </c>
      <c r="E14">
        <v>126797549104</v>
      </c>
      <c r="F14">
        <v>104601895084</v>
      </c>
      <c r="G14">
        <v>76962452815</v>
      </c>
      <c r="H14">
        <v>62001407064</v>
      </c>
      <c r="I14">
        <v>55813142359</v>
      </c>
      <c r="J14">
        <v>48794079411</v>
      </c>
      <c r="K14">
        <v>21916090559</v>
      </c>
      <c r="L14">
        <v>12401832382</v>
      </c>
      <c r="M14">
        <v>10673756948</v>
      </c>
      <c r="N14">
        <v>7060885971</v>
      </c>
      <c r="O14">
        <v>7495597801</v>
      </c>
      <c r="P14">
        <v>411</v>
      </c>
      <c r="Q14" t="s">
        <v>50</v>
      </c>
    </row>
    <row r="15" spans="1:17" x14ac:dyDescent="0.3">
      <c r="A15" t="s">
        <v>17</v>
      </c>
      <c r="B15" t="str">
        <f>"601618"</f>
        <v>601618</v>
      </c>
      <c r="C15" t="s">
        <v>51</v>
      </c>
      <c r="D15" t="s">
        <v>52</v>
      </c>
      <c r="E15">
        <v>119315813000</v>
      </c>
      <c r="F15">
        <v>97453507000</v>
      </c>
      <c r="G15">
        <v>61528934000</v>
      </c>
      <c r="H15">
        <v>61845184000</v>
      </c>
      <c r="I15">
        <v>53887084000</v>
      </c>
      <c r="J15">
        <v>42359385000</v>
      </c>
      <c r="K15">
        <v>42120032000</v>
      </c>
      <c r="L15">
        <v>39966750000</v>
      </c>
      <c r="M15">
        <v>34757641000</v>
      </c>
      <c r="N15">
        <v>40577252000</v>
      </c>
      <c r="O15">
        <v>41281718000</v>
      </c>
      <c r="P15">
        <v>584</v>
      </c>
      <c r="Q15" t="s">
        <v>53</v>
      </c>
    </row>
    <row r="16" spans="1:17" x14ac:dyDescent="0.3">
      <c r="A16" t="s">
        <v>17</v>
      </c>
      <c r="B16" t="str">
        <f>"601138"</f>
        <v>601138</v>
      </c>
      <c r="C16" t="s">
        <v>54</v>
      </c>
      <c r="D16" t="s">
        <v>55</v>
      </c>
      <c r="E16">
        <v>115960844000</v>
      </c>
      <c r="F16">
        <v>122301226000</v>
      </c>
      <c r="G16">
        <v>100894590000</v>
      </c>
      <c r="H16">
        <v>105079285000</v>
      </c>
      <c r="I16">
        <v>106592830000</v>
      </c>
      <c r="J16">
        <v>77580777000</v>
      </c>
      <c r="P16">
        <v>1318</v>
      </c>
      <c r="Q16" t="s">
        <v>56</v>
      </c>
    </row>
    <row r="17" spans="1:17" x14ac:dyDescent="0.3">
      <c r="A17" t="s">
        <v>17</v>
      </c>
      <c r="B17" t="str">
        <f>"601669"</f>
        <v>601669</v>
      </c>
      <c r="C17" t="s">
        <v>57</v>
      </c>
      <c r="D17" t="s">
        <v>27</v>
      </c>
      <c r="E17">
        <v>108533145177</v>
      </c>
      <c r="F17">
        <v>103471308654</v>
      </c>
      <c r="G17">
        <v>73623291649</v>
      </c>
      <c r="H17">
        <v>76040389152</v>
      </c>
      <c r="I17">
        <v>55667644579</v>
      </c>
      <c r="J17">
        <v>52284586927</v>
      </c>
      <c r="K17">
        <v>42973151691</v>
      </c>
      <c r="L17">
        <v>38931932532</v>
      </c>
      <c r="M17">
        <v>34142697762</v>
      </c>
      <c r="N17">
        <v>26057213148</v>
      </c>
      <c r="O17">
        <v>20896544160</v>
      </c>
      <c r="P17">
        <v>752</v>
      </c>
      <c r="Q17" t="s">
        <v>58</v>
      </c>
    </row>
    <row r="18" spans="1:17" x14ac:dyDescent="0.3">
      <c r="A18" t="s">
        <v>17</v>
      </c>
      <c r="B18" t="str">
        <f>"601728"</f>
        <v>601728</v>
      </c>
      <c r="C18" t="s">
        <v>59</v>
      </c>
      <c r="D18" t="s">
        <v>32</v>
      </c>
      <c r="E18">
        <v>107388120264</v>
      </c>
      <c r="F18">
        <v>102612000000</v>
      </c>
      <c r="G18">
        <v>83560000000</v>
      </c>
      <c r="P18">
        <v>144</v>
      </c>
      <c r="Q18" t="s">
        <v>60</v>
      </c>
    </row>
    <row r="19" spans="1:17" x14ac:dyDescent="0.3">
      <c r="A19" t="s">
        <v>17</v>
      </c>
      <c r="B19" t="str">
        <f>"601919"</f>
        <v>601919</v>
      </c>
      <c r="C19" t="s">
        <v>61</v>
      </c>
      <c r="D19" t="s">
        <v>62</v>
      </c>
      <c r="E19">
        <v>105064217901</v>
      </c>
      <c r="F19">
        <v>62993756963</v>
      </c>
      <c r="G19">
        <v>35135495635</v>
      </c>
      <c r="H19">
        <v>34847395589</v>
      </c>
      <c r="I19">
        <v>22146487131</v>
      </c>
      <c r="J19">
        <v>20766769786</v>
      </c>
      <c r="K19">
        <v>14553445653</v>
      </c>
      <c r="L19">
        <v>15681313790</v>
      </c>
      <c r="M19">
        <v>14056379513</v>
      </c>
      <c r="N19">
        <v>23407513845</v>
      </c>
      <c r="O19">
        <v>21504075920</v>
      </c>
      <c r="P19">
        <v>1359</v>
      </c>
      <c r="Q19" t="s">
        <v>63</v>
      </c>
    </row>
    <row r="20" spans="1:17" x14ac:dyDescent="0.3">
      <c r="A20" t="s">
        <v>17</v>
      </c>
      <c r="B20" t="str">
        <f>"600606"</f>
        <v>600606</v>
      </c>
      <c r="C20" t="s">
        <v>64</v>
      </c>
      <c r="D20" t="s">
        <v>65</v>
      </c>
      <c r="E20">
        <v>99438110913</v>
      </c>
      <c r="F20">
        <v>163102161180</v>
      </c>
      <c r="G20">
        <v>93342285727</v>
      </c>
      <c r="H20">
        <v>125262027345</v>
      </c>
      <c r="I20">
        <v>98852533139</v>
      </c>
      <c r="J20">
        <v>79994981958</v>
      </c>
      <c r="K20">
        <v>59889459443</v>
      </c>
      <c r="L20">
        <v>332723738</v>
      </c>
      <c r="M20">
        <v>370590126</v>
      </c>
      <c r="N20">
        <v>117139450</v>
      </c>
      <c r="O20">
        <v>101279133</v>
      </c>
      <c r="P20">
        <v>1970</v>
      </c>
      <c r="Q20" t="s">
        <v>66</v>
      </c>
    </row>
    <row r="21" spans="1:17" x14ac:dyDescent="0.3">
      <c r="A21" t="s">
        <v>17</v>
      </c>
      <c r="B21" t="str">
        <f>"600019"</f>
        <v>600019</v>
      </c>
      <c r="C21" t="s">
        <v>67</v>
      </c>
      <c r="D21" t="s">
        <v>68</v>
      </c>
      <c r="E21">
        <v>97037121572</v>
      </c>
      <c r="F21">
        <v>90600197139</v>
      </c>
      <c r="G21">
        <v>69522335221</v>
      </c>
      <c r="H21">
        <v>75646848080</v>
      </c>
      <c r="I21">
        <v>76112767492</v>
      </c>
      <c r="J21">
        <v>89501703589</v>
      </c>
      <c r="K21">
        <v>41670190255</v>
      </c>
      <c r="L21">
        <v>48092888038</v>
      </c>
      <c r="M21">
        <v>50910145674</v>
      </c>
      <c r="N21">
        <v>52338158449</v>
      </c>
      <c r="O21">
        <v>54167530805</v>
      </c>
      <c r="P21">
        <v>2292</v>
      </c>
      <c r="Q21" t="s">
        <v>69</v>
      </c>
    </row>
    <row r="22" spans="1:17" x14ac:dyDescent="0.3">
      <c r="A22" t="s">
        <v>17</v>
      </c>
      <c r="B22" t="str">
        <f>"601088"</f>
        <v>601088</v>
      </c>
      <c r="C22" t="s">
        <v>70</v>
      </c>
      <c r="D22" t="s">
        <v>71</v>
      </c>
      <c r="E22">
        <v>92051000000</v>
      </c>
      <c r="F22">
        <v>74427000000</v>
      </c>
      <c r="G22">
        <v>55435000000</v>
      </c>
      <c r="H22">
        <v>66139000000</v>
      </c>
      <c r="I22">
        <v>72029000000</v>
      </c>
      <c r="J22">
        <v>69731000000</v>
      </c>
      <c r="K22">
        <v>48856000000</v>
      </c>
      <c r="L22">
        <v>47050000000</v>
      </c>
      <c r="M22">
        <v>62038000000</v>
      </c>
      <c r="N22">
        <v>69793000000</v>
      </c>
      <c r="O22">
        <v>64824000000</v>
      </c>
      <c r="P22">
        <v>3939</v>
      </c>
      <c r="Q22" t="s">
        <v>72</v>
      </c>
    </row>
    <row r="23" spans="1:17" x14ac:dyDescent="0.3">
      <c r="A23" t="s">
        <v>17</v>
      </c>
      <c r="B23" t="str">
        <f>"600938"</f>
        <v>600938</v>
      </c>
      <c r="C23" t="s">
        <v>73</v>
      </c>
      <c r="E23">
        <v>82180000000</v>
      </c>
      <c r="P23">
        <v>26</v>
      </c>
      <c r="Q23" t="s">
        <v>74</v>
      </c>
    </row>
    <row r="24" spans="1:17" x14ac:dyDescent="0.3">
      <c r="A24" t="s">
        <v>75</v>
      </c>
      <c r="B24" t="str">
        <f>"002493"</f>
        <v>002493</v>
      </c>
      <c r="C24" t="s">
        <v>76</v>
      </c>
      <c r="D24" t="s">
        <v>19</v>
      </c>
      <c r="E24">
        <v>79475176957</v>
      </c>
      <c r="F24">
        <v>32722073982</v>
      </c>
      <c r="G24">
        <v>23841672323</v>
      </c>
      <c r="H24">
        <v>23995390322</v>
      </c>
      <c r="I24">
        <v>16582347470</v>
      </c>
      <c r="J24">
        <v>16983838779</v>
      </c>
      <c r="K24">
        <v>6296444620</v>
      </c>
      <c r="L24">
        <v>4804352661</v>
      </c>
      <c r="M24">
        <v>4269392914</v>
      </c>
      <c r="N24">
        <v>3767161357</v>
      </c>
      <c r="O24">
        <v>4076834095</v>
      </c>
      <c r="P24">
        <v>852</v>
      </c>
      <c r="Q24" t="s">
        <v>77</v>
      </c>
    </row>
    <row r="25" spans="1:17" x14ac:dyDescent="0.3">
      <c r="A25" t="s">
        <v>17</v>
      </c>
      <c r="B25" t="str">
        <f>"600170"</f>
        <v>600170</v>
      </c>
      <c r="C25" t="s">
        <v>78</v>
      </c>
      <c r="D25" t="s">
        <v>24</v>
      </c>
      <c r="E25">
        <v>78283985978</v>
      </c>
      <c r="F25">
        <v>89330296389</v>
      </c>
      <c r="G25">
        <v>56376387182</v>
      </c>
      <c r="H25">
        <v>53123484638</v>
      </c>
      <c r="I25">
        <v>38964358684</v>
      </c>
      <c r="J25">
        <v>37002637693</v>
      </c>
      <c r="K25">
        <v>44863004117</v>
      </c>
      <c r="L25">
        <v>38164495074</v>
      </c>
      <c r="M25">
        <v>31242100779</v>
      </c>
      <c r="N25">
        <v>26506848229</v>
      </c>
      <c r="O25">
        <v>22275614311</v>
      </c>
      <c r="P25">
        <v>698</v>
      </c>
      <c r="Q25" t="s">
        <v>79</v>
      </c>
    </row>
    <row r="26" spans="1:17" x14ac:dyDescent="0.3">
      <c r="A26" t="s">
        <v>75</v>
      </c>
      <c r="B26" t="str">
        <f>"000002"</f>
        <v>000002</v>
      </c>
      <c r="C26" t="s">
        <v>80</v>
      </c>
      <c r="D26" t="s">
        <v>65</v>
      </c>
      <c r="E26">
        <v>78074578715</v>
      </c>
      <c r="F26">
        <v>115294431999</v>
      </c>
      <c r="G26">
        <v>61828065518</v>
      </c>
      <c r="H26">
        <v>79002977075</v>
      </c>
      <c r="I26">
        <v>80706452703</v>
      </c>
      <c r="J26">
        <v>69802091245</v>
      </c>
      <c r="K26">
        <v>47518016905</v>
      </c>
      <c r="L26">
        <v>31897122201</v>
      </c>
      <c r="M26">
        <v>29064102054</v>
      </c>
      <c r="N26">
        <v>32818691101</v>
      </c>
      <c r="O26">
        <v>21280297661</v>
      </c>
      <c r="P26">
        <v>12436</v>
      </c>
      <c r="Q26" t="s">
        <v>81</v>
      </c>
    </row>
    <row r="27" spans="1:17" x14ac:dyDescent="0.3">
      <c r="A27" t="s">
        <v>75</v>
      </c>
      <c r="B27" t="str">
        <f>"000333"</f>
        <v>000333</v>
      </c>
      <c r="C27" t="s">
        <v>82</v>
      </c>
      <c r="D27" t="s">
        <v>83</v>
      </c>
      <c r="E27">
        <v>77541698000</v>
      </c>
      <c r="F27">
        <v>70624192000</v>
      </c>
      <c r="G27">
        <v>54493549000</v>
      </c>
      <c r="H27">
        <v>61230159000</v>
      </c>
      <c r="I27">
        <v>55069088000</v>
      </c>
      <c r="J27">
        <v>47125873000</v>
      </c>
      <c r="K27">
        <v>32056847000</v>
      </c>
      <c r="L27">
        <v>25578062670</v>
      </c>
      <c r="M27">
        <v>19194300030</v>
      </c>
      <c r="N27">
        <v>23237988840</v>
      </c>
      <c r="P27">
        <v>25066</v>
      </c>
      <c r="Q27" t="s">
        <v>84</v>
      </c>
    </row>
    <row r="28" spans="1:17" x14ac:dyDescent="0.3">
      <c r="A28" t="s">
        <v>17</v>
      </c>
      <c r="B28" t="str">
        <f>"600050"</f>
        <v>600050</v>
      </c>
      <c r="C28" t="s">
        <v>85</v>
      </c>
      <c r="D28" t="s">
        <v>32</v>
      </c>
      <c r="E28">
        <v>76401382126</v>
      </c>
      <c r="F28">
        <v>78553348856</v>
      </c>
      <c r="G28">
        <v>67063238991</v>
      </c>
      <c r="H28">
        <v>70543169208</v>
      </c>
      <c r="I28">
        <v>73921521173</v>
      </c>
      <c r="J28">
        <v>69782183506</v>
      </c>
      <c r="K28">
        <v>66748847319</v>
      </c>
      <c r="L28">
        <v>76460948716</v>
      </c>
      <c r="M28">
        <v>73397055559</v>
      </c>
      <c r="N28">
        <v>70217841657</v>
      </c>
      <c r="O28">
        <v>60955215213</v>
      </c>
      <c r="P28">
        <v>1304</v>
      </c>
      <c r="Q28" t="s">
        <v>86</v>
      </c>
    </row>
    <row r="29" spans="1:17" x14ac:dyDescent="0.3">
      <c r="A29" t="s">
        <v>17</v>
      </c>
      <c r="B29" t="str">
        <f>"600011"</f>
        <v>600011</v>
      </c>
      <c r="C29" t="s">
        <v>87</v>
      </c>
      <c r="D29" t="s">
        <v>88</v>
      </c>
      <c r="E29">
        <v>71777412976</v>
      </c>
      <c r="F29">
        <v>53143484684</v>
      </c>
      <c r="G29">
        <v>44161457010</v>
      </c>
      <c r="H29">
        <v>53565360116</v>
      </c>
      <c r="I29">
        <v>51245118613</v>
      </c>
      <c r="J29">
        <v>41165577375</v>
      </c>
      <c r="K29">
        <v>34630442204</v>
      </c>
      <c r="L29">
        <v>39466255187</v>
      </c>
      <c r="M29">
        <v>37080462576</v>
      </c>
      <c r="N29">
        <v>37155240695</v>
      </c>
      <c r="O29">
        <v>38332788580</v>
      </c>
      <c r="P29">
        <v>751</v>
      </c>
      <c r="Q29" t="s">
        <v>89</v>
      </c>
    </row>
    <row r="30" spans="1:17" x14ac:dyDescent="0.3">
      <c r="A30" t="s">
        <v>17</v>
      </c>
      <c r="B30" t="str">
        <f>"601899"</f>
        <v>601899</v>
      </c>
      <c r="C30" t="s">
        <v>90</v>
      </c>
      <c r="D30" t="s">
        <v>45</v>
      </c>
      <c r="E30">
        <v>69402896722</v>
      </c>
      <c r="F30">
        <v>47289954497</v>
      </c>
      <c r="G30">
        <v>37945797834</v>
      </c>
      <c r="H30">
        <v>30697087270</v>
      </c>
      <c r="I30">
        <v>24302056718</v>
      </c>
      <c r="J30">
        <v>16447263848</v>
      </c>
      <c r="K30">
        <v>20132343039</v>
      </c>
      <c r="L30">
        <v>17128645984</v>
      </c>
      <c r="M30">
        <v>11117963011</v>
      </c>
      <c r="N30">
        <v>13602612378</v>
      </c>
      <c r="O30">
        <v>9274260939</v>
      </c>
      <c r="P30">
        <v>2402</v>
      </c>
      <c r="Q30" t="s">
        <v>91</v>
      </c>
    </row>
    <row r="31" spans="1:17" x14ac:dyDescent="0.3">
      <c r="A31" t="s">
        <v>75</v>
      </c>
      <c r="B31" t="str">
        <f>"002352"</f>
        <v>002352</v>
      </c>
      <c r="C31" t="s">
        <v>92</v>
      </c>
      <c r="D31" t="s">
        <v>93</v>
      </c>
      <c r="E31">
        <v>69359333000</v>
      </c>
      <c r="F31">
        <v>44520482504</v>
      </c>
      <c r="G31">
        <v>34259171410</v>
      </c>
      <c r="H31">
        <v>25899571911</v>
      </c>
      <c r="I31">
        <v>22342997750</v>
      </c>
      <c r="J31">
        <v>16197539531</v>
      </c>
      <c r="K31">
        <v>176691817</v>
      </c>
      <c r="L31">
        <v>268683659</v>
      </c>
      <c r="M31">
        <v>183885906</v>
      </c>
      <c r="N31">
        <v>172205117</v>
      </c>
      <c r="O31">
        <v>197013219</v>
      </c>
      <c r="P31">
        <v>3728</v>
      </c>
      <c r="Q31" t="s">
        <v>94</v>
      </c>
    </row>
    <row r="32" spans="1:17" x14ac:dyDescent="0.3">
      <c r="A32" t="s">
        <v>17</v>
      </c>
      <c r="B32" t="str">
        <f>"601600"</f>
        <v>601600</v>
      </c>
      <c r="C32" t="s">
        <v>95</v>
      </c>
      <c r="D32" t="s">
        <v>96</v>
      </c>
      <c r="E32">
        <v>67924076000</v>
      </c>
      <c r="F32">
        <v>44817678000</v>
      </c>
      <c r="G32">
        <v>35263379000</v>
      </c>
      <c r="H32">
        <v>40136054000</v>
      </c>
      <c r="I32">
        <v>35546419000</v>
      </c>
      <c r="J32">
        <v>40290675000</v>
      </c>
      <c r="K32">
        <v>26442084000</v>
      </c>
      <c r="L32">
        <v>32043455000</v>
      </c>
      <c r="M32">
        <v>39881635000</v>
      </c>
      <c r="N32">
        <v>40166561000</v>
      </c>
      <c r="O32">
        <v>41509164000</v>
      </c>
      <c r="P32">
        <v>744</v>
      </c>
      <c r="Q32" t="s">
        <v>97</v>
      </c>
    </row>
    <row r="33" spans="1:17" x14ac:dyDescent="0.3">
      <c r="A33" t="s">
        <v>75</v>
      </c>
      <c r="B33" t="str">
        <f>"200725"</f>
        <v>200725</v>
      </c>
      <c r="C33" t="s">
        <v>98</v>
      </c>
      <c r="E33">
        <v>65640595238.889999</v>
      </c>
      <c r="F33">
        <v>53461635236.796997</v>
      </c>
      <c r="G33">
        <v>30804684105.634499</v>
      </c>
      <c r="H33">
        <v>33876817386.976799</v>
      </c>
      <c r="I33">
        <v>28909595451.994999</v>
      </c>
      <c r="J33">
        <v>25712496915.251999</v>
      </c>
      <c r="K33">
        <v>17722215604.4235</v>
      </c>
      <c r="L33">
        <v>14746799135</v>
      </c>
      <c r="M33">
        <v>11511133473.8908</v>
      </c>
      <c r="N33">
        <v>9201851921.8374004</v>
      </c>
      <c r="O33">
        <v>4657333016.3219995</v>
      </c>
      <c r="P33">
        <v>85</v>
      </c>
      <c r="Q33" t="s">
        <v>99</v>
      </c>
    </row>
    <row r="34" spans="1:17" x14ac:dyDescent="0.3">
      <c r="A34" t="s">
        <v>17</v>
      </c>
      <c r="B34" t="str">
        <f>"601898"</f>
        <v>601898</v>
      </c>
      <c r="C34" t="s">
        <v>100</v>
      </c>
      <c r="D34" t="s">
        <v>71</v>
      </c>
      <c r="E34">
        <v>63967750000</v>
      </c>
      <c r="F34">
        <v>46206826000</v>
      </c>
      <c r="G34">
        <v>30667620000</v>
      </c>
      <c r="H34">
        <v>33593906000</v>
      </c>
      <c r="I34">
        <v>27475147000</v>
      </c>
      <c r="J34">
        <v>18894732000</v>
      </c>
      <c r="K34">
        <v>12370865000</v>
      </c>
      <c r="L34">
        <v>11982113000</v>
      </c>
      <c r="M34">
        <v>16161725000</v>
      </c>
      <c r="N34">
        <v>21311395000</v>
      </c>
      <c r="O34">
        <v>25674814000</v>
      </c>
      <c r="P34">
        <v>446</v>
      </c>
      <c r="Q34" t="s">
        <v>101</v>
      </c>
    </row>
    <row r="35" spans="1:17" x14ac:dyDescent="0.3">
      <c r="A35" t="s">
        <v>75</v>
      </c>
      <c r="B35" t="str">
        <f>"002594"</f>
        <v>002594</v>
      </c>
      <c r="C35" t="s">
        <v>102</v>
      </c>
      <c r="D35" t="s">
        <v>103</v>
      </c>
      <c r="E35">
        <v>63413842000</v>
      </c>
      <c r="F35">
        <v>32379041000</v>
      </c>
      <c r="G35">
        <v>19136788000</v>
      </c>
      <c r="H35">
        <v>26636297000</v>
      </c>
      <c r="I35">
        <v>25867790000</v>
      </c>
      <c r="J35">
        <v>22739130000</v>
      </c>
      <c r="K35">
        <v>23067988000</v>
      </c>
      <c r="L35">
        <v>21132216000</v>
      </c>
      <c r="M35">
        <v>13257461000</v>
      </c>
      <c r="N35">
        <v>12745447000</v>
      </c>
      <c r="O35">
        <v>14091750000</v>
      </c>
      <c r="P35">
        <v>5218</v>
      </c>
      <c r="Q35" t="s">
        <v>104</v>
      </c>
    </row>
    <row r="36" spans="1:17" x14ac:dyDescent="0.3">
      <c r="A36" t="s">
        <v>17</v>
      </c>
      <c r="B36" t="str">
        <f>"601868"</f>
        <v>601868</v>
      </c>
      <c r="C36" t="s">
        <v>105</v>
      </c>
      <c r="D36" t="s">
        <v>27</v>
      </c>
      <c r="E36">
        <v>63305092000</v>
      </c>
      <c r="P36">
        <v>152</v>
      </c>
      <c r="Q36" t="s">
        <v>106</v>
      </c>
    </row>
    <row r="37" spans="1:17" x14ac:dyDescent="0.3">
      <c r="A37" t="s">
        <v>17</v>
      </c>
      <c r="B37" t="str">
        <f>"600346"</f>
        <v>600346</v>
      </c>
      <c r="C37" t="s">
        <v>107</v>
      </c>
      <c r="D37" t="s">
        <v>19</v>
      </c>
      <c r="E37">
        <v>62420113632</v>
      </c>
      <c r="F37">
        <v>57545552045</v>
      </c>
      <c r="G37">
        <v>31223096683</v>
      </c>
      <c r="H37">
        <v>17031307868</v>
      </c>
      <c r="I37">
        <v>9595338658</v>
      </c>
      <c r="J37">
        <v>3998667792</v>
      </c>
      <c r="K37">
        <v>3166181854</v>
      </c>
      <c r="L37">
        <v>189680090</v>
      </c>
      <c r="M37">
        <v>197347431</v>
      </c>
      <c r="N37">
        <v>325863595</v>
      </c>
      <c r="O37">
        <v>298985771</v>
      </c>
      <c r="P37">
        <v>1652</v>
      </c>
      <c r="Q37" t="s">
        <v>108</v>
      </c>
    </row>
    <row r="38" spans="1:17" x14ac:dyDescent="0.3">
      <c r="A38" t="s">
        <v>17</v>
      </c>
      <c r="B38" t="str">
        <f>"600690"</f>
        <v>600690</v>
      </c>
      <c r="C38" t="s">
        <v>109</v>
      </c>
      <c r="D38" t="s">
        <v>110</v>
      </c>
      <c r="E38">
        <v>60025158217</v>
      </c>
      <c r="F38">
        <v>58804416711</v>
      </c>
      <c r="G38">
        <v>42136232276</v>
      </c>
      <c r="H38">
        <v>49421675913</v>
      </c>
      <c r="I38">
        <v>39294461023</v>
      </c>
      <c r="J38">
        <v>42011240928</v>
      </c>
      <c r="K38">
        <v>23378413689</v>
      </c>
      <c r="L38">
        <v>23257704267</v>
      </c>
      <c r="M38">
        <v>22397832405</v>
      </c>
      <c r="N38">
        <v>18590577837</v>
      </c>
      <c r="O38">
        <v>17415895889</v>
      </c>
      <c r="P38">
        <v>41083</v>
      </c>
      <c r="Q38" t="s">
        <v>111</v>
      </c>
    </row>
    <row r="39" spans="1:17" x14ac:dyDescent="0.3">
      <c r="A39" t="s">
        <v>75</v>
      </c>
      <c r="B39" t="str">
        <f>"300999"</f>
        <v>300999</v>
      </c>
      <c r="C39" t="s">
        <v>112</v>
      </c>
      <c r="D39" t="s">
        <v>113</v>
      </c>
      <c r="E39">
        <v>59606655000</v>
      </c>
      <c r="F39">
        <v>57483984000</v>
      </c>
      <c r="G39">
        <v>46226270000</v>
      </c>
      <c r="H39">
        <v>47685560000</v>
      </c>
      <c r="P39">
        <v>1181</v>
      </c>
      <c r="Q39" t="s">
        <v>114</v>
      </c>
    </row>
    <row r="40" spans="1:17" x14ac:dyDescent="0.3">
      <c r="A40" t="s">
        <v>75</v>
      </c>
      <c r="B40" t="str">
        <f>"300226"</f>
        <v>300226</v>
      </c>
      <c r="C40" t="s">
        <v>115</v>
      </c>
      <c r="D40" t="s">
        <v>116</v>
      </c>
      <c r="E40">
        <v>57739956673</v>
      </c>
      <c r="F40">
        <v>39680808491</v>
      </c>
      <c r="G40">
        <v>24451121914</v>
      </c>
      <c r="H40">
        <v>21768466696</v>
      </c>
      <c r="I40">
        <v>20845896813</v>
      </c>
      <c r="J40">
        <v>16263808134</v>
      </c>
      <c r="K40">
        <v>7694148114</v>
      </c>
      <c r="L40">
        <v>3704557260</v>
      </c>
      <c r="M40">
        <v>439919003</v>
      </c>
      <c r="N40">
        <v>336814296</v>
      </c>
      <c r="O40">
        <v>214267132</v>
      </c>
      <c r="P40">
        <v>253</v>
      </c>
      <c r="Q40" t="s">
        <v>117</v>
      </c>
    </row>
    <row r="41" spans="1:17" x14ac:dyDescent="0.3">
      <c r="A41" t="s">
        <v>75</v>
      </c>
      <c r="B41" t="str">
        <f>"002475"</f>
        <v>002475</v>
      </c>
      <c r="C41" t="s">
        <v>118</v>
      </c>
      <c r="D41" t="s">
        <v>55</v>
      </c>
      <c r="E41">
        <v>57623102494</v>
      </c>
      <c r="F41">
        <v>24265669018</v>
      </c>
      <c r="G41">
        <v>22952146030</v>
      </c>
      <c r="H41">
        <v>11332945168</v>
      </c>
      <c r="I41">
        <v>7431740216</v>
      </c>
      <c r="J41">
        <v>5120542400</v>
      </c>
      <c r="K41">
        <v>2566502823</v>
      </c>
      <c r="L41">
        <v>1960217003</v>
      </c>
      <c r="M41">
        <v>1454321860</v>
      </c>
      <c r="N41">
        <v>831566751</v>
      </c>
      <c r="O41">
        <v>804686615</v>
      </c>
      <c r="P41">
        <v>5894</v>
      </c>
      <c r="Q41" t="s">
        <v>119</v>
      </c>
    </row>
    <row r="42" spans="1:17" x14ac:dyDescent="0.3">
      <c r="A42" t="s">
        <v>17</v>
      </c>
      <c r="B42" t="str">
        <f>"600048"</f>
        <v>600048</v>
      </c>
      <c r="C42" t="s">
        <v>120</v>
      </c>
      <c r="D42" t="s">
        <v>65</v>
      </c>
      <c r="E42">
        <v>56986475502</v>
      </c>
      <c r="F42">
        <v>76927902350</v>
      </c>
      <c r="G42">
        <v>38642162785</v>
      </c>
      <c r="H42">
        <v>49476692167</v>
      </c>
      <c r="I42">
        <v>51440522198</v>
      </c>
      <c r="J42">
        <v>41292418759</v>
      </c>
      <c r="K42">
        <v>38294493438</v>
      </c>
      <c r="L42">
        <v>25538593483</v>
      </c>
      <c r="M42">
        <v>23046413438</v>
      </c>
      <c r="N42">
        <v>26959147074</v>
      </c>
      <c r="O42">
        <v>11264170100</v>
      </c>
      <c r="P42">
        <v>8844</v>
      </c>
      <c r="Q42" t="s">
        <v>121</v>
      </c>
    </row>
    <row r="43" spans="1:17" x14ac:dyDescent="0.3">
      <c r="A43" t="s">
        <v>17</v>
      </c>
      <c r="B43" t="str">
        <f>"601607"</f>
        <v>601607</v>
      </c>
      <c r="C43" t="s">
        <v>122</v>
      </c>
      <c r="D43" t="s">
        <v>123</v>
      </c>
      <c r="E43">
        <v>55300239230</v>
      </c>
      <c r="F43">
        <v>54808775570</v>
      </c>
      <c r="G43">
        <v>46220683332</v>
      </c>
      <c r="H43">
        <v>46773261150</v>
      </c>
      <c r="I43">
        <v>40363091297</v>
      </c>
      <c r="J43">
        <v>34868793709</v>
      </c>
      <c r="K43">
        <v>31216259735</v>
      </c>
      <c r="L43">
        <v>24368617317</v>
      </c>
      <c r="M43">
        <v>22882115311</v>
      </c>
      <c r="N43">
        <v>19948027866</v>
      </c>
      <c r="O43">
        <v>16625698591</v>
      </c>
      <c r="P43">
        <v>1369</v>
      </c>
      <c r="Q43" t="s">
        <v>124</v>
      </c>
    </row>
    <row r="44" spans="1:17" x14ac:dyDescent="0.3">
      <c r="A44" t="s">
        <v>17</v>
      </c>
      <c r="B44" t="str">
        <f>"600795"</f>
        <v>600795</v>
      </c>
      <c r="C44" t="s">
        <v>125</v>
      </c>
      <c r="D44" t="s">
        <v>88</v>
      </c>
      <c r="E44">
        <v>54335273223</v>
      </c>
      <c r="F44">
        <v>33027768972</v>
      </c>
      <c r="G44">
        <v>26789180685</v>
      </c>
      <c r="H44">
        <v>30579130649</v>
      </c>
      <c r="I44">
        <v>13682234057</v>
      </c>
      <c r="J44">
        <v>16026696580</v>
      </c>
      <c r="K44">
        <v>15800677757</v>
      </c>
      <c r="L44">
        <v>15047178091</v>
      </c>
      <c r="M44">
        <v>16595307552</v>
      </c>
      <c r="N44">
        <v>15840479244</v>
      </c>
      <c r="O44">
        <v>13103227447</v>
      </c>
      <c r="P44">
        <v>548</v>
      </c>
      <c r="Q44" t="s">
        <v>126</v>
      </c>
    </row>
    <row r="45" spans="1:17" x14ac:dyDescent="0.3">
      <c r="A45" t="s">
        <v>75</v>
      </c>
      <c r="B45" t="str">
        <f>"000725"</f>
        <v>000725</v>
      </c>
      <c r="C45" t="s">
        <v>127</v>
      </c>
      <c r="D45" t="s">
        <v>128</v>
      </c>
      <c r="E45">
        <v>53193351085</v>
      </c>
      <c r="F45">
        <v>45134348026</v>
      </c>
      <c r="G45">
        <v>28186187305</v>
      </c>
      <c r="H45">
        <v>28976834648</v>
      </c>
      <c r="I45">
        <v>23118428990</v>
      </c>
      <c r="J45">
        <v>22790725860</v>
      </c>
      <c r="K45">
        <v>14752531095</v>
      </c>
      <c r="L45">
        <v>11797439308</v>
      </c>
      <c r="M45">
        <v>9220709287</v>
      </c>
      <c r="N45">
        <v>7362659563</v>
      </c>
      <c r="O45">
        <v>3777236834</v>
      </c>
      <c r="P45">
        <v>4544</v>
      </c>
      <c r="Q45" t="s">
        <v>129</v>
      </c>
    </row>
    <row r="46" spans="1:17" x14ac:dyDescent="0.3">
      <c r="A46" t="s">
        <v>75</v>
      </c>
      <c r="B46" t="str">
        <f>"300750"</f>
        <v>300750</v>
      </c>
      <c r="C46" t="s">
        <v>130</v>
      </c>
      <c r="D46" t="s">
        <v>131</v>
      </c>
      <c r="E46">
        <v>52971346200</v>
      </c>
      <c r="F46">
        <v>19699155645</v>
      </c>
      <c r="G46">
        <v>12250452196</v>
      </c>
      <c r="H46">
        <v>12878552646</v>
      </c>
      <c r="I46">
        <v>2561651185</v>
      </c>
      <c r="J46">
        <v>3404527895</v>
      </c>
      <c r="P46">
        <v>4825</v>
      </c>
      <c r="Q46" t="s">
        <v>132</v>
      </c>
    </row>
    <row r="47" spans="1:17" x14ac:dyDescent="0.3">
      <c r="A47" t="s">
        <v>17</v>
      </c>
      <c r="B47" t="str">
        <f>"600309"</f>
        <v>600309</v>
      </c>
      <c r="C47" t="s">
        <v>133</v>
      </c>
      <c r="D47" t="s">
        <v>134</v>
      </c>
      <c r="E47">
        <v>49015818441</v>
      </c>
      <c r="F47">
        <v>32257571024</v>
      </c>
      <c r="G47">
        <v>16587464036</v>
      </c>
      <c r="H47">
        <v>20089508489</v>
      </c>
      <c r="I47">
        <v>16976287146</v>
      </c>
      <c r="J47">
        <v>11565703517</v>
      </c>
      <c r="K47">
        <v>6199381853</v>
      </c>
      <c r="L47">
        <v>4489668822</v>
      </c>
      <c r="M47">
        <v>5646612096</v>
      </c>
      <c r="N47">
        <v>4839495726</v>
      </c>
      <c r="O47">
        <v>3728292298</v>
      </c>
      <c r="P47">
        <v>7475</v>
      </c>
      <c r="Q47" t="s">
        <v>135</v>
      </c>
    </row>
    <row r="48" spans="1:17" x14ac:dyDescent="0.3">
      <c r="A48" t="s">
        <v>17</v>
      </c>
      <c r="B48" t="str">
        <f>"601225"</f>
        <v>601225</v>
      </c>
      <c r="C48" t="s">
        <v>136</v>
      </c>
      <c r="D48" t="s">
        <v>71</v>
      </c>
      <c r="E48">
        <v>46373377504</v>
      </c>
      <c r="F48">
        <v>36845906562</v>
      </c>
      <c r="G48">
        <v>18117442707</v>
      </c>
      <c r="H48">
        <v>13250267789</v>
      </c>
      <c r="I48">
        <v>11953172202</v>
      </c>
      <c r="J48">
        <v>9325409998</v>
      </c>
      <c r="K48">
        <v>3508496962</v>
      </c>
      <c r="L48">
        <v>3789508625</v>
      </c>
      <c r="M48">
        <v>5442580923</v>
      </c>
      <c r="N48">
        <v>10451817240</v>
      </c>
      <c r="P48">
        <v>2634</v>
      </c>
      <c r="Q48" t="s">
        <v>137</v>
      </c>
    </row>
    <row r="49" spans="1:17" x14ac:dyDescent="0.3">
      <c r="A49" t="s">
        <v>17</v>
      </c>
      <c r="B49" t="str">
        <f>"603993"</f>
        <v>603993</v>
      </c>
      <c r="C49" t="s">
        <v>138</v>
      </c>
      <c r="D49" t="s">
        <v>139</v>
      </c>
      <c r="E49">
        <v>43258705087</v>
      </c>
      <c r="F49">
        <v>38859584818</v>
      </c>
      <c r="G49">
        <v>24498608659</v>
      </c>
      <c r="H49">
        <v>6056125500</v>
      </c>
      <c r="I49">
        <v>6711115600</v>
      </c>
      <c r="J49">
        <v>5249360539</v>
      </c>
      <c r="K49">
        <v>886268583</v>
      </c>
      <c r="L49">
        <v>831199883</v>
      </c>
      <c r="M49">
        <v>1809883592</v>
      </c>
      <c r="N49">
        <v>1273508269</v>
      </c>
      <c r="O49">
        <v>1664805331</v>
      </c>
      <c r="P49">
        <v>1125</v>
      </c>
      <c r="Q49" t="s">
        <v>140</v>
      </c>
    </row>
    <row r="50" spans="1:17" x14ac:dyDescent="0.3">
      <c r="A50" t="s">
        <v>17</v>
      </c>
      <c r="B50" t="str">
        <f>"600710"</f>
        <v>600710</v>
      </c>
      <c r="C50" t="s">
        <v>141</v>
      </c>
      <c r="D50" t="s">
        <v>142</v>
      </c>
      <c r="E50">
        <v>41052344075</v>
      </c>
      <c r="F50">
        <v>40290538301</v>
      </c>
      <c r="G50">
        <v>21022749963</v>
      </c>
      <c r="H50">
        <v>25356695182</v>
      </c>
      <c r="I50">
        <v>23122717869</v>
      </c>
      <c r="J50">
        <v>18250199052</v>
      </c>
      <c r="K50">
        <v>167971702</v>
      </c>
      <c r="L50">
        <v>134593797</v>
      </c>
      <c r="M50">
        <v>104107182</v>
      </c>
      <c r="N50">
        <v>134111203</v>
      </c>
      <c r="O50">
        <v>225121123</v>
      </c>
      <c r="P50">
        <v>166</v>
      </c>
      <c r="Q50" t="s">
        <v>143</v>
      </c>
    </row>
    <row r="51" spans="1:17" x14ac:dyDescent="0.3">
      <c r="A51" t="s">
        <v>17</v>
      </c>
      <c r="B51" t="str">
        <f>"600188"</f>
        <v>600188</v>
      </c>
      <c r="C51" t="s">
        <v>144</v>
      </c>
      <c r="D51" t="s">
        <v>71</v>
      </c>
      <c r="E51">
        <v>40825813000</v>
      </c>
      <c r="F51">
        <v>29880997000</v>
      </c>
      <c r="G51">
        <v>45396514000</v>
      </c>
      <c r="H51">
        <v>52758824000</v>
      </c>
      <c r="I51">
        <v>37703830000</v>
      </c>
      <c r="J51">
        <v>43639169000</v>
      </c>
      <c r="K51">
        <v>7846523000</v>
      </c>
      <c r="L51">
        <v>9482700000</v>
      </c>
      <c r="M51">
        <v>16732010000</v>
      </c>
      <c r="N51">
        <v>12700663564</v>
      </c>
      <c r="O51">
        <v>19943429171</v>
      </c>
      <c r="P51">
        <v>1939</v>
      </c>
      <c r="Q51" t="s">
        <v>145</v>
      </c>
    </row>
    <row r="52" spans="1:17" x14ac:dyDescent="0.3">
      <c r="A52" t="s">
        <v>17</v>
      </c>
      <c r="B52" t="str">
        <f>"600803"</f>
        <v>600803</v>
      </c>
      <c r="C52" t="s">
        <v>146</v>
      </c>
      <c r="D52" t="s">
        <v>147</v>
      </c>
      <c r="E52">
        <v>40631590000</v>
      </c>
      <c r="F52">
        <v>27546670000</v>
      </c>
      <c r="G52">
        <v>2701505877</v>
      </c>
      <c r="H52">
        <v>3465559709</v>
      </c>
      <c r="I52">
        <v>2569795876</v>
      </c>
      <c r="J52">
        <v>1852225910</v>
      </c>
      <c r="K52">
        <v>1007378271</v>
      </c>
      <c r="L52">
        <v>944337409</v>
      </c>
      <c r="M52">
        <v>1120869984</v>
      </c>
      <c r="N52">
        <v>416725809</v>
      </c>
      <c r="O52">
        <v>362720027</v>
      </c>
      <c r="P52">
        <v>577</v>
      </c>
      <c r="Q52" t="s">
        <v>148</v>
      </c>
    </row>
    <row r="53" spans="1:17" x14ac:dyDescent="0.3">
      <c r="A53" t="s">
        <v>17</v>
      </c>
      <c r="B53" t="str">
        <f>"600297"</f>
        <v>600297</v>
      </c>
      <c r="C53" t="s">
        <v>149</v>
      </c>
      <c r="D53" t="s">
        <v>150</v>
      </c>
      <c r="E53">
        <v>40126475565</v>
      </c>
      <c r="F53">
        <v>47182787289</v>
      </c>
      <c r="G53">
        <v>31169041689</v>
      </c>
      <c r="H53">
        <v>45719762942</v>
      </c>
      <c r="I53">
        <v>47213004370</v>
      </c>
      <c r="J53">
        <v>40112393707</v>
      </c>
      <c r="K53">
        <v>30534807322</v>
      </c>
      <c r="L53">
        <v>111904420</v>
      </c>
      <c r="M53">
        <v>42057231</v>
      </c>
      <c r="N53">
        <v>94481016</v>
      </c>
      <c r="O53">
        <v>219003122</v>
      </c>
      <c r="P53">
        <v>469</v>
      </c>
      <c r="Q53" t="s">
        <v>151</v>
      </c>
    </row>
    <row r="54" spans="1:17" x14ac:dyDescent="0.3">
      <c r="A54" t="s">
        <v>75</v>
      </c>
      <c r="B54" t="str">
        <f>"000039"</f>
        <v>000039</v>
      </c>
      <c r="C54" t="s">
        <v>152</v>
      </c>
      <c r="D54" t="s">
        <v>153</v>
      </c>
      <c r="E54">
        <v>39830221000</v>
      </c>
      <c r="F54">
        <v>27846424000</v>
      </c>
      <c r="G54">
        <v>16367990000</v>
      </c>
      <c r="H54">
        <v>20746624000</v>
      </c>
      <c r="I54">
        <v>20384527000</v>
      </c>
      <c r="J54">
        <v>14450079000</v>
      </c>
      <c r="K54">
        <v>13540714000</v>
      </c>
      <c r="L54">
        <v>15661716000</v>
      </c>
      <c r="M54">
        <v>11401765000</v>
      </c>
      <c r="N54">
        <v>10656209000</v>
      </c>
      <c r="O54">
        <v>13429508000</v>
      </c>
      <c r="P54">
        <v>679</v>
      </c>
      <c r="Q54" t="s">
        <v>154</v>
      </c>
    </row>
    <row r="55" spans="1:17" x14ac:dyDescent="0.3">
      <c r="A55" t="s">
        <v>17</v>
      </c>
      <c r="B55" t="str">
        <f>"601766"</f>
        <v>601766</v>
      </c>
      <c r="C55" t="s">
        <v>155</v>
      </c>
      <c r="D55" t="s">
        <v>156</v>
      </c>
      <c r="E55">
        <v>38271223000</v>
      </c>
      <c r="F55">
        <v>32510309000</v>
      </c>
      <c r="G55">
        <v>37267569000</v>
      </c>
      <c r="H55">
        <v>42881762000</v>
      </c>
      <c r="I55">
        <v>44948329000</v>
      </c>
      <c r="J55">
        <v>33740219000</v>
      </c>
      <c r="K55">
        <v>45241859000</v>
      </c>
      <c r="L55">
        <v>27055268037</v>
      </c>
      <c r="M55">
        <v>28482239000</v>
      </c>
      <c r="N55">
        <v>21885145000</v>
      </c>
      <c r="O55">
        <v>13654315000</v>
      </c>
      <c r="P55">
        <v>1205</v>
      </c>
      <c r="Q55" t="s">
        <v>157</v>
      </c>
    </row>
    <row r="56" spans="1:17" x14ac:dyDescent="0.3">
      <c r="A56" t="s">
        <v>75</v>
      </c>
      <c r="B56" t="str">
        <f>"000906"</f>
        <v>000906</v>
      </c>
      <c r="C56" t="s">
        <v>158</v>
      </c>
      <c r="D56" t="s">
        <v>35</v>
      </c>
      <c r="E56">
        <v>38100384518</v>
      </c>
      <c r="F56">
        <v>40853986927</v>
      </c>
      <c r="G56">
        <v>19418672736</v>
      </c>
      <c r="H56">
        <v>15600030216</v>
      </c>
      <c r="I56">
        <v>15272107177</v>
      </c>
      <c r="J56">
        <v>9814433348</v>
      </c>
      <c r="K56">
        <v>6637735521</v>
      </c>
      <c r="L56">
        <v>5531659978</v>
      </c>
      <c r="M56">
        <v>5081014206</v>
      </c>
      <c r="N56">
        <v>4577308996</v>
      </c>
      <c r="O56">
        <v>5968500313</v>
      </c>
      <c r="P56">
        <v>238</v>
      </c>
      <c r="Q56" t="s">
        <v>159</v>
      </c>
    </row>
    <row r="57" spans="1:17" x14ac:dyDescent="0.3">
      <c r="A57" t="s">
        <v>75</v>
      </c>
      <c r="B57" t="str">
        <f>"200625"</f>
        <v>200625</v>
      </c>
      <c r="C57" t="s">
        <v>160</v>
      </c>
      <c r="E57">
        <v>37006729902.115997</v>
      </c>
      <c r="F57">
        <v>35668119217.564003</v>
      </c>
      <c r="G57">
        <v>23232285252.6045</v>
      </c>
      <c r="H57">
        <v>23500090632.002399</v>
      </c>
      <c r="I57">
        <v>31029762641.029499</v>
      </c>
      <c r="J57">
        <v>30000183401.063999</v>
      </c>
      <c r="K57">
        <v>24981479039.345299</v>
      </c>
      <c r="L57">
        <v>21726356788.75</v>
      </c>
      <c r="M57">
        <v>12987891723.209999</v>
      </c>
      <c r="N57">
        <v>11818754829.118799</v>
      </c>
      <c r="O57">
        <v>7250407351.3889999</v>
      </c>
      <c r="P57">
        <v>710</v>
      </c>
      <c r="Q57" t="s">
        <v>161</v>
      </c>
    </row>
    <row r="58" spans="1:17" x14ac:dyDescent="0.3">
      <c r="A58" t="s">
        <v>17</v>
      </c>
      <c r="B58" t="str">
        <f>"601633"</f>
        <v>601633</v>
      </c>
      <c r="C58" t="s">
        <v>162</v>
      </c>
      <c r="D58" t="s">
        <v>38</v>
      </c>
      <c r="E58">
        <v>36751633925</v>
      </c>
      <c r="F58">
        <v>40231400070</v>
      </c>
      <c r="G58">
        <v>27413700369</v>
      </c>
      <c r="H58">
        <v>28187004575</v>
      </c>
      <c r="I58">
        <v>29996860527</v>
      </c>
      <c r="J58">
        <v>24850939481</v>
      </c>
      <c r="K58">
        <v>21857125917</v>
      </c>
      <c r="L58">
        <v>19654499212</v>
      </c>
      <c r="M58">
        <v>16345097443</v>
      </c>
      <c r="N58">
        <v>13699046922</v>
      </c>
      <c r="O58">
        <v>8744154909</v>
      </c>
      <c r="P58">
        <v>2066</v>
      </c>
      <c r="Q58" t="s">
        <v>163</v>
      </c>
    </row>
    <row r="59" spans="1:17" x14ac:dyDescent="0.3">
      <c r="A59" t="s">
        <v>75</v>
      </c>
      <c r="B59" t="str">
        <f>"000703"</f>
        <v>000703</v>
      </c>
      <c r="C59" t="s">
        <v>164</v>
      </c>
      <c r="D59" t="s">
        <v>19</v>
      </c>
      <c r="E59">
        <v>36576515050</v>
      </c>
      <c r="F59">
        <v>33734116900</v>
      </c>
      <c r="G59">
        <v>24708627868</v>
      </c>
      <c r="H59">
        <v>24432227920</v>
      </c>
      <c r="I59">
        <v>17980850625</v>
      </c>
      <c r="J59">
        <v>8895375854</v>
      </c>
      <c r="K59">
        <v>5515077595</v>
      </c>
      <c r="L59">
        <v>5892314571</v>
      </c>
      <c r="M59">
        <v>5635718854</v>
      </c>
      <c r="N59">
        <v>6315966516</v>
      </c>
      <c r="O59">
        <v>9602803090</v>
      </c>
      <c r="P59">
        <v>581</v>
      </c>
      <c r="Q59" t="s">
        <v>165</v>
      </c>
    </row>
    <row r="60" spans="1:17" x14ac:dyDescent="0.3">
      <c r="A60" t="s">
        <v>75</v>
      </c>
      <c r="B60" t="str">
        <f>"000932"</f>
        <v>000932</v>
      </c>
      <c r="C60" t="s">
        <v>166</v>
      </c>
      <c r="D60" t="s">
        <v>68</v>
      </c>
      <c r="E60">
        <v>36215056586</v>
      </c>
      <c r="F60">
        <v>41772107180</v>
      </c>
      <c r="G60">
        <v>26141590555</v>
      </c>
      <c r="H60">
        <v>27638293547</v>
      </c>
      <c r="I60">
        <v>20136261018</v>
      </c>
      <c r="J60">
        <v>15023682577</v>
      </c>
      <c r="K60">
        <v>11375501872</v>
      </c>
      <c r="L60">
        <v>11688036998</v>
      </c>
      <c r="M60">
        <v>16638406772</v>
      </c>
      <c r="N60">
        <v>13702622880</v>
      </c>
      <c r="O60">
        <v>19139841652</v>
      </c>
      <c r="P60">
        <v>1039</v>
      </c>
      <c r="Q60" t="s">
        <v>167</v>
      </c>
    </row>
    <row r="61" spans="1:17" x14ac:dyDescent="0.3">
      <c r="A61" t="s">
        <v>75</v>
      </c>
      <c r="B61" t="str">
        <f>"000063"</f>
        <v>000063</v>
      </c>
      <c r="C61" t="s">
        <v>168</v>
      </c>
      <c r="D61" t="s">
        <v>169</v>
      </c>
      <c r="E61">
        <v>35620643000</v>
      </c>
      <c r="F61">
        <v>27738923000</v>
      </c>
      <c r="G61">
        <v>19968724000</v>
      </c>
      <c r="H61">
        <v>20894666000</v>
      </c>
      <c r="I61">
        <v>23705198000</v>
      </c>
      <c r="J61">
        <v>26935766000</v>
      </c>
      <c r="K61">
        <v>31491449000</v>
      </c>
      <c r="L61">
        <v>24032091000</v>
      </c>
      <c r="M61">
        <v>19209522000</v>
      </c>
      <c r="N61">
        <v>19465634000</v>
      </c>
      <c r="O61">
        <v>17574584000</v>
      </c>
      <c r="P61">
        <v>3203</v>
      </c>
      <c r="Q61" t="s">
        <v>170</v>
      </c>
    </row>
    <row r="62" spans="1:17" x14ac:dyDescent="0.3">
      <c r="A62" t="s">
        <v>75</v>
      </c>
      <c r="B62" t="str">
        <f>"000338"</f>
        <v>000338</v>
      </c>
      <c r="C62" t="s">
        <v>171</v>
      </c>
      <c r="D62" t="s">
        <v>172</v>
      </c>
      <c r="E62">
        <v>35619604854</v>
      </c>
      <c r="F62">
        <v>42147472394</v>
      </c>
      <c r="G62">
        <v>27522779500</v>
      </c>
      <c r="H62">
        <v>30116048753</v>
      </c>
      <c r="I62">
        <v>28336640454</v>
      </c>
      <c r="J62">
        <v>23239216144</v>
      </c>
      <c r="K62">
        <v>14071888558</v>
      </c>
      <c r="L62">
        <v>15420269346</v>
      </c>
      <c r="M62">
        <v>8420553588</v>
      </c>
      <c r="N62">
        <v>5999217233</v>
      </c>
      <c r="O62">
        <v>6946101010</v>
      </c>
      <c r="P62">
        <v>3423</v>
      </c>
      <c r="Q62" t="s">
        <v>173</v>
      </c>
    </row>
    <row r="63" spans="1:17" x14ac:dyDescent="0.3">
      <c r="A63" t="s">
        <v>75</v>
      </c>
      <c r="B63" t="str">
        <f>"000651"</f>
        <v>000651</v>
      </c>
      <c r="C63" t="s">
        <v>174</v>
      </c>
      <c r="D63" t="s">
        <v>83</v>
      </c>
      <c r="E63">
        <v>34938337936</v>
      </c>
      <c r="F63">
        <v>30264761795</v>
      </c>
      <c r="G63">
        <v>25994996162</v>
      </c>
      <c r="H63">
        <v>43448029584</v>
      </c>
      <c r="I63">
        <v>33712567980</v>
      </c>
      <c r="J63">
        <v>31072266783</v>
      </c>
      <c r="K63">
        <v>21908042470</v>
      </c>
      <c r="L63">
        <v>40691935553</v>
      </c>
      <c r="M63">
        <v>35868693662</v>
      </c>
      <c r="N63">
        <v>31258525163</v>
      </c>
      <c r="O63">
        <v>32134951210</v>
      </c>
      <c r="P63">
        <v>55062</v>
      </c>
      <c r="Q63" t="s">
        <v>175</v>
      </c>
    </row>
    <row r="64" spans="1:17" x14ac:dyDescent="0.3">
      <c r="A64" t="s">
        <v>17</v>
      </c>
      <c r="B64" t="str">
        <f>"600248"</f>
        <v>600248</v>
      </c>
      <c r="C64" t="s">
        <v>176</v>
      </c>
      <c r="D64" t="s">
        <v>24</v>
      </c>
      <c r="E64">
        <v>34225942720</v>
      </c>
      <c r="F64">
        <v>32242477990</v>
      </c>
      <c r="G64">
        <v>1098752669</v>
      </c>
      <c r="H64">
        <v>1549283319</v>
      </c>
      <c r="I64">
        <v>861926385</v>
      </c>
      <c r="J64">
        <v>511160396</v>
      </c>
      <c r="K64">
        <v>590003490</v>
      </c>
      <c r="L64">
        <v>703130029</v>
      </c>
      <c r="M64">
        <v>1409848909</v>
      </c>
      <c r="N64">
        <v>1374570868</v>
      </c>
      <c r="O64">
        <v>917569727</v>
      </c>
      <c r="P64">
        <v>143</v>
      </c>
      <c r="Q64" t="s">
        <v>177</v>
      </c>
    </row>
    <row r="65" spans="1:17" x14ac:dyDescent="0.3">
      <c r="A65" t="s">
        <v>75</v>
      </c>
      <c r="B65" t="str">
        <f>"001979"</f>
        <v>001979</v>
      </c>
      <c r="C65" t="s">
        <v>178</v>
      </c>
      <c r="D65" t="s">
        <v>179</v>
      </c>
      <c r="E65">
        <v>32960083475</v>
      </c>
      <c r="F65">
        <v>37268856396</v>
      </c>
      <c r="G65">
        <v>21499753518</v>
      </c>
      <c r="H65">
        <v>15899708611</v>
      </c>
      <c r="I65">
        <v>15088672758</v>
      </c>
      <c r="J65">
        <v>14804927426</v>
      </c>
      <c r="K65">
        <v>13840538151</v>
      </c>
      <c r="L65">
        <v>9870321934</v>
      </c>
      <c r="P65">
        <v>1456</v>
      </c>
      <c r="Q65" t="s">
        <v>180</v>
      </c>
    </row>
    <row r="66" spans="1:17" x14ac:dyDescent="0.3">
      <c r="A66" t="s">
        <v>75</v>
      </c>
      <c r="B66" t="str">
        <f>"000898"</f>
        <v>000898</v>
      </c>
      <c r="C66" t="s">
        <v>181</v>
      </c>
      <c r="D66" t="s">
        <v>68</v>
      </c>
      <c r="E66">
        <v>32839000000</v>
      </c>
      <c r="F66">
        <v>32361000000</v>
      </c>
      <c r="G66">
        <v>18233000000</v>
      </c>
      <c r="H66">
        <v>22513000000</v>
      </c>
      <c r="I66">
        <v>17179000000</v>
      </c>
      <c r="J66">
        <v>13926000000</v>
      </c>
      <c r="K66">
        <v>9655000000</v>
      </c>
      <c r="L66">
        <v>12744000000</v>
      </c>
      <c r="M66">
        <v>18298000000</v>
      </c>
      <c r="N66">
        <v>16932000000</v>
      </c>
      <c r="O66">
        <v>20938000000</v>
      </c>
      <c r="P66">
        <v>646</v>
      </c>
      <c r="Q66" t="s">
        <v>182</v>
      </c>
    </row>
    <row r="67" spans="1:17" x14ac:dyDescent="0.3">
      <c r="A67" t="s">
        <v>17</v>
      </c>
      <c r="B67" t="str">
        <f>"601117"</f>
        <v>601117</v>
      </c>
      <c r="C67" t="s">
        <v>183</v>
      </c>
      <c r="D67" t="s">
        <v>184</v>
      </c>
      <c r="E67">
        <v>32764368591</v>
      </c>
      <c r="F67">
        <v>26980259991</v>
      </c>
      <c r="G67">
        <v>15675665675</v>
      </c>
      <c r="H67">
        <v>16039387378</v>
      </c>
      <c r="I67">
        <v>14732741766</v>
      </c>
      <c r="J67">
        <v>10338145754</v>
      </c>
      <c r="K67">
        <v>10181256709</v>
      </c>
      <c r="L67">
        <v>11050692376</v>
      </c>
      <c r="M67">
        <v>11712254218</v>
      </c>
      <c r="N67">
        <v>13360852658</v>
      </c>
      <c r="O67">
        <v>9788590260</v>
      </c>
      <c r="P67">
        <v>717</v>
      </c>
      <c r="Q67" t="s">
        <v>185</v>
      </c>
    </row>
    <row r="68" spans="1:17" x14ac:dyDescent="0.3">
      <c r="A68" t="s">
        <v>75</v>
      </c>
      <c r="B68" t="str">
        <f>"000100"</f>
        <v>000100</v>
      </c>
      <c r="C68" t="s">
        <v>186</v>
      </c>
      <c r="D68" t="s">
        <v>128</v>
      </c>
      <c r="E68">
        <v>32479892087</v>
      </c>
      <c r="F68">
        <v>27034723608</v>
      </c>
      <c r="G68">
        <v>14850100323</v>
      </c>
      <c r="H68">
        <v>29948578250</v>
      </c>
      <c r="I68">
        <v>29764501809</v>
      </c>
      <c r="J68">
        <v>28988033901</v>
      </c>
      <c r="K68">
        <v>25159141467</v>
      </c>
      <c r="L68">
        <v>24075126460</v>
      </c>
      <c r="M68">
        <v>22044030088</v>
      </c>
      <c r="N68">
        <v>21025531846</v>
      </c>
      <c r="O68">
        <v>17300122801</v>
      </c>
      <c r="P68">
        <v>2194</v>
      </c>
      <c r="Q68" t="s">
        <v>187</v>
      </c>
    </row>
    <row r="69" spans="1:17" x14ac:dyDescent="0.3">
      <c r="A69" t="s">
        <v>17</v>
      </c>
      <c r="B69" t="str">
        <f>"601991"</f>
        <v>601991</v>
      </c>
      <c r="C69" t="s">
        <v>188</v>
      </c>
      <c r="D69" t="s">
        <v>88</v>
      </c>
      <c r="E69">
        <v>32442339000</v>
      </c>
      <c r="F69">
        <v>25996620000</v>
      </c>
      <c r="G69">
        <v>24306491000</v>
      </c>
      <c r="H69">
        <v>25257465000</v>
      </c>
      <c r="I69">
        <v>20071801000</v>
      </c>
      <c r="J69">
        <v>16588222000</v>
      </c>
      <c r="K69">
        <v>17831190000</v>
      </c>
      <c r="L69">
        <v>19502854000</v>
      </c>
      <c r="M69">
        <v>20503164000</v>
      </c>
      <c r="N69">
        <v>21776099000</v>
      </c>
      <c r="O69">
        <v>22619748000</v>
      </c>
      <c r="P69">
        <v>283</v>
      </c>
      <c r="Q69" t="s">
        <v>189</v>
      </c>
    </row>
    <row r="70" spans="1:17" x14ac:dyDescent="0.3">
      <c r="A70" t="s">
        <v>17</v>
      </c>
      <c r="B70" t="str">
        <f>"600585"</f>
        <v>600585</v>
      </c>
      <c r="C70" t="s">
        <v>190</v>
      </c>
      <c r="D70" t="s">
        <v>191</v>
      </c>
      <c r="E70">
        <v>32412756198</v>
      </c>
      <c r="F70">
        <v>42171253067</v>
      </c>
      <c r="G70">
        <v>30346043821</v>
      </c>
      <c r="H70">
        <v>39745656871</v>
      </c>
      <c r="I70">
        <v>23959544885</v>
      </c>
      <c r="J70">
        <v>18152810510</v>
      </c>
      <c r="K70">
        <v>12894597957</v>
      </c>
      <c r="L70">
        <v>14831330548</v>
      </c>
      <c r="M70">
        <v>18132084570</v>
      </c>
      <c r="N70">
        <v>15024662388</v>
      </c>
      <c r="O70">
        <v>13986841156</v>
      </c>
      <c r="P70">
        <v>8410</v>
      </c>
      <c r="Q70" t="s">
        <v>192</v>
      </c>
    </row>
    <row r="71" spans="1:17" x14ac:dyDescent="0.3">
      <c r="A71" t="s">
        <v>17</v>
      </c>
      <c r="B71" t="str">
        <f>"600741"</f>
        <v>600741</v>
      </c>
      <c r="C71" t="s">
        <v>193</v>
      </c>
      <c r="D71" t="s">
        <v>194</v>
      </c>
      <c r="E71">
        <v>32243466094</v>
      </c>
      <c r="F71">
        <v>32096435384</v>
      </c>
      <c r="G71">
        <v>28572682802</v>
      </c>
      <c r="H71">
        <v>38188083439</v>
      </c>
      <c r="I71">
        <v>36033289343</v>
      </c>
      <c r="J71">
        <v>32038379261</v>
      </c>
      <c r="K71">
        <v>25891077036</v>
      </c>
      <c r="L71">
        <v>19107748247</v>
      </c>
      <c r="M71">
        <v>15946152682</v>
      </c>
      <c r="N71">
        <v>13833139326</v>
      </c>
      <c r="O71">
        <v>12696968029</v>
      </c>
      <c r="P71">
        <v>6373</v>
      </c>
      <c r="Q71" t="s">
        <v>195</v>
      </c>
    </row>
    <row r="72" spans="1:17" x14ac:dyDescent="0.3">
      <c r="A72" t="s">
        <v>75</v>
      </c>
      <c r="B72" t="str">
        <f>"000878"</f>
        <v>000878</v>
      </c>
      <c r="C72" t="s">
        <v>196</v>
      </c>
      <c r="D72" t="s">
        <v>45</v>
      </c>
      <c r="E72">
        <v>32191592908</v>
      </c>
      <c r="F72">
        <v>26974031761</v>
      </c>
      <c r="G72">
        <v>16368756129</v>
      </c>
      <c r="H72">
        <v>12191573585</v>
      </c>
      <c r="I72">
        <v>9930378793</v>
      </c>
      <c r="J72">
        <v>12272470616</v>
      </c>
      <c r="K72">
        <v>6058609616</v>
      </c>
      <c r="L72">
        <v>14252799763</v>
      </c>
      <c r="M72">
        <v>13681909421</v>
      </c>
      <c r="N72">
        <v>8855591826</v>
      </c>
      <c r="O72">
        <v>9541805940</v>
      </c>
      <c r="P72">
        <v>418</v>
      </c>
      <c r="Q72" t="s">
        <v>197</v>
      </c>
    </row>
    <row r="73" spans="1:17" x14ac:dyDescent="0.3">
      <c r="A73" t="s">
        <v>75</v>
      </c>
      <c r="B73" t="str">
        <f>"000630"</f>
        <v>000630</v>
      </c>
      <c r="C73" t="s">
        <v>198</v>
      </c>
      <c r="D73" t="s">
        <v>45</v>
      </c>
      <c r="E73">
        <v>31542091463</v>
      </c>
      <c r="F73">
        <v>35946775119</v>
      </c>
      <c r="G73">
        <v>22149769561</v>
      </c>
      <c r="H73">
        <v>26240016679</v>
      </c>
      <c r="I73">
        <v>20861999338</v>
      </c>
      <c r="J73">
        <v>21246806455</v>
      </c>
      <c r="K73">
        <v>22670369918</v>
      </c>
      <c r="L73">
        <v>25355023404</v>
      </c>
      <c r="M73">
        <v>23387385682</v>
      </c>
      <c r="N73">
        <v>20266700651</v>
      </c>
      <c r="O73">
        <v>19521118780</v>
      </c>
      <c r="P73">
        <v>464</v>
      </c>
      <c r="Q73" t="s">
        <v>199</v>
      </c>
    </row>
    <row r="74" spans="1:17" x14ac:dyDescent="0.3">
      <c r="A74" t="s">
        <v>17</v>
      </c>
      <c r="B74" t="str">
        <f>"600519"</f>
        <v>600519</v>
      </c>
      <c r="C74" t="s">
        <v>200</v>
      </c>
      <c r="D74" t="s">
        <v>201</v>
      </c>
      <c r="E74">
        <v>31487970470</v>
      </c>
      <c r="F74">
        <v>22300937054</v>
      </c>
      <c r="G74">
        <v>21866005985</v>
      </c>
      <c r="H74">
        <v>22758183135</v>
      </c>
      <c r="I74">
        <v>19366093291</v>
      </c>
      <c r="J74">
        <v>17391210440</v>
      </c>
      <c r="K74">
        <v>15490821766</v>
      </c>
      <c r="L74">
        <v>10255492586</v>
      </c>
      <c r="M74">
        <v>7238091747</v>
      </c>
      <c r="N74">
        <v>6160758035</v>
      </c>
      <c r="O74">
        <v>5766087220</v>
      </c>
      <c r="P74">
        <v>71978</v>
      </c>
      <c r="Q74" t="s">
        <v>202</v>
      </c>
    </row>
    <row r="75" spans="1:17" x14ac:dyDescent="0.3">
      <c r="A75" t="s">
        <v>75</v>
      </c>
      <c r="B75" t="str">
        <f>"000709"</f>
        <v>000709</v>
      </c>
      <c r="C75" t="s">
        <v>203</v>
      </c>
      <c r="D75" t="s">
        <v>68</v>
      </c>
      <c r="E75">
        <v>31181530763</v>
      </c>
      <c r="F75">
        <v>36347279514</v>
      </c>
      <c r="G75">
        <v>27825056689</v>
      </c>
      <c r="H75">
        <v>31965004574</v>
      </c>
      <c r="I75">
        <v>32550512755</v>
      </c>
      <c r="J75">
        <v>33134849147</v>
      </c>
      <c r="K75">
        <v>24579954089</v>
      </c>
      <c r="L75">
        <v>26832021037</v>
      </c>
      <c r="M75">
        <v>29348204465</v>
      </c>
      <c r="N75">
        <v>27095146426</v>
      </c>
      <c r="O75">
        <v>31931481623</v>
      </c>
      <c r="P75">
        <v>524</v>
      </c>
      <c r="Q75" t="s">
        <v>204</v>
      </c>
    </row>
    <row r="76" spans="1:17" x14ac:dyDescent="0.3">
      <c r="A76" t="s">
        <v>17</v>
      </c>
      <c r="B76" t="str">
        <f>"600027"</f>
        <v>600027</v>
      </c>
      <c r="C76" t="s">
        <v>205</v>
      </c>
      <c r="D76" t="s">
        <v>88</v>
      </c>
      <c r="E76">
        <v>30812281000</v>
      </c>
      <c r="F76">
        <v>29947225000</v>
      </c>
      <c r="G76">
        <v>25755953000</v>
      </c>
      <c r="H76">
        <v>25930356000</v>
      </c>
      <c r="I76">
        <v>25997694000</v>
      </c>
      <c r="J76">
        <v>21954549000</v>
      </c>
      <c r="K76">
        <v>19225357000</v>
      </c>
      <c r="L76">
        <v>18946091000</v>
      </c>
      <c r="M76">
        <v>18815802000</v>
      </c>
      <c r="N76">
        <v>18007910000</v>
      </c>
      <c r="O76">
        <v>17180227000</v>
      </c>
      <c r="P76">
        <v>987</v>
      </c>
      <c r="Q76" t="s">
        <v>206</v>
      </c>
    </row>
    <row r="77" spans="1:17" x14ac:dyDescent="0.3">
      <c r="A77" t="s">
        <v>17</v>
      </c>
      <c r="B77" t="str">
        <f>"601933"</f>
        <v>601933</v>
      </c>
      <c r="C77" t="s">
        <v>207</v>
      </c>
      <c r="D77" t="s">
        <v>208</v>
      </c>
      <c r="E77">
        <v>30671705337</v>
      </c>
      <c r="F77">
        <v>29485129021</v>
      </c>
      <c r="G77">
        <v>32145891058</v>
      </c>
      <c r="H77">
        <v>24808738227</v>
      </c>
      <c r="I77">
        <v>21510138973</v>
      </c>
      <c r="J77">
        <v>17046371852</v>
      </c>
      <c r="K77">
        <v>15019440736</v>
      </c>
      <c r="L77">
        <v>12754652178</v>
      </c>
      <c r="M77">
        <v>10497753413</v>
      </c>
      <c r="N77">
        <v>8961626632</v>
      </c>
      <c r="O77">
        <v>7210979454</v>
      </c>
      <c r="P77">
        <v>2444</v>
      </c>
      <c r="Q77" t="s">
        <v>209</v>
      </c>
    </row>
    <row r="78" spans="1:17" x14ac:dyDescent="0.3">
      <c r="A78" t="s">
        <v>17</v>
      </c>
      <c r="B78" t="str">
        <f>"601238"</f>
        <v>601238</v>
      </c>
      <c r="C78" t="s">
        <v>210</v>
      </c>
      <c r="D78" t="s">
        <v>38</v>
      </c>
      <c r="E78">
        <v>30481871849</v>
      </c>
      <c r="F78">
        <v>18250903698</v>
      </c>
      <c r="G78">
        <v>12189120263</v>
      </c>
      <c r="H78">
        <v>17975973771</v>
      </c>
      <c r="I78">
        <v>22354007651</v>
      </c>
      <c r="J78">
        <v>18636684503</v>
      </c>
      <c r="K78">
        <v>12057272866</v>
      </c>
      <c r="L78">
        <v>6618084566</v>
      </c>
      <c r="M78">
        <v>5835451611</v>
      </c>
      <c r="N78">
        <v>4065697841</v>
      </c>
      <c r="O78">
        <v>3013472665</v>
      </c>
      <c r="P78">
        <v>1300</v>
      </c>
      <c r="Q78" t="s">
        <v>211</v>
      </c>
    </row>
    <row r="79" spans="1:17" x14ac:dyDescent="0.3">
      <c r="A79" t="s">
        <v>75</v>
      </c>
      <c r="B79" t="str">
        <f>"000625"</f>
        <v>000625</v>
      </c>
      <c r="C79" t="s">
        <v>212</v>
      </c>
      <c r="D79" t="s">
        <v>38</v>
      </c>
      <c r="E79">
        <v>29989246274</v>
      </c>
      <c r="F79">
        <v>30112384312</v>
      </c>
      <c r="G79">
        <v>21257466605</v>
      </c>
      <c r="H79">
        <v>20101009864</v>
      </c>
      <c r="I79">
        <v>24813884559</v>
      </c>
      <c r="J79">
        <v>26591192520</v>
      </c>
      <c r="K79">
        <v>20795370881</v>
      </c>
      <c r="L79">
        <v>17381085431</v>
      </c>
      <c r="M79">
        <v>10403630025</v>
      </c>
      <c r="N79">
        <v>9456516906</v>
      </c>
      <c r="O79">
        <v>5880297933</v>
      </c>
      <c r="P79">
        <v>3098</v>
      </c>
      <c r="Q79" t="s">
        <v>213</v>
      </c>
    </row>
    <row r="80" spans="1:17" x14ac:dyDescent="0.3">
      <c r="A80" t="s">
        <v>17</v>
      </c>
      <c r="B80" t="str">
        <f>"600887"</f>
        <v>600887</v>
      </c>
      <c r="C80" t="s">
        <v>214</v>
      </c>
      <c r="D80" t="s">
        <v>215</v>
      </c>
      <c r="E80">
        <v>29397364299</v>
      </c>
      <c r="F80">
        <v>26740103102</v>
      </c>
      <c r="G80">
        <v>19725064517</v>
      </c>
      <c r="H80">
        <v>24277438311</v>
      </c>
      <c r="I80">
        <v>20724754969</v>
      </c>
      <c r="J80">
        <v>16337805292</v>
      </c>
      <c r="K80">
        <v>16252961757</v>
      </c>
      <c r="L80">
        <v>15890821746</v>
      </c>
      <c r="M80">
        <v>13411444993</v>
      </c>
      <c r="N80">
        <v>12030375952</v>
      </c>
      <c r="O80">
        <v>10451716293</v>
      </c>
      <c r="P80">
        <v>72799</v>
      </c>
      <c r="Q80" t="s">
        <v>216</v>
      </c>
    </row>
    <row r="81" spans="1:17" x14ac:dyDescent="0.3">
      <c r="A81" t="s">
        <v>75</v>
      </c>
      <c r="B81" t="str">
        <f>"000876"</f>
        <v>000876</v>
      </c>
      <c r="C81" t="s">
        <v>217</v>
      </c>
      <c r="D81" t="s">
        <v>218</v>
      </c>
      <c r="E81">
        <v>29183309382</v>
      </c>
      <c r="F81">
        <v>29488011198</v>
      </c>
      <c r="G81">
        <v>20842913296</v>
      </c>
      <c r="H81">
        <v>16920186393</v>
      </c>
      <c r="I81">
        <v>15275883560</v>
      </c>
      <c r="J81">
        <v>15257268301</v>
      </c>
      <c r="K81">
        <v>12864348038</v>
      </c>
      <c r="L81">
        <v>13320388144</v>
      </c>
      <c r="M81">
        <v>14586679056</v>
      </c>
      <c r="N81">
        <v>14945529485</v>
      </c>
      <c r="O81">
        <v>17552251142</v>
      </c>
      <c r="P81">
        <v>2609</v>
      </c>
      <c r="Q81" t="s">
        <v>219</v>
      </c>
    </row>
    <row r="82" spans="1:17" x14ac:dyDescent="0.3">
      <c r="A82" t="s">
        <v>75</v>
      </c>
      <c r="B82" t="str">
        <f>"000701"</f>
        <v>000701</v>
      </c>
      <c r="C82" t="s">
        <v>220</v>
      </c>
      <c r="D82" t="s">
        <v>221</v>
      </c>
      <c r="E82">
        <v>28590349565</v>
      </c>
      <c r="F82">
        <v>23901065194</v>
      </c>
      <c r="G82">
        <v>15741542980</v>
      </c>
      <c r="H82">
        <v>19001557610</v>
      </c>
      <c r="I82">
        <v>8411354613</v>
      </c>
      <c r="J82">
        <v>8473944437</v>
      </c>
      <c r="K82">
        <v>6577454440</v>
      </c>
      <c r="L82">
        <v>5363941781</v>
      </c>
      <c r="M82">
        <v>5323567838</v>
      </c>
      <c r="N82">
        <v>5618661461</v>
      </c>
      <c r="O82">
        <v>3420991425</v>
      </c>
      <c r="P82">
        <v>120</v>
      </c>
      <c r="Q82" t="s">
        <v>222</v>
      </c>
    </row>
    <row r="83" spans="1:17" x14ac:dyDescent="0.3">
      <c r="A83" t="s">
        <v>75</v>
      </c>
      <c r="B83" t="str">
        <f>"000034"</f>
        <v>000034</v>
      </c>
      <c r="C83" t="s">
        <v>223</v>
      </c>
      <c r="D83" t="s">
        <v>224</v>
      </c>
      <c r="E83">
        <v>28408162932</v>
      </c>
      <c r="F83">
        <v>27134815897</v>
      </c>
      <c r="G83">
        <v>18969790291</v>
      </c>
      <c r="H83">
        <v>25850376963</v>
      </c>
      <c r="I83">
        <v>18588241330</v>
      </c>
      <c r="J83">
        <v>14863440312</v>
      </c>
      <c r="K83">
        <v>94128091</v>
      </c>
      <c r="L83">
        <v>90618544</v>
      </c>
      <c r="M83">
        <v>97224361</v>
      </c>
      <c r="N83">
        <v>107205066</v>
      </c>
      <c r="O83">
        <v>99065708</v>
      </c>
      <c r="P83">
        <v>412</v>
      </c>
      <c r="Q83" t="s">
        <v>225</v>
      </c>
    </row>
    <row r="84" spans="1:17" x14ac:dyDescent="0.3">
      <c r="A84" t="s">
        <v>17</v>
      </c>
      <c r="B84" t="str">
        <f>"600998"</f>
        <v>600998</v>
      </c>
      <c r="C84" t="s">
        <v>226</v>
      </c>
      <c r="D84" t="s">
        <v>123</v>
      </c>
      <c r="E84">
        <v>28293743830</v>
      </c>
      <c r="F84">
        <v>28965663790</v>
      </c>
      <c r="G84">
        <v>27922862490</v>
      </c>
      <c r="H84">
        <v>23937904456</v>
      </c>
      <c r="I84">
        <v>20104920136</v>
      </c>
      <c r="J84">
        <v>16468043906</v>
      </c>
      <c r="K84">
        <v>13143126653</v>
      </c>
      <c r="L84">
        <v>10338269362</v>
      </c>
      <c r="M84">
        <v>8255789177</v>
      </c>
      <c r="N84">
        <v>7234273831</v>
      </c>
      <c r="O84">
        <v>6805291929</v>
      </c>
      <c r="P84">
        <v>612</v>
      </c>
      <c r="Q84" t="s">
        <v>227</v>
      </c>
    </row>
    <row r="85" spans="1:17" x14ac:dyDescent="0.3">
      <c r="A85" t="s">
        <v>17</v>
      </c>
      <c r="B85" t="str">
        <f>"601598"</f>
        <v>601598</v>
      </c>
      <c r="C85" t="s">
        <v>228</v>
      </c>
      <c r="D85" t="s">
        <v>229</v>
      </c>
      <c r="E85">
        <v>28033196379</v>
      </c>
      <c r="F85">
        <v>27593498768</v>
      </c>
      <c r="G85">
        <v>15220000345</v>
      </c>
      <c r="H85">
        <v>17434118454</v>
      </c>
      <c r="I85">
        <v>17645286976</v>
      </c>
      <c r="P85">
        <v>316</v>
      </c>
      <c r="Q85" t="s">
        <v>230</v>
      </c>
    </row>
    <row r="86" spans="1:17" x14ac:dyDescent="0.3">
      <c r="A86" t="s">
        <v>75</v>
      </c>
      <c r="B86" t="str">
        <f>"000877"</f>
        <v>000877</v>
      </c>
      <c r="C86" t="s">
        <v>231</v>
      </c>
      <c r="D86" t="s">
        <v>191</v>
      </c>
      <c r="E86">
        <v>27550992106</v>
      </c>
      <c r="F86">
        <v>1103815097</v>
      </c>
      <c r="G86">
        <v>751268590</v>
      </c>
      <c r="H86">
        <v>1029795579</v>
      </c>
      <c r="I86">
        <v>893709565</v>
      </c>
      <c r="J86">
        <v>687069135</v>
      </c>
      <c r="K86">
        <v>634337520</v>
      </c>
      <c r="L86">
        <v>889944278</v>
      </c>
      <c r="M86">
        <v>757071847</v>
      </c>
      <c r="N86">
        <v>609311822</v>
      </c>
      <c r="O86">
        <v>771867651</v>
      </c>
      <c r="P86">
        <v>742</v>
      </c>
      <c r="Q86" t="s">
        <v>232</v>
      </c>
    </row>
    <row r="87" spans="1:17" x14ac:dyDescent="0.3">
      <c r="A87" t="s">
        <v>17</v>
      </c>
      <c r="B87" t="str">
        <f>"601155"</f>
        <v>601155</v>
      </c>
      <c r="C87" t="s">
        <v>233</v>
      </c>
      <c r="D87" t="s">
        <v>179</v>
      </c>
      <c r="E87">
        <v>27427819722</v>
      </c>
      <c r="F87">
        <v>33304481930</v>
      </c>
      <c r="G87">
        <v>24892596684</v>
      </c>
      <c r="H87">
        <v>22415548410</v>
      </c>
      <c r="I87">
        <v>16236580207</v>
      </c>
      <c r="J87">
        <v>9060275025</v>
      </c>
      <c r="K87">
        <v>6458070319</v>
      </c>
      <c r="L87">
        <v>4918383813</v>
      </c>
      <c r="P87">
        <v>7593</v>
      </c>
      <c r="Q87" t="s">
        <v>234</v>
      </c>
    </row>
    <row r="88" spans="1:17" x14ac:dyDescent="0.3">
      <c r="A88" t="s">
        <v>17</v>
      </c>
      <c r="B88" t="str">
        <f>"600688"</f>
        <v>600688</v>
      </c>
      <c r="C88" t="s">
        <v>235</v>
      </c>
      <c r="D88" t="s">
        <v>19</v>
      </c>
      <c r="E88">
        <v>27392826000</v>
      </c>
      <c r="F88">
        <v>20424095000</v>
      </c>
      <c r="G88">
        <v>19228821000</v>
      </c>
      <c r="H88">
        <v>27306858000</v>
      </c>
      <c r="I88">
        <v>25213452000</v>
      </c>
      <c r="J88">
        <v>24847836000</v>
      </c>
      <c r="K88">
        <v>18741280000</v>
      </c>
      <c r="L88">
        <v>22124649000</v>
      </c>
      <c r="M88">
        <v>29165862000</v>
      </c>
      <c r="N88">
        <v>31657506000</v>
      </c>
      <c r="O88">
        <v>27749310000</v>
      </c>
      <c r="P88">
        <v>585</v>
      </c>
      <c r="Q88" t="s">
        <v>236</v>
      </c>
    </row>
    <row r="89" spans="1:17" x14ac:dyDescent="0.3">
      <c r="A89" t="s">
        <v>75</v>
      </c>
      <c r="B89" t="str">
        <f>"000825"</f>
        <v>000825</v>
      </c>
      <c r="C89" t="s">
        <v>237</v>
      </c>
      <c r="D89" t="s">
        <v>238</v>
      </c>
      <c r="E89">
        <v>26418731904</v>
      </c>
      <c r="F89">
        <v>22653838937</v>
      </c>
      <c r="G89">
        <v>15649195660</v>
      </c>
      <c r="H89">
        <v>17569597905</v>
      </c>
      <c r="I89">
        <v>18016438768</v>
      </c>
      <c r="J89">
        <v>19041274774</v>
      </c>
      <c r="K89">
        <v>12969490977</v>
      </c>
      <c r="L89">
        <v>20038819972</v>
      </c>
      <c r="M89">
        <v>21507686296</v>
      </c>
      <c r="N89">
        <v>26467231844</v>
      </c>
      <c r="O89">
        <v>24158909554</v>
      </c>
      <c r="P89">
        <v>581</v>
      </c>
      <c r="Q89" t="s">
        <v>239</v>
      </c>
    </row>
    <row r="90" spans="1:17" x14ac:dyDescent="0.3">
      <c r="A90" t="s">
        <v>75</v>
      </c>
      <c r="B90" t="str">
        <f>"002416"</f>
        <v>002416</v>
      </c>
      <c r="C90" t="s">
        <v>240</v>
      </c>
      <c r="D90" t="s">
        <v>241</v>
      </c>
      <c r="E90">
        <v>26335144142</v>
      </c>
      <c r="F90">
        <v>22884478926</v>
      </c>
      <c r="G90">
        <v>12954974007</v>
      </c>
      <c r="H90">
        <v>13280668080</v>
      </c>
      <c r="I90">
        <v>16671491317</v>
      </c>
      <c r="J90">
        <v>13620731718</v>
      </c>
      <c r="K90">
        <v>14462330668</v>
      </c>
      <c r="L90">
        <v>15613490486</v>
      </c>
      <c r="M90">
        <v>13955950779</v>
      </c>
      <c r="N90">
        <v>11612881041</v>
      </c>
      <c r="O90">
        <v>4974438206</v>
      </c>
      <c r="P90">
        <v>251</v>
      </c>
      <c r="Q90" t="s">
        <v>242</v>
      </c>
    </row>
    <row r="91" spans="1:17" x14ac:dyDescent="0.3">
      <c r="A91" t="s">
        <v>75</v>
      </c>
      <c r="B91" t="str">
        <f>"002761"</f>
        <v>002761</v>
      </c>
      <c r="C91" t="s">
        <v>243</v>
      </c>
      <c r="D91" t="s">
        <v>24</v>
      </c>
      <c r="E91">
        <v>24548090113</v>
      </c>
      <c r="F91">
        <v>24912825843</v>
      </c>
      <c r="G91">
        <v>21142606253</v>
      </c>
      <c r="H91">
        <v>222893903</v>
      </c>
      <c r="I91">
        <v>178556331</v>
      </c>
      <c r="J91">
        <v>166672795</v>
      </c>
      <c r="K91">
        <v>164367782</v>
      </c>
      <c r="L91">
        <v>0</v>
      </c>
      <c r="M91">
        <v>0</v>
      </c>
      <c r="P91">
        <v>195</v>
      </c>
      <c r="Q91" t="s">
        <v>244</v>
      </c>
    </row>
    <row r="92" spans="1:17" x14ac:dyDescent="0.3">
      <c r="A92" t="s">
        <v>17</v>
      </c>
      <c r="B92" t="str">
        <f>"600029"</f>
        <v>600029</v>
      </c>
      <c r="C92" t="s">
        <v>245</v>
      </c>
      <c r="D92" t="s">
        <v>246</v>
      </c>
      <c r="E92">
        <v>23211000000</v>
      </c>
      <c r="F92">
        <v>21870000000</v>
      </c>
      <c r="G92">
        <v>15829000000</v>
      </c>
      <c r="H92">
        <v>38189000000</v>
      </c>
      <c r="I92">
        <v>36343000000</v>
      </c>
      <c r="J92">
        <v>31303000000</v>
      </c>
      <c r="K92">
        <v>28052000000</v>
      </c>
      <c r="L92">
        <v>28160000000</v>
      </c>
      <c r="M92">
        <v>25693000000</v>
      </c>
      <c r="N92">
        <v>23948000000</v>
      </c>
      <c r="O92">
        <v>22345000000</v>
      </c>
      <c r="P92">
        <v>1137</v>
      </c>
      <c r="Q92" t="s">
        <v>247</v>
      </c>
    </row>
    <row r="93" spans="1:17" x14ac:dyDescent="0.3">
      <c r="A93" t="s">
        <v>17</v>
      </c>
      <c r="B93" t="str">
        <f>"601212"</f>
        <v>601212</v>
      </c>
      <c r="C93" t="s">
        <v>248</v>
      </c>
      <c r="D93" t="s">
        <v>249</v>
      </c>
      <c r="E93">
        <v>22904986796</v>
      </c>
      <c r="F93">
        <v>15524357654</v>
      </c>
      <c r="G93">
        <v>9267043191</v>
      </c>
      <c r="H93">
        <v>12956864248</v>
      </c>
      <c r="I93">
        <v>12895057789</v>
      </c>
      <c r="J93">
        <v>8838233936</v>
      </c>
      <c r="K93">
        <v>7916818280</v>
      </c>
      <c r="P93">
        <v>185</v>
      </c>
      <c r="Q93" t="s">
        <v>250</v>
      </c>
    </row>
    <row r="94" spans="1:17" x14ac:dyDescent="0.3">
      <c r="A94" t="s">
        <v>17</v>
      </c>
      <c r="B94" t="str">
        <f>"600438"</f>
        <v>600438</v>
      </c>
      <c r="C94" t="s">
        <v>251</v>
      </c>
      <c r="D94" t="s">
        <v>252</v>
      </c>
      <c r="E94">
        <v>22704093111</v>
      </c>
      <c r="F94">
        <v>9591700463</v>
      </c>
      <c r="G94">
        <v>7632747177</v>
      </c>
      <c r="H94">
        <v>5143338191</v>
      </c>
      <c r="I94">
        <v>5757769778</v>
      </c>
      <c r="J94">
        <v>4033471748</v>
      </c>
      <c r="K94">
        <v>2763792724</v>
      </c>
      <c r="L94">
        <v>2588673632</v>
      </c>
      <c r="M94">
        <v>2571121625</v>
      </c>
      <c r="N94">
        <v>2719010627</v>
      </c>
      <c r="O94">
        <v>2404093229</v>
      </c>
      <c r="P94">
        <v>2549</v>
      </c>
      <c r="Q94" t="s">
        <v>253</v>
      </c>
    </row>
    <row r="95" spans="1:17" x14ac:dyDescent="0.3">
      <c r="A95" t="s">
        <v>17</v>
      </c>
      <c r="B95" t="str">
        <f>"601727"</f>
        <v>601727</v>
      </c>
      <c r="C95" t="s">
        <v>254</v>
      </c>
      <c r="D95" t="s">
        <v>255</v>
      </c>
      <c r="E95">
        <v>21827165000</v>
      </c>
      <c r="F95">
        <v>29211803000</v>
      </c>
      <c r="G95">
        <v>19641272000</v>
      </c>
      <c r="H95">
        <v>21970419000</v>
      </c>
      <c r="I95">
        <v>17919534000</v>
      </c>
      <c r="J95">
        <v>14622110000</v>
      </c>
      <c r="K95">
        <v>15468845000</v>
      </c>
      <c r="L95">
        <v>16365191000</v>
      </c>
      <c r="M95">
        <v>17753054000</v>
      </c>
      <c r="N95">
        <v>15440385000</v>
      </c>
      <c r="O95">
        <v>11668381000</v>
      </c>
      <c r="P95">
        <v>551</v>
      </c>
      <c r="Q95" t="s">
        <v>256</v>
      </c>
    </row>
    <row r="96" spans="1:17" x14ac:dyDescent="0.3">
      <c r="A96" t="s">
        <v>75</v>
      </c>
      <c r="B96" t="str">
        <f>"002241"</f>
        <v>002241</v>
      </c>
      <c r="C96" t="s">
        <v>257</v>
      </c>
      <c r="D96" t="s">
        <v>55</v>
      </c>
      <c r="E96">
        <v>21740017999</v>
      </c>
      <c r="F96">
        <v>16247292239</v>
      </c>
      <c r="G96">
        <v>10010344302</v>
      </c>
      <c r="H96">
        <v>7683183133</v>
      </c>
      <c r="I96">
        <v>7052014899</v>
      </c>
      <c r="J96">
        <v>5179469744</v>
      </c>
      <c r="K96">
        <v>3422613435</v>
      </c>
      <c r="L96">
        <v>3925592645</v>
      </c>
      <c r="M96">
        <v>3279104715</v>
      </c>
      <c r="N96">
        <v>2122194610</v>
      </c>
      <c r="O96">
        <v>1070759856</v>
      </c>
      <c r="P96">
        <v>3528</v>
      </c>
      <c r="Q96" t="s">
        <v>258</v>
      </c>
    </row>
    <row r="97" spans="1:17" x14ac:dyDescent="0.3">
      <c r="A97" t="s">
        <v>17</v>
      </c>
      <c r="B97" t="str">
        <f>"601609"</f>
        <v>601609</v>
      </c>
      <c r="C97" t="s">
        <v>259</v>
      </c>
      <c r="D97" t="s">
        <v>45</v>
      </c>
      <c r="E97">
        <v>21678433681</v>
      </c>
      <c r="F97">
        <v>14803044363</v>
      </c>
      <c r="G97">
        <v>7602047592</v>
      </c>
      <c r="P97">
        <v>106</v>
      </c>
      <c r="Q97" t="s">
        <v>260</v>
      </c>
    </row>
    <row r="98" spans="1:17" x14ac:dyDescent="0.3">
      <c r="A98" t="s">
        <v>17</v>
      </c>
      <c r="B98" t="str">
        <f>"600031"</f>
        <v>600031</v>
      </c>
      <c r="C98" t="s">
        <v>261</v>
      </c>
      <c r="D98" t="s">
        <v>262</v>
      </c>
      <c r="E98">
        <v>21337255000</v>
      </c>
      <c r="F98">
        <v>27284605000</v>
      </c>
      <c r="G98">
        <v>14497851000</v>
      </c>
      <c r="H98">
        <v>18233794000</v>
      </c>
      <c r="I98">
        <v>12497118000</v>
      </c>
      <c r="J98">
        <v>9873855000</v>
      </c>
      <c r="K98">
        <v>4923090000</v>
      </c>
      <c r="L98">
        <v>5338792000</v>
      </c>
      <c r="M98">
        <v>8010599000</v>
      </c>
      <c r="N98">
        <v>5792698000</v>
      </c>
      <c r="O98">
        <v>9093714384</v>
      </c>
      <c r="P98">
        <v>6538</v>
      </c>
      <c r="Q98" t="s">
        <v>263</v>
      </c>
    </row>
    <row r="99" spans="1:17" x14ac:dyDescent="0.3">
      <c r="A99" t="s">
        <v>17</v>
      </c>
      <c r="B99" t="str">
        <f>"600023"</f>
        <v>600023</v>
      </c>
      <c r="C99" t="s">
        <v>264</v>
      </c>
      <c r="D99" t="s">
        <v>88</v>
      </c>
      <c r="E99">
        <v>21092956489</v>
      </c>
      <c r="F99">
        <v>15668456526</v>
      </c>
      <c r="G99">
        <v>11079669516</v>
      </c>
      <c r="H99">
        <v>14821845544</v>
      </c>
      <c r="I99">
        <v>15210675368</v>
      </c>
      <c r="J99">
        <v>13196346639</v>
      </c>
      <c r="K99">
        <v>10485176888</v>
      </c>
      <c r="L99">
        <v>12886942382</v>
      </c>
      <c r="M99">
        <v>10788217616</v>
      </c>
      <c r="N99">
        <v>12350976497</v>
      </c>
      <c r="P99">
        <v>918</v>
      </c>
      <c r="Q99" t="s">
        <v>265</v>
      </c>
    </row>
    <row r="100" spans="1:17" x14ac:dyDescent="0.3">
      <c r="A100" t="s">
        <v>75</v>
      </c>
      <c r="B100" t="str">
        <f>"002203"</f>
        <v>002203</v>
      </c>
      <c r="C100" t="s">
        <v>266</v>
      </c>
      <c r="D100" t="s">
        <v>45</v>
      </c>
      <c r="E100">
        <v>20923531754</v>
      </c>
      <c r="F100">
        <v>16570612352</v>
      </c>
      <c r="G100">
        <v>10419437709</v>
      </c>
      <c r="H100">
        <v>8833017485</v>
      </c>
      <c r="I100">
        <v>10032634840</v>
      </c>
      <c r="J100">
        <v>4117663514</v>
      </c>
      <c r="K100">
        <v>2925381481</v>
      </c>
      <c r="L100">
        <v>2233566816</v>
      </c>
      <c r="M100">
        <v>3302607347</v>
      </c>
      <c r="N100">
        <v>3235259275</v>
      </c>
      <c r="O100">
        <v>3034722276</v>
      </c>
      <c r="P100">
        <v>239</v>
      </c>
      <c r="Q100" t="s">
        <v>267</v>
      </c>
    </row>
    <row r="101" spans="1:17" x14ac:dyDescent="0.3">
      <c r="A101" t="s">
        <v>75</v>
      </c>
      <c r="B101" t="str">
        <f>"002311"</f>
        <v>002311</v>
      </c>
      <c r="C101" t="s">
        <v>268</v>
      </c>
      <c r="D101" t="s">
        <v>269</v>
      </c>
      <c r="E101">
        <v>20817088658</v>
      </c>
      <c r="F101">
        <v>16593102185</v>
      </c>
      <c r="G101">
        <v>10909959012</v>
      </c>
      <c r="H101">
        <v>9507640898</v>
      </c>
      <c r="I101">
        <v>8295990521</v>
      </c>
      <c r="J101">
        <v>6400805066</v>
      </c>
      <c r="K101">
        <v>4896354927</v>
      </c>
      <c r="L101">
        <v>4505604840</v>
      </c>
      <c r="M101">
        <v>4196900668</v>
      </c>
      <c r="N101">
        <v>3398870523</v>
      </c>
      <c r="O101">
        <v>2886345971</v>
      </c>
      <c r="P101">
        <v>1933</v>
      </c>
      <c r="Q101" t="s">
        <v>270</v>
      </c>
    </row>
    <row r="102" spans="1:17" x14ac:dyDescent="0.3">
      <c r="A102" t="s">
        <v>75</v>
      </c>
      <c r="B102" t="str">
        <f>"200028"</f>
        <v>200028</v>
      </c>
      <c r="C102" t="s">
        <v>271</v>
      </c>
      <c r="E102">
        <v>20678637808.254002</v>
      </c>
      <c r="F102">
        <v>17998151172.618999</v>
      </c>
      <c r="G102">
        <v>14428457755.163099</v>
      </c>
      <c r="H102">
        <v>13135131009.9891</v>
      </c>
      <c r="I102">
        <v>11954361550.187</v>
      </c>
      <c r="J102">
        <v>11652370552.5924</v>
      </c>
      <c r="K102">
        <v>7674250673.5236998</v>
      </c>
      <c r="L102">
        <v>7782294290</v>
      </c>
      <c r="M102">
        <v>7146901142.0480003</v>
      </c>
      <c r="N102">
        <v>5918518795.4544001</v>
      </c>
      <c r="O102">
        <v>4660122152.3310003</v>
      </c>
      <c r="P102">
        <v>209</v>
      </c>
      <c r="Q102" t="s">
        <v>272</v>
      </c>
    </row>
    <row r="103" spans="1:17" x14ac:dyDescent="0.3">
      <c r="A103" t="s">
        <v>75</v>
      </c>
      <c r="B103" t="str">
        <f>"000829"</f>
        <v>000829</v>
      </c>
      <c r="C103" t="s">
        <v>273</v>
      </c>
      <c r="D103" t="s">
        <v>241</v>
      </c>
      <c r="E103">
        <v>20514309511</v>
      </c>
      <c r="F103">
        <v>20712535701</v>
      </c>
      <c r="G103">
        <v>14484143863</v>
      </c>
      <c r="H103">
        <v>11275018313</v>
      </c>
      <c r="I103">
        <v>11755106347</v>
      </c>
      <c r="J103">
        <v>10251331897</v>
      </c>
      <c r="K103">
        <v>11807875343</v>
      </c>
      <c r="L103">
        <v>15538681932</v>
      </c>
      <c r="M103">
        <v>10265168196</v>
      </c>
      <c r="N103">
        <v>7511344790</v>
      </c>
      <c r="O103">
        <v>9793269204</v>
      </c>
      <c r="P103">
        <v>187</v>
      </c>
      <c r="Q103" t="s">
        <v>274</v>
      </c>
    </row>
    <row r="104" spans="1:17" x14ac:dyDescent="0.3">
      <c r="A104" t="s">
        <v>17</v>
      </c>
      <c r="B104" t="str">
        <f>"601992"</f>
        <v>601992</v>
      </c>
      <c r="C104" t="s">
        <v>275</v>
      </c>
      <c r="D104" t="s">
        <v>191</v>
      </c>
      <c r="E104">
        <v>20419100473</v>
      </c>
      <c r="F104">
        <v>26467605371</v>
      </c>
      <c r="G104">
        <v>12598310629</v>
      </c>
      <c r="H104">
        <v>13816656231</v>
      </c>
      <c r="I104">
        <v>11734285571</v>
      </c>
      <c r="J104">
        <v>10700410703</v>
      </c>
      <c r="K104">
        <v>7092369211</v>
      </c>
      <c r="L104">
        <v>6468845461</v>
      </c>
      <c r="M104">
        <v>6830924177</v>
      </c>
      <c r="N104">
        <v>7973713800</v>
      </c>
      <c r="O104">
        <v>5222105260</v>
      </c>
      <c r="P104">
        <v>368</v>
      </c>
      <c r="Q104" t="s">
        <v>276</v>
      </c>
    </row>
    <row r="105" spans="1:17" x14ac:dyDescent="0.3">
      <c r="A105" t="s">
        <v>75</v>
      </c>
      <c r="B105" t="str">
        <f>"000425"</f>
        <v>000425</v>
      </c>
      <c r="C105" t="s">
        <v>277</v>
      </c>
      <c r="D105" t="s">
        <v>262</v>
      </c>
      <c r="E105">
        <v>19836845343</v>
      </c>
      <c r="F105">
        <v>22906094002</v>
      </c>
      <c r="G105">
        <v>10938273637</v>
      </c>
      <c r="H105">
        <v>11409528900</v>
      </c>
      <c r="I105">
        <v>10174406596</v>
      </c>
      <c r="J105">
        <v>6875316366</v>
      </c>
      <c r="K105">
        <v>3609415425</v>
      </c>
      <c r="L105">
        <v>3448234684</v>
      </c>
      <c r="M105">
        <v>6932120210</v>
      </c>
      <c r="N105">
        <v>4484373689</v>
      </c>
      <c r="O105">
        <v>6215794315</v>
      </c>
      <c r="P105">
        <v>961</v>
      </c>
      <c r="Q105" t="s">
        <v>278</v>
      </c>
    </row>
    <row r="106" spans="1:17" x14ac:dyDescent="0.3">
      <c r="A106" t="s">
        <v>17</v>
      </c>
      <c r="B106" t="str">
        <f>"600022"</f>
        <v>600022</v>
      </c>
      <c r="C106" t="s">
        <v>279</v>
      </c>
      <c r="D106" t="s">
        <v>68</v>
      </c>
      <c r="E106">
        <v>19807964112</v>
      </c>
      <c r="F106">
        <v>20074942610</v>
      </c>
      <c r="G106">
        <v>12915363919</v>
      </c>
      <c r="H106">
        <v>7830830797</v>
      </c>
      <c r="I106">
        <v>6109248864</v>
      </c>
      <c r="J106">
        <v>7337403206</v>
      </c>
      <c r="K106">
        <v>6602907029</v>
      </c>
      <c r="L106">
        <v>6759498127</v>
      </c>
      <c r="M106">
        <v>7722815844</v>
      </c>
      <c r="N106">
        <v>10502653513</v>
      </c>
      <c r="O106">
        <v>14961665278</v>
      </c>
      <c r="P106">
        <v>233</v>
      </c>
      <c r="Q106" t="s">
        <v>280</v>
      </c>
    </row>
    <row r="107" spans="1:17" x14ac:dyDescent="0.3">
      <c r="A107" t="s">
        <v>17</v>
      </c>
      <c r="B107" t="str">
        <f>"600782"</f>
        <v>600782</v>
      </c>
      <c r="C107" t="s">
        <v>281</v>
      </c>
      <c r="D107" t="s">
        <v>68</v>
      </c>
      <c r="E107">
        <v>19580164544</v>
      </c>
      <c r="F107">
        <v>18368689533</v>
      </c>
      <c r="G107">
        <v>11064651657</v>
      </c>
      <c r="H107">
        <v>8004383521</v>
      </c>
      <c r="I107">
        <v>7428559129</v>
      </c>
      <c r="J107">
        <v>5449357911</v>
      </c>
      <c r="K107">
        <v>3562539101</v>
      </c>
      <c r="L107">
        <v>3344314072</v>
      </c>
      <c r="M107">
        <v>3343525685</v>
      </c>
      <c r="N107">
        <v>4335785510</v>
      </c>
      <c r="O107">
        <v>4286718175</v>
      </c>
      <c r="P107">
        <v>1414</v>
      </c>
      <c r="Q107" t="s">
        <v>282</v>
      </c>
    </row>
    <row r="108" spans="1:17" x14ac:dyDescent="0.3">
      <c r="A108" t="s">
        <v>75</v>
      </c>
      <c r="B108" t="str">
        <f>"003816"</f>
        <v>003816</v>
      </c>
      <c r="C108" t="s">
        <v>283</v>
      </c>
      <c r="D108" t="s">
        <v>284</v>
      </c>
      <c r="E108">
        <v>19320460923</v>
      </c>
      <c r="F108">
        <v>21154480704</v>
      </c>
      <c r="G108">
        <v>17625519474</v>
      </c>
      <c r="H108">
        <v>15645379826</v>
      </c>
      <c r="I108">
        <v>13631446177</v>
      </c>
      <c r="J108">
        <v>11476701713</v>
      </c>
      <c r="P108">
        <v>523</v>
      </c>
      <c r="Q108" t="s">
        <v>285</v>
      </c>
    </row>
    <row r="109" spans="1:17" x14ac:dyDescent="0.3">
      <c r="A109" t="s">
        <v>17</v>
      </c>
      <c r="B109" t="str">
        <f>"600839"</f>
        <v>600839</v>
      </c>
      <c r="C109" t="s">
        <v>286</v>
      </c>
      <c r="D109" t="s">
        <v>287</v>
      </c>
      <c r="E109">
        <v>19194931471</v>
      </c>
      <c r="F109">
        <v>23569014701</v>
      </c>
      <c r="G109">
        <v>19767296115</v>
      </c>
      <c r="H109">
        <v>20030672092</v>
      </c>
      <c r="I109">
        <v>18158098618</v>
      </c>
      <c r="J109">
        <v>16778301698</v>
      </c>
      <c r="K109">
        <v>16773793051</v>
      </c>
      <c r="L109">
        <v>14790531937</v>
      </c>
      <c r="M109">
        <v>13815658253</v>
      </c>
      <c r="N109">
        <v>12845290429</v>
      </c>
      <c r="O109">
        <v>12207412623</v>
      </c>
      <c r="P109">
        <v>272</v>
      </c>
      <c r="Q109" t="s">
        <v>288</v>
      </c>
    </row>
    <row r="110" spans="1:17" x14ac:dyDescent="0.3">
      <c r="A110" t="s">
        <v>17</v>
      </c>
      <c r="B110" t="str">
        <f>"600039"</f>
        <v>600039</v>
      </c>
      <c r="C110" t="s">
        <v>289</v>
      </c>
      <c r="D110" t="s">
        <v>27</v>
      </c>
      <c r="E110">
        <v>19177464148</v>
      </c>
      <c r="F110">
        <v>9471176691</v>
      </c>
      <c r="G110">
        <v>5770990236</v>
      </c>
      <c r="H110">
        <v>7686871925</v>
      </c>
      <c r="I110">
        <v>5976412188</v>
      </c>
      <c r="J110">
        <v>5944170206</v>
      </c>
      <c r="K110">
        <v>7803549841</v>
      </c>
      <c r="L110">
        <v>6595935146</v>
      </c>
      <c r="M110">
        <v>6398994608</v>
      </c>
      <c r="N110">
        <v>5898667268</v>
      </c>
      <c r="O110">
        <v>1294446714</v>
      </c>
      <c r="P110">
        <v>484</v>
      </c>
      <c r="Q110" t="s">
        <v>290</v>
      </c>
    </row>
    <row r="111" spans="1:17" x14ac:dyDescent="0.3">
      <c r="A111" t="s">
        <v>17</v>
      </c>
      <c r="B111" t="str">
        <f>"600500"</f>
        <v>600500</v>
      </c>
      <c r="C111" t="s">
        <v>291</v>
      </c>
      <c r="D111" t="s">
        <v>292</v>
      </c>
      <c r="E111">
        <v>19134147346</v>
      </c>
      <c r="F111">
        <v>15173215940</v>
      </c>
      <c r="G111">
        <v>12043830822</v>
      </c>
      <c r="H111">
        <v>12568105662</v>
      </c>
      <c r="I111">
        <v>16726349536</v>
      </c>
      <c r="J111">
        <v>11737004361</v>
      </c>
      <c r="K111">
        <v>8742935103</v>
      </c>
      <c r="L111">
        <v>7473164959</v>
      </c>
      <c r="M111">
        <v>9771085531</v>
      </c>
      <c r="N111">
        <v>12088346011</v>
      </c>
      <c r="O111">
        <v>12306943116</v>
      </c>
      <c r="P111">
        <v>285</v>
      </c>
      <c r="Q111" t="s">
        <v>293</v>
      </c>
    </row>
    <row r="112" spans="1:17" x14ac:dyDescent="0.3">
      <c r="A112" t="s">
        <v>75</v>
      </c>
      <c r="B112" t="str">
        <f>"002714"</f>
        <v>002714</v>
      </c>
      <c r="C112" t="s">
        <v>294</v>
      </c>
      <c r="D112" t="s">
        <v>218</v>
      </c>
      <c r="E112">
        <v>19034733642</v>
      </c>
      <c r="F112">
        <v>20397672127</v>
      </c>
      <c r="G112">
        <v>8158503866</v>
      </c>
      <c r="H112">
        <v>3005596640</v>
      </c>
      <c r="I112">
        <v>2385701803</v>
      </c>
      <c r="J112">
        <v>1967002230</v>
      </c>
      <c r="K112">
        <v>907253304</v>
      </c>
      <c r="L112">
        <v>482696575</v>
      </c>
      <c r="M112">
        <v>450787708</v>
      </c>
      <c r="N112">
        <v>294925367</v>
      </c>
      <c r="P112">
        <v>4953</v>
      </c>
      <c r="Q112" t="s">
        <v>295</v>
      </c>
    </row>
    <row r="113" spans="1:17" x14ac:dyDescent="0.3">
      <c r="A113" t="s">
        <v>75</v>
      </c>
      <c r="B113" t="str">
        <f>"000938"</f>
        <v>000938</v>
      </c>
      <c r="C113" t="s">
        <v>296</v>
      </c>
      <c r="D113" t="s">
        <v>224</v>
      </c>
      <c r="E113">
        <v>19031887433</v>
      </c>
      <c r="F113">
        <v>16885284361</v>
      </c>
      <c r="G113">
        <v>12376398582</v>
      </c>
      <c r="H113">
        <v>13873165805</v>
      </c>
      <c r="I113">
        <v>11998722901</v>
      </c>
      <c r="J113">
        <v>9988304592</v>
      </c>
      <c r="K113">
        <v>3937130289</v>
      </c>
      <c r="L113">
        <v>3408538555</v>
      </c>
      <c r="M113">
        <v>2316833438</v>
      </c>
      <c r="N113">
        <v>1859668069</v>
      </c>
      <c r="O113">
        <v>1417083623</v>
      </c>
      <c r="P113">
        <v>3894</v>
      </c>
      <c r="Q113" t="s">
        <v>297</v>
      </c>
    </row>
    <row r="114" spans="1:17" x14ac:dyDescent="0.3">
      <c r="A114" t="s">
        <v>75</v>
      </c>
      <c r="B114" t="str">
        <f>"002024"</f>
        <v>002024</v>
      </c>
      <c r="C114" t="s">
        <v>298</v>
      </c>
      <c r="D114" t="s">
        <v>299</v>
      </c>
      <c r="E114">
        <v>18919829000</v>
      </c>
      <c r="F114">
        <v>72590441000</v>
      </c>
      <c r="G114">
        <v>72236140000</v>
      </c>
      <c r="H114">
        <v>72081201000</v>
      </c>
      <c r="I114">
        <v>56833804000</v>
      </c>
      <c r="J114">
        <v>43461253000</v>
      </c>
      <c r="K114">
        <v>36730162000</v>
      </c>
      <c r="L114">
        <v>34946102000</v>
      </c>
      <c r="M114">
        <v>26117807000</v>
      </c>
      <c r="N114">
        <v>29907397000</v>
      </c>
      <c r="O114">
        <v>26271227000</v>
      </c>
      <c r="P114">
        <v>1902</v>
      </c>
      <c r="Q114" t="s">
        <v>300</v>
      </c>
    </row>
    <row r="115" spans="1:17" x14ac:dyDescent="0.3">
      <c r="A115" t="s">
        <v>17</v>
      </c>
      <c r="B115" t="str">
        <f>"601611"</f>
        <v>601611</v>
      </c>
      <c r="C115" t="s">
        <v>301</v>
      </c>
      <c r="D115" t="s">
        <v>27</v>
      </c>
      <c r="E115">
        <v>18794760913</v>
      </c>
      <c r="F115">
        <v>19730772860</v>
      </c>
      <c r="G115">
        <v>14290131147</v>
      </c>
      <c r="H115">
        <v>12147634669</v>
      </c>
      <c r="I115">
        <v>11103274600</v>
      </c>
      <c r="J115">
        <v>8110740405</v>
      </c>
      <c r="K115">
        <v>7418938442</v>
      </c>
      <c r="L115">
        <v>0</v>
      </c>
      <c r="P115">
        <v>345</v>
      </c>
      <c r="Q115" t="s">
        <v>302</v>
      </c>
    </row>
    <row r="116" spans="1:17" x14ac:dyDescent="0.3">
      <c r="A116" t="s">
        <v>17</v>
      </c>
      <c r="B116" t="str">
        <f>"600282"</f>
        <v>600282</v>
      </c>
      <c r="C116" t="s">
        <v>303</v>
      </c>
      <c r="D116" t="s">
        <v>68</v>
      </c>
      <c r="E116">
        <v>18706456708</v>
      </c>
      <c r="F116">
        <v>16611758207</v>
      </c>
      <c r="G116">
        <v>9460740202</v>
      </c>
      <c r="H116">
        <v>10562781423</v>
      </c>
      <c r="I116">
        <v>8052398224</v>
      </c>
      <c r="J116">
        <v>5939489089</v>
      </c>
      <c r="K116">
        <v>5916850277</v>
      </c>
      <c r="L116">
        <v>5786244826</v>
      </c>
      <c r="M116">
        <v>4402917352</v>
      </c>
      <c r="N116">
        <v>5111530309</v>
      </c>
      <c r="O116">
        <v>10443649325</v>
      </c>
      <c r="P116">
        <v>1311</v>
      </c>
      <c r="Q116" t="s">
        <v>304</v>
      </c>
    </row>
    <row r="117" spans="1:17" x14ac:dyDescent="0.3">
      <c r="A117" t="s">
        <v>17</v>
      </c>
      <c r="B117" t="str">
        <f>"600985"</f>
        <v>600985</v>
      </c>
      <c r="C117" t="s">
        <v>305</v>
      </c>
      <c r="D117" t="s">
        <v>306</v>
      </c>
      <c r="E117">
        <v>18614191796</v>
      </c>
      <c r="F117">
        <v>12778660279</v>
      </c>
      <c r="G117">
        <v>9394532200</v>
      </c>
      <c r="H117">
        <v>8649117635</v>
      </c>
      <c r="I117">
        <v>177566491</v>
      </c>
      <c r="J117">
        <v>191927308</v>
      </c>
      <c r="K117">
        <v>182877752</v>
      </c>
      <c r="L117">
        <v>194106867</v>
      </c>
      <c r="M117">
        <v>203649514</v>
      </c>
      <c r="N117">
        <v>139774122</v>
      </c>
      <c r="O117">
        <v>117601456</v>
      </c>
      <c r="P117">
        <v>1007</v>
      </c>
      <c r="Q117" t="s">
        <v>307</v>
      </c>
    </row>
    <row r="118" spans="1:17" x14ac:dyDescent="0.3">
      <c r="A118" t="s">
        <v>17</v>
      </c>
      <c r="B118" t="str">
        <f>"600808"</f>
        <v>600808</v>
      </c>
      <c r="C118" t="s">
        <v>308</v>
      </c>
      <c r="D118" t="s">
        <v>68</v>
      </c>
      <c r="E118">
        <v>18570189610</v>
      </c>
      <c r="F118">
        <v>25411653123</v>
      </c>
      <c r="G118">
        <v>17562293684</v>
      </c>
      <c r="H118">
        <v>16229703260</v>
      </c>
      <c r="I118">
        <v>17764251349</v>
      </c>
      <c r="J118">
        <v>15983995933</v>
      </c>
      <c r="K118">
        <v>10456038139</v>
      </c>
      <c r="L118">
        <v>13686728520</v>
      </c>
      <c r="M118">
        <v>15572871888</v>
      </c>
      <c r="N118">
        <v>20325815152</v>
      </c>
      <c r="O118">
        <v>23693353730</v>
      </c>
      <c r="P118">
        <v>636</v>
      </c>
      <c r="Q118" t="s">
        <v>309</v>
      </c>
    </row>
    <row r="119" spans="1:17" x14ac:dyDescent="0.3">
      <c r="A119" t="s">
        <v>75</v>
      </c>
      <c r="B119" t="str">
        <f>"002092"</f>
        <v>002092</v>
      </c>
      <c r="C119" t="s">
        <v>310</v>
      </c>
      <c r="D119" t="s">
        <v>311</v>
      </c>
      <c r="E119">
        <v>18554317359</v>
      </c>
      <c r="F119">
        <v>28035634613</v>
      </c>
      <c r="G119">
        <v>20049992531</v>
      </c>
      <c r="H119">
        <v>20667249463</v>
      </c>
      <c r="I119">
        <v>13420864409</v>
      </c>
      <c r="J119">
        <v>8794145685</v>
      </c>
      <c r="K119">
        <v>4587880936</v>
      </c>
      <c r="L119">
        <v>2864053552</v>
      </c>
      <c r="M119">
        <v>2698246525</v>
      </c>
      <c r="N119">
        <v>2656788354</v>
      </c>
      <c r="O119">
        <v>1493110532</v>
      </c>
      <c r="P119">
        <v>521</v>
      </c>
      <c r="Q119" t="s">
        <v>312</v>
      </c>
    </row>
    <row r="120" spans="1:17" x14ac:dyDescent="0.3">
      <c r="A120" t="s">
        <v>17</v>
      </c>
      <c r="B120" t="str">
        <f>"600612"</f>
        <v>600612</v>
      </c>
      <c r="C120" t="s">
        <v>313</v>
      </c>
      <c r="D120" t="s">
        <v>314</v>
      </c>
      <c r="E120">
        <v>18508681691</v>
      </c>
      <c r="F120">
        <v>18176766688</v>
      </c>
      <c r="G120">
        <v>14799319578</v>
      </c>
      <c r="H120">
        <v>16506972192</v>
      </c>
      <c r="I120">
        <v>16139105994</v>
      </c>
      <c r="J120">
        <v>14088459793</v>
      </c>
      <c r="K120">
        <v>12129906540</v>
      </c>
      <c r="L120">
        <v>12565594377</v>
      </c>
      <c r="M120">
        <v>11516457863</v>
      </c>
      <c r="N120">
        <v>10751172962</v>
      </c>
      <c r="O120">
        <v>8486363096</v>
      </c>
      <c r="P120">
        <v>45897</v>
      </c>
      <c r="Q120" t="s">
        <v>315</v>
      </c>
    </row>
    <row r="121" spans="1:17" x14ac:dyDescent="0.3">
      <c r="A121" t="s">
        <v>17</v>
      </c>
      <c r="B121" t="str">
        <f>"600502"</f>
        <v>600502</v>
      </c>
      <c r="C121" t="s">
        <v>316</v>
      </c>
      <c r="D121" t="s">
        <v>24</v>
      </c>
      <c r="E121">
        <v>18423247424</v>
      </c>
      <c r="F121">
        <v>17755351469</v>
      </c>
      <c r="G121">
        <v>10828228753</v>
      </c>
      <c r="H121">
        <v>12420234253</v>
      </c>
      <c r="I121">
        <v>13629571949</v>
      </c>
      <c r="J121">
        <v>3462973066</v>
      </c>
      <c r="K121">
        <v>3236332862</v>
      </c>
      <c r="L121">
        <v>2390113805</v>
      </c>
      <c r="M121">
        <v>2203566808</v>
      </c>
      <c r="N121">
        <v>1335326536</v>
      </c>
      <c r="O121">
        <v>1134975102</v>
      </c>
      <c r="P121">
        <v>410</v>
      </c>
      <c r="Q121" t="s">
        <v>317</v>
      </c>
    </row>
    <row r="122" spans="1:17" x14ac:dyDescent="0.3">
      <c r="A122" t="s">
        <v>75</v>
      </c>
      <c r="B122" t="str">
        <f>"000626"</f>
        <v>000626</v>
      </c>
      <c r="C122" t="s">
        <v>318</v>
      </c>
      <c r="D122" t="s">
        <v>35</v>
      </c>
      <c r="E122">
        <v>18405863522</v>
      </c>
      <c r="F122">
        <v>19787382812</v>
      </c>
      <c r="G122">
        <v>11348808980</v>
      </c>
      <c r="H122">
        <v>17670640370</v>
      </c>
      <c r="I122">
        <v>17085360352</v>
      </c>
      <c r="J122">
        <v>25071285656</v>
      </c>
      <c r="K122">
        <v>13806557141</v>
      </c>
      <c r="L122">
        <v>11331612792</v>
      </c>
      <c r="M122">
        <v>10499735159</v>
      </c>
      <c r="N122">
        <v>10183949237</v>
      </c>
      <c r="O122">
        <v>7813502724</v>
      </c>
      <c r="P122">
        <v>125</v>
      </c>
      <c r="Q122" t="s">
        <v>319</v>
      </c>
    </row>
    <row r="123" spans="1:17" x14ac:dyDescent="0.3">
      <c r="A123" t="s">
        <v>17</v>
      </c>
      <c r="B123" t="str">
        <f>"600332"</f>
        <v>600332</v>
      </c>
      <c r="C123" t="s">
        <v>320</v>
      </c>
      <c r="D123" t="s">
        <v>321</v>
      </c>
      <c r="E123">
        <v>18073311096</v>
      </c>
      <c r="F123">
        <v>18160923685</v>
      </c>
      <c r="G123">
        <v>12570376948</v>
      </c>
      <c r="H123">
        <v>13996955341</v>
      </c>
      <c r="I123">
        <v>5538057888</v>
      </c>
      <c r="J123">
        <v>3969964906</v>
      </c>
      <c r="K123">
        <v>3791194322</v>
      </c>
      <c r="L123">
        <v>4093522494</v>
      </c>
      <c r="M123">
        <v>3751898937</v>
      </c>
      <c r="N123">
        <v>2930847966</v>
      </c>
      <c r="O123">
        <v>1867085236</v>
      </c>
      <c r="P123">
        <v>2231</v>
      </c>
      <c r="Q123" t="s">
        <v>322</v>
      </c>
    </row>
    <row r="124" spans="1:17" x14ac:dyDescent="0.3">
      <c r="A124" t="s">
        <v>17</v>
      </c>
      <c r="B124" t="str">
        <f>"601686"</f>
        <v>601686</v>
      </c>
      <c r="C124" t="s">
        <v>323</v>
      </c>
      <c r="D124" t="s">
        <v>324</v>
      </c>
      <c r="E124">
        <v>18056947781</v>
      </c>
      <c r="F124">
        <v>13385763963</v>
      </c>
      <c r="G124">
        <v>8394240707</v>
      </c>
      <c r="P124">
        <v>57</v>
      </c>
      <c r="Q124" t="s">
        <v>325</v>
      </c>
    </row>
    <row r="125" spans="1:17" x14ac:dyDescent="0.3">
      <c r="A125" t="s">
        <v>17</v>
      </c>
      <c r="B125" t="str">
        <f>"600383"</f>
        <v>600383</v>
      </c>
      <c r="C125" t="s">
        <v>326</v>
      </c>
      <c r="D125" t="s">
        <v>65</v>
      </c>
      <c r="E125">
        <v>17854251623</v>
      </c>
      <c r="F125">
        <v>23365397058</v>
      </c>
      <c r="G125">
        <v>8876854390</v>
      </c>
      <c r="H125">
        <v>13290705083</v>
      </c>
      <c r="I125">
        <v>11381273030</v>
      </c>
      <c r="J125">
        <v>13170477343</v>
      </c>
      <c r="K125">
        <v>10032325598</v>
      </c>
      <c r="L125">
        <v>6838151411</v>
      </c>
      <c r="M125">
        <v>7651184498</v>
      </c>
      <c r="N125">
        <v>8307704645</v>
      </c>
      <c r="O125">
        <v>5050016589</v>
      </c>
      <c r="P125">
        <v>2482</v>
      </c>
      <c r="Q125" t="s">
        <v>327</v>
      </c>
    </row>
    <row r="126" spans="1:17" x14ac:dyDescent="0.3">
      <c r="A126" t="s">
        <v>75</v>
      </c>
      <c r="B126" t="str">
        <f>"000727"</f>
        <v>000727</v>
      </c>
      <c r="C126" t="s">
        <v>328</v>
      </c>
      <c r="D126" t="s">
        <v>128</v>
      </c>
      <c r="E126">
        <v>17839446959</v>
      </c>
      <c r="F126">
        <v>16817127706</v>
      </c>
      <c r="G126">
        <v>1201813114</v>
      </c>
      <c r="H126">
        <v>1322790242</v>
      </c>
      <c r="I126">
        <v>1360958107</v>
      </c>
      <c r="J126">
        <v>1213296286</v>
      </c>
      <c r="K126">
        <v>481211973</v>
      </c>
      <c r="L126">
        <v>201174937</v>
      </c>
      <c r="M126">
        <v>203499167</v>
      </c>
      <c r="N126">
        <v>170174230</v>
      </c>
      <c r="O126">
        <v>157433842</v>
      </c>
      <c r="P126">
        <v>197</v>
      </c>
      <c r="Q126" t="s">
        <v>329</v>
      </c>
    </row>
    <row r="127" spans="1:17" x14ac:dyDescent="0.3">
      <c r="A127" t="s">
        <v>17</v>
      </c>
      <c r="B127" t="str">
        <f>"600787"</f>
        <v>600787</v>
      </c>
      <c r="C127" t="s">
        <v>330</v>
      </c>
      <c r="D127" t="s">
        <v>331</v>
      </c>
      <c r="E127">
        <v>17803795424</v>
      </c>
      <c r="F127">
        <v>15210020321</v>
      </c>
      <c r="G127">
        <v>9384641444</v>
      </c>
      <c r="H127">
        <v>11300993259</v>
      </c>
      <c r="I127">
        <v>7009328616</v>
      </c>
      <c r="J127">
        <v>6209566705</v>
      </c>
      <c r="K127">
        <v>3310282426</v>
      </c>
      <c r="L127">
        <v>3960504117</v>
      </c>
      <c r="M127">
        <v>6549588238</v>
      </c>
      <c r="N127">
        <v>7210311381</v>
      </c>
      <c r="O127">
        <v>6340141742</v>
      </c>
      <c r="P127">
        <v>165</v>
      </c>
      <c r="Q127" t="s">
        <v>332</v>
      </c>
    </row>
    <row r="128" spans="1:17" x14ac:dyDescent="0.3">
      <c r="A128" t="s">
        <v>75</v>
      </c>
      <c r="B128" t="str">
        <f>"002432"</f>
        <v>002432</v>
      </c>
      <c r="C128" t="s">
        <v>333</v>
      </c>
      <c r="D128" t="s">
        <v>334</v>
      </c>
      <c r="E128">
        <v>17677281157</v>
      </c>
      <c r="F128">
        <v>282217834</v>
      </c>
      <c r="G128">
        <v>359786465</v>
      </c>
      <c r="H128">
        <v>185400822</v>
      </c>
      <c r="I128">
        <v>136741293</v>
      </c>
      <c r="J128">
        <v>124823259</v>
      </c>
      <c r="K128">
        <v>99511536</v>
      </c>
      <c r="L128">
        <v>99643656</v>
      </c>
      <c r="M128">
        <v>130399399</v>
      </c>
      <c r="N128">
        <v>106076649</v>
      </c>
      <c r="O128">
        <v>89156666</v>
      </c>
      <c r="P128">
        <v>281</v>
      </c>
      <c r="Q128" t="s">
        <v>335</v>
      </c>
    </row>
    <row r="129" spans="1:17" x14ac:dyDescent="0.3">
      <c r="A129" t="s">
        <v>75</v>
      </c>
      <c r="B129" t="str">
        <f>"002415"</f>
        <v>002415</v>
      </c>
      <c r="C129" t="s">
        <v>336</v>
      </c>
      <c r="D129" t="s">
        <v>337</v>
      </c>
      <c r="E129">
        <v>17661390679</v>
      </c>
      <c r="F129">
        <v>16428465685</v>
      </c>
      <c r="G129">
        <v>12364575384</v>
      </c>
      <c r="H129">
        <v>11410249255</v>
      </c>
      <c r="I129">
        <v>8750853666</v>
      </c>
      <c r="J129">
        <v>6909207261</v>
      </c>
      <c r="K129">
        <v>5485822979</v>
      </c>
      <c r="L129">
        <v>3418163900</v>
      </c>
      <c r="M129">
        <v>2237478983</v>
      </c>
      <c r="N129">
        <v>1682308704</v>
      </c>
      <c r="O129">
        <v>1249239989</v>
      </c>
      <c r="P129">
        <v>63223</v>
      </c>
      <c r="Q129" t="s">
        <v>338</v>
      </c>
    </row>
    <row r="130" spans="1:17" x14ac:dyDescent="0.3">
      <c r="A130" t="s">
        <v>17</v>
      </c>
      <c r="B130" t="str">
        <f>"601985"</f>
        <v>601985</v>
      </c>
      <c r="C130" t="s">
        <v>339</v>
      </c>
      <c r="D130" t="s">
        <v>284</v>
      </c>
      <c r="E130">
        <v>17492165721</v>
      </c>
      <c r="F130">
        <v>14752940230</v>
      </c>
      <c r="G130">
        <v>11384308273</v>
      </c>
      <c r="H130">
        <v>10817372806</v>
      </c>
      <c r="I130">
        <v>8970018844</v>
      </c>
      <c r="J130">
        <v>9173189590</v>
      </c>
      <c r="K130">
        <v>7151216524</v>
      </c>
      <c r="L130">
        <v>0</v>
      </c>
      <c r="M130">
        <v>0</v>
      </c>
      <c r="P130">
        <v>998</v>
      </c>
      <c r="Q130" t="s">
        <v>340</v>
      </c>
    </row>
    <row r="131" spans="1:17" x14ac:dyDescent="0.3">
      <c r="A131" t="s">
        <v>17</v>
      </c>
      <c r="B131" t="str">
        <f>"601888"</f>
        <v>601888</v>
      </c>
      <c r="C131" t="s">
        <v>341</v>
      </c>
      <c r="D131" t="s">
        <v>342</v>
      </c>
      <c r="E131">
        <v>17486027652</v>
      </c>
      <c r="F131">
        <v>18783390285</v>
      </c>
      <c r="G131">
        <v>7990899311</v>
      </c>
      <c r="H131">
        <v>13984322967</v>
      </c>
      <c r="I131">
        <v>10221825083</v>
      </c>
      <c r="J131">
        <v>7181114681</v>
      </c>
      <c r="K131">
        <v>6669739054</v>
      </c>
      <c r="L131">
        <v>6536584555</v>
      </c>
      <c r="M131">
        <v>5694546137</v>
      </c>
      <c r="N131">
        <v>5150222263</v>
      </c>
      <c r="O131">
        <v>4418387722</v>
      </c>
      <c r="P131">
        <v>6129</v>
      </c>
      <c r="Q131" t="s">
        <v>343</v>
      </c>
    </row>
    <row r="132" spans="1:17" x14ac:dyDescent="0.3">
      <c r="A132" t="s">
        <v>17</v>
      </c>
      <c r="B132" t="str">
        <f>"601231"</f>
        <v>601231</v>
      </c>
      <c r="C132" t="s">
        <v>344</v>
      </c>
      <c r="D132" t="s">
        <v>55</v>
      </c>
      <c r="E132">
        <v>17200731237</v>
      </c>
      <c r="F132">
        <v>14111822207</v>
      </c>
      <c r="G132">
        <v>9162981439</v>
      </c>
      <c r="H132">
        <v>10498001410</v>
      </c>
      <c r="I132">
        <v>8378184138</v>
      </c>
      <c r="J132">
        <v>7167986071</v>
      </c>
      <c r="K132">
        <v>5389318998</v>
      </c>
      <c r="L132">
        <v>4717213571</v>
      </c>
      <c r="M132">
        <v>4009497014</v>
      </c>
      <c r="N132">
        <v>4539799509</v>
      </c>
      <c r="O132">
        <v>3201488828</v>
      </c>
      <c r="P132">
        <v>735</v>
      </c>
      <c r="Q132" t="s">
        <v>345</v>
      </c>
    </row>
    <row r="133" spans="1:17" x14ac:dyDescent="0.3">
      <c r="A133" t="s">
        <v>17</v>
      </c>
      <c r="B133" t="str">
        <f>"600089"</f>
        <v>600089</v>
      </c>
      <c r="C133" t="s">
        <v>346</v>
      </c>
      <c r="D133" t="s">
        <v>347</v>
      </c>
      <c r="E133">
        <v>17162795765</v>
      </c>
      <c r="F133">
        <v>10330826899</v>
      </c>
      <c r="G133">
        <v>8158698852</v>
      </c>
      <c r="H133">
        <v>7647064369</v>
      </c>
      <c r="I133">
        <v>7136773263</v>
      </c>
      <c r="J133">
        <v>6614149033</v>
      </c>
      <c r="K133">
        <v>5038425846</v>
      </c>
      <c r="L133">
        <v>5350981179</v>
      </c>
      <c r="M133">
        <v>4586610857</v>
      </c>
      <c r="N133">
        <v>3343745235</v>
      </c>
      <c r="O133">
        <v>3087593685</v>
      </c>
      <c r="P133">
        <v>1281</v>
      </c>
      <c r="Q133" t="s">
        <v>348</v>
      </c>
    </row>
    <row r="134" spans="1:17" x14ac:dyDescent="0.3">
      <c r="A134" t="s">
        <v>75</v>
      </c>
      <c r="B134" t="str">
        <f>"000028"</f>
        <v>000028</v>
      </c>
      <c r="C134" t="s">
        <v>349</v>
      </c>
      <c r="D134" t="s">
        <v>123</v>
      </c>
      <c r="E134">
        <v>16757405031</v>
      </c>
      <c r="F134">
        <v>15194724502</v>
      </c>
      <c r="G134">
        <v>13201992639</v>
      </c>
      <c r="H134">
        <v>11235250201</v>
      </c>
      <c r="I134">
        <v>9559665374</v>
      </c>
      <c r="J134">
        <v>10328284482</v>
      </c>
      <c r="K134">
        <v>6388288249</v>
      </c>
      <c r="L134">
        <v>6225835432</v>
      </c>
      <c r="M134">
        <v>5724848720</v>
      </c>
      <c r="N134">
        <v>4735572728</v>
      </c>
      <c r="O134">
        <v>3779498907</v>
      </c>
      <c r="P134">
        <v>1098</v>
      </c>
      <c r="Q134" t="s">
        <v>350</v>
      </c>
    </row>
    <row r="135" spans="1:17" x14ac:dyDescent="0.3">
      <c r="A135" t="s">
        <v>75</v>
      </c>
      <c r="B135" t="str">
        <f>"200761"</f>
        <v>200761</v>
      </c>
      <c r="C135" t="s">
        <v>351</v>
      </c>
      <c r="E135">
        <v>16369396079.112</v>
      </c>
      <c r="F135">
        <v>11803902663.808001</v>
      </c>
      <c r="G135">
        <v>8594850209.7392998</v>
      </c>
      <c r="H135">
        <v>8674277224.0886993</v>
      </c>
      <c r="I135">
        <v>9668612226.0310001</v>
      </c>
      <c r="J135">
        <v>8011054543.0783997</v>
      </c>
      <c r="K135">
        <v>5353805726.9177999</v>
      </c>
      <c r="L135">
        <v>9861440333.75</v>
      </c>
      <c r="M135">
        <v>8858242557.5807991</v>
      </c>
      <c r="N135">
        <v>8958386869.9794006</v>
      </c>
      <c r="O135">
        <v>8342151251.3009996</v>
      </c>
      <c r="P135">
        <v>41</v>
      </c>
      <c r="Q135" t="s">
        <v>352</v>
      </c>
    </row>
    <row r="136" spans="1:17" x14ac:dyDescent="0.3">
      <c r="A136" t="s">
        <v>17</v>
      </c>
      <c r="B136" t="str">
        <f>"600096"</f>
        <v>600096</v>
      </c>
      <c r="C136" t="s">
        <v>353</v>
      </c>
      <c r="D136" t="s">
        <v>354</v>
      </c>
      <c r="E136">
        <v>16313553766</v>
      </c>
      <c r="F136">
        <v>14400775217</v>
      </c>
      <c r="G136">
        <v>12173291505</v>
      </c>
      <c r="H136">
        <v>14113089687</v>
      </c>
      <c r="I136">
        <v>10639224931</v>
      </c>
      <c r="J136">
        <v>16889245061</v>
      </c>
      <c r="K136">
        <v>7840925384</v>
      </c>
      <c r="L136">
        <v>11274924952</v>
      </c>
      <c r="M136">
        <v>10095270851</v>
      </c>
      <c r="N136">
        <v>1782096713</v>
      </c>
      <c r="O136">
        <v>2413400442</v>
      </c>
      <c r="P136">
        <v>390</v>
      </c>
      <c r="Q136" t="s">
        <v>355</v>
      </c>
    </row>
    <row r="137" spans="1:17" x14ac:dyDescent="0.3">
      <c r="A137" t="s">
        <v>17</v>
      </c>
      <c r="B137" t="str">
        <f>"600058"</f>
        <v>600058</v>
      </c>
      <c r="C137" t="s">
        <v>356</v>
      </c>
      <c r="D137" t="s">
        <v>142</v>
      </c>
      <c r="E137">
        <v>16276709033</v>
      </c>
      <c r="F137">
        <v>18461395620</v>
      </c>
      <c r="G137">
        <v>12741299549</v>
      </c>
      <c r="H137">
        <v>12920678875</v>
      </c>
      <c r="I137">
        <v>11130522843</v>
      </c>
      <c r="J137">
        <v>13765725981</v>
      </c>
      <c r="K137">
        <v>7963531774</v>
      </c>
      <c r="L137">
        <v>19346991912</v>
      </c>
      <c r="M137">
        <v>40252984784</v>
      </c>
      <c r="N137">
        <v>29943288066</v>
      </c>
      <c r="O137">
        <v>35045245440</v>
      </c>
      <c r="P137">
        <v>139</v>
      </c>
      <c r="Q137" t="s">
        <v>357</v>
      </c>
    </row>
    <row r="138" spans="1:17" x14ac:dyDescent="0.3">
      <c r="A138" t="s">
        <v>17</v>
      </c>
      <c r="B138" t="str">
        <f>"600827"</f>
        <v>600827</v>
      </c>
      <c r="C138" t="s">
        <v>358</v>
      </c>
      <c r="D138" t="s">
        <v>359</v>
      </c>
      <c r="E138">
        <v>16075337996</v>
      </c>
      <c r="F138">
        <v>17033749765</v>
      </c>
      <c r="G138">
        <v>13481699304</v>
      </c>
      <c r="H138">
        <v>16500129433</v>
      </c>
      <c r="I138">
        <v>15877628642</v>
      </c>
      <c r="J138">
        <v>16189256902</v>
      </c>
      <c r="K138">
        <v>16556830441</v>
      </c>
      <c r="L138">
        <v>16819178052</v>
      </c>
      <c r="M138">
        <v>16915133991</v>
      </c>
      <c r="N138">
        <v>17415325239</v>
      </c>
      <c r="O138">
        <v>16430358692</v>
      </c>
      <c r="P138">
        <v>274</v>
      </c>
      <c r="Q138" t="s">
        <v>360</v>
      </c>
    </row>
    <row r="139" spans="1:17" x14ac:dyDescent="0.3">
      <c r="A139" t="s">
        <v>17</v>
      </c>
      <c r="B139" t="str">
        <f>"601003"</f>
        <v>601003</v>
      </c>
      <c r="C139" t="s">
        <v>361</v>
      </c>
      <c r="D139" t="s">
        <v>68</v>
      </c>
      <c r="E139">
        <v>16061713090</v>
      </c>
      <c r="F139">
        <v>12912105875</v>
      </c>
      <c r="G139">
        <v>6760056585</v>
      </c>
      <c r="H139">
        <v>6686873982</v>
      </c>
      <c r="I139">
        <v>7702181338</v>
      </c>
      <c r="J139">
        <v>6395091800</v>
      </c>
      <c r="K139">
        <v>4688060470</v>
      </c>
      <c r="L139">
        <v>4646994206</v>
      </c>
      <c r="M139">
        <v>5074920891</v>
      </c>
      <c r="N139">
        <v>11293151272</v>
      </c>
      <c r="O139">
        <v>8974584885</v>
      </c>
      <c r="P139">
        <v>1021</v>
      </c>
      <c r="Q139" t="s">
        <v>362</v>
      </c>
    </row>
    <row r="140" spans="1:17" x14ac:dyDescent="0.3">
      <c r="A140" t="s">
        <v>75</v>
      </c>
      <c r="B140" t="str">
        <f>"000960"</f>
        <v>000960</v>
      </c>
      <c r="C140" t="s">
        <v>363</v>
      </c>
      <c r="D140" t="s">
        <v>364</v>
      </c>
      <c r="E140">
        <v>16014810590</v>
      </c>
      <c r="F140">
        <v>14461229756</v>
      </c>
      <c r="G140">
        <v>9928385690</v>
      </c>
      <c r="H140">
        <v>9196062575</v>
      </c>
      <c r="I140">
        <v>9763422246</v>
      </c>
      <c r="J140">
        <v>8438080172</v>
      </c>
      <c r="K140">
        <v>6079669523</v>
      </c>
      <c r="L140">
        <v>4829166967</v>
      </c>
      <c r="M140">
        <v>4954493055</v>
      </c>
      <c r="N140">
        <v>4221270926</v>
      </c>
      <c r="O140">
        <v>2958199782</v>
      </c>
      <c r="P140">
        <v>356</v>
      </c>
      <c r="Q140" t="s">
        <v>365</v>
      </c>
    </row>
    <row r="141" spans="1:17" x14ac:dyDescent="0.3">
      <c r="A141" t="s">
        <v>75</v>
      </c>
      <c r="B141" t="str">
        <f>"002183"</f>
        <v>002183</v>
      </c>
      <c r="C141" t="s">
        <v>366</v>
      </c>
      <c r="D141" t="s">
        <v>367</v>
      </c>
      <c r="E141">
        <v>15979597876</v>
      </c>
      <c r="F141">
        <v>20743900720</v>
      </c>
      <c r="G141">
        <v>15905596341</v>
      </c>
      <c r="H141">
        <v>18245803309</v>
      </c>
      <c r="I141">
        <v>21079467965</v>
      </c>
      <c r="J141">
        <v>15022958374</v>
      </c>
      <c r="K141">
        <v>13057132042</v>
      </c>
      <c r="L141">
        <v>7707965044</v>
      </c>
      <c r="M141">
        <v>4408569954</v>
      </c>
      <c r="N141">
        <v>1903399551</v>
      </c>
      <c r="O141">
        <v>1759200051</v>
      </c>
      <c r="P141">
        <v>261</v>
      </c>
      <c r="Q141" t="s">
        <v>368</v>
      </c>
    </row>
    <row r="142" spans="1:17" x14ac:dyDescent="0.3">
      <c r="A142" t="s">
        <v>17</v>
      </c>
      <c r="B142" t="str">
        <f>"600705"</f>
        <v>600705</v>
      </c>
      <c r="C142" t="s">
        <v>369</v>
      </c>
      <c r="D142" t="s">
        <v>370</v>
      </c>
      <c r="E142">
        <v>15619810204</v>
      </c>
      <c r="F142">
        <v>13744605436</v>
      </c>
      <c r="G142">
        <v>12425805607</v>
      </c>
      <c r="H142">
        <v>11577550745</v>
      </c>
      <c r="I142">
        <v>5888720282</v>
      </c>
      <c r="J142">
        <v>5803450764</v>
      </c>
      <c r="K142">
        <v>3876207405</v>
      </c>
      <c r="L142">
        <v>2879499944</v>
      </c>
      <c r="M142">
        <v>2353911228</v>
      </c>
      <c r="N142">
        <v>1471685956</v>
      </c>
      <c r="O142">
        <v>9128009</v>
      </c>
      <c r="P142">
        <v>440</v>
      </c>
      <c r="Q142" t="s">
        <v>371</v>
      </c>
    </row>
    <row r="143" spans="1:17" x14ac:dyDescent="0.3">
      <c r="A143" t="s">
        <v>17</v>
      </c>
      <c r="B143" t="str">
        <f>"600916"</f>
        <v>600916</v>
      </c>
      <c r="C143" t="s">
        <v>372</v>
      </c>
      <c r="D143" t="s">
        <v>314</v>
      </c>
      <c r="E143">
        <v>15545506833</v>
      </c>
      <c r="F143">
        <v>14728703977</v>
      </c>
      <c r="G143">
        <v>6989430236</v>
      </c>
      <c r="P143">
        <v>97</v>
      </c>
      <c r="Q143" t="s">
        <v>373</v>
      </c>
    </row>
    <row r="144" spans="1:17" x14ac:dyDescent="0.3">
      <c r="A144" t="s">
        <v>75</v>
      </c>
      <c r="B144" t="str">
        <f>"000060"</f>
        <v>000060</v>
      </c>
      <c r="C144" t="s">
        <v>374</v>
      </c>
      <c r="D144" t="s">
        <v>375</v>
      </c>
      <c r="E144">
        <v>15420416511</v>
      </c>
      <c r="F144">
        <v>9605244608</v>
      </c>
      <c r="G144">
        <v>6424800124</v>
      </c>
      <c r="H144">
        <v>4120360128</v>
      </c>
      <c r="I144">
        <v>4868544569</v>
      </c>
      <c r="J144">
        <v>5283025348</v>
      </c>
      <c r="K144">
        <v>3144703461</v>
      </c>
      <c r="L144">
        <v>3132470091</v>
      </c>
      <c r="M144">
        <v>4433355146</v>
      </c>
      <c r="N144">
        <v>1892792569</v>
      </c>
      <c r="O144">
        <v>3600232367</v>
      </c>
      <c r="P144">
        <v>373</v>
      </c>
      <c r="Q144" t="s">
        <v>376</v>
      </c>
    </row>
    <row r="145" spans="1:17" x14ac:dyDescent="0.3">
      <c r="A145" t="s">
        <v>17</v>
      </c>
      <c r="B145" t="str">
        <f>"600655"</f>
        <v>600655</v>
      </c>
      <c r="C145" t="s">
        <v>377</v>
      </c>
      <c r="D145" t="s">
        <v>378</v>
      </c>
      <c r="E145">
        <v>15278102611</v>
      </c>
      <c r="F145">
        <v>12479856044</v>
      </c>
      <c r="G145">
        <v>9623516000</v>
      </c>
      <c r="H145">
        <v>12454792982</v>
      </c>
      <c r="I145">
        <v>6407094513</v>
      </c>
      <c r="J145">
        <v>6905373643</v>
      </c>
      <c r="K145">
        <v>6034648226</v>
      </c>
      <c r="L145">
        <v>6320920358</v>
      </c>
      <c r="M145">
        <v>6778527815</v>
      </c>
      <c r="N145">
        <v>7457079419</v>
      </c>
      <c r="O145">
        <v>6228828082</v>
      </c>
      <c r="P145">
        <v>409</v>
      </c>
      <c r="Q145" t="s">
        <v>379</v>
      </c>
    </row>
    <row r="146" spans="1:17" x14ac:dyDescent="0.3">
      <c r="A146" t="s">
        <v>17</v>
      </c>
      <c r="B146" t="str">
        <f>"600939"</f>
        <v>600939</v>
      </c>
      <c r="C146" t="s">
        <v>380</v>
      </c>
      <c r="D146" t="s">
        <v>24</v>
      </c>
      <c r="E146">
        <v>15168163634</v>
      </c>
      <c r="F146">
        <v>18276009025</v>
      </c>
      <c r="G146">
        <v>16794510662</v>
      </c>
      <c r="H146">
        <v>15679597150</v>
      </c>
      <c r="I146">
        <v>16004191258</v>
      </c>
      <c r="J146">
        <v>13735328781</v>
      </c>
      <c r="K146">
        <v>12954026406</v>
      </c>
      <c r="P146">
        <v>125</v>
      </c>
      <c r="Q146" t="s">
        <v>381</v>
      </c>
    </row>
    <row r="147" spans="1:17" x14ac:dyDescent="0.3">
      <c r="A147" t="s">
        <v>17</v>
      </c>
      <c r="B147" t="str">
        <f>"600018"</f>
        <v>600018</v>
      </c>
      <c r="C147" t="s">
        <v>382</v>
      </c>
      <c r="D147" t="s">
        <v>383</v>
      </c>
      <c r="E147">
        <v>15160156009</v>
      </c>
      <c r="F147">
        <v>9942143612</v>
      </c>
      <c r="G147">
        <v>5755638342</v>
      </c>
      <c r="H147">
        <v>7343174599</v>
      </c>
      <c r="I147">
        <v>7288315250</v>
      </c>
      <c r="J147">
        <v>7596042533</v>
      </c>
      <c r="K147">
        <v>6503939343</v>
      </c>
      <c r="L147">
        <v>7089238580</v>
      </c>
      <c r="M147">
        <v>6203191602</v>
      </c>
      <c r="N147">
        <v>5856150681</v>
      </c>
      <c r="O147">
        <v>5498855160</v>
      </c>
      <c r="P147">
        <v>876</v>
      </c>
      <c r="Q147" t="s">
        <v>384</v>
      </c>
    </row>
    <row r="148" spans="1:17" x14ac:dyDescent="0.3">
      <c r="A148" t="s">
        <v>75</v>
      </c>
      <c r="B148" t="str">
        <f>"000656"</f>
        <v>000656</v>
      </c>
      <c r="C148" t="s">
        <v>385</v>
      </c>
      <c r="D148" t="s">
        <v>65</v>
      </c>
      <c r="E148">
        <v>15037750105</v>
      </c>
      <c r="F148">
        <v>24761730392</v>
      </c>
      <c r="G148">
        <v>22981781100</v>
      </c>
      <c r="H148">
        <v>17925124572</v>
      </c>
      <c r="I148">
        <v>18044635551</v>
      </c>
      <c r="J148">
        <v>9558904613</v>
      </c>
      <c r="K148">
        <v>6308415400</v>
      </c>
      <c r="L148">
        <v>5882969436</v>
      </c>
      <c r="M148">
        <v>4189848119</v>
      </c>
      <c r="N148">
        <v>4171125852</v>
      </c>
      <c r="O148">
        <v>2759469513</v>
      </c>
      <c r="P148">
        <v>1065</v>
      </c>
      <c r="Q148" t="s">
        <v>386</v>
      </c>
    </row>
    <row r="149" spans="1:17" x14ac:dyDescent="0.3">
      <c r="A149" t="s">
        <v>75</v>
      </c>
      <c r="B149" t="str">
        <f>"000950"</f>
        <v>000950</v>
      </c>
      <c r="C149" t="s">
        <v>387</v>
      </c>
      <c r="D149" t="s">
        <v>123</v>
      </c>
      <c r="E149">
        <v>15009176064</v>
      </c>
      <c r="F149">
        <v>12761371824</v>
      </c>
      <c r="G149">
        <v>7904195834</v>
      </c>
      <c r="H149">
        <v>6999441691</v>
      </c>
      <c r="I149">
        <v>5641166915</v>
      </c>
      <c r="J149">
        <v>570467001</v>
      </c>
      <c r="K149">
        <v>936130707</v>
      </c>
      <c r="L149">
        <v>766886705</v>
      </c>
      <c r="M149">
        <v>870063267</v>
      </c>
      <c r="N149">
        <v>832711212</v>
      </c>
      <c r="O149">
        <v>1038177953</v>
      </c>
      <c r="P149">
        <v>145</v>
      </c>
      <c r="Q149" t="s">
        <v>388</v>
      </c>
    </row>
    <row r="150" spans="1:17" x14ac:dyDescent="0.3">
      <c r="A150" t="s">
        <v>17</v>
      </c>
      <c r="B150" t="str">
        <f>"600489"</f>
        <v>600489</v>
      </c>
      <c r="C150" t="s">
        <v>389</v>
      </c>
      <c r="D150" t="s">
        <v>390</v>
      </c>
      <c r="E150">
        <v>14852078774</v>
      </c>
      <c r="F150">
        <v>12535905402</v>
      </c>
      <c r="G150">
        <v>7956919064</v>
      </c>
      <c r="H150">
        <v>7753584239</v>
      </c>
      <c r="I150">
        <v>7658580794</v>
      </c>
      <c r="J150">
        <v>9563412060</v>
      </c>
      <c r="K150">
        <v>7958194199</v>
      </c>
      <c r="L150">
        <v>8248254562</v>
      </c>
      <c r="M150">
        <v>7467439742</v>
      </c>
      <c r="N150">
        <v>4489839500</v>
      </c>
      <c r="O150">
        <v>4922622025</v>
      </c>
      <c r="P150">
        <v>454</v>
      </c>
      <c r="Q150" t="s">
        <v>391</v>
      </c>
    </row>
    <row r="151" spans="1:17" x14ac:dyDescent="0.3">
      <c r="A151" t="s">
        <v>75</v>
      </c>
      <c r="B151" t="str">
        <f>"000921"</f>
        <v>000921</v>
      </c>
      <c r="C151" t="s">
        <v>392</v>
      </c>
      <c r="D151" t="s">
        <v>83</v>
      </c>
      <c r="E151">
        <v>14742829243</v>
      </c>
      <c r="F151">
        <v>10618654036</v>
      </c>
      <c r="G151">
        <v>7742250848</v>
      </c>
      <c r="H151">
        <v>5907524075</v>
      </c>
      <c r="I151">
        <v>5641682735</v>
      </c>
      <c r="J151">
        <v>5488284732</v>
      </c>
      <c r="K151">
        <v>3620635956</v>
      </c>
      <c r="L151">
        <v>2574513196</v>
      </c>
      <c r="M151">
        <v>2840604699</v>
      </c>
      <c r="N151">
        <v>2311683104</v>
      </c>
      <c r="O151">
        <v>1500143982</v>
      </c>
      <c r="P151">
        <v>13182</v>
      </c>
      <c r="Q151" t="s">
        <v>393</v>
      </c>
    </row>
    <row r="152" spans="1:17" x14ac:dyDescent="0.3">
      <c r="A152" t="s">
        <v>17</v>
      </c>
      <c r="B152" t="str">
        <f>"600325"</f>
        <v>600325</v>
      </c>
      <c r="C152" t="s">
        <v>394</v>
      </c>
      <c r="D152" t="s">
        <v>65</v>
      </c>
      <c r="E152">
        <v>14690006568</v>
      </c>
      <c r="F152">
        <v>17529729697</v>
      </c>
      <c r="G152">
        <v>8640342116</v>
      </c>
      <c r="H152">
        <v>9870796188</v>
      </c>
      <c r="I152">
        <v>5193455927</v>
      </c>
      <c r="J152">
        <v>3963844373</v>
      </c>
      <c r="K152">
        <v>4717119382</v>
      </c>
      <c r="L152">
        <v>1560706588</v>
      </c>
      <c r="M152">
        <v>1086464569</v>
      </c>
      <c r="N152">
        <v>1295569051</v>
      </c>
      <c r="O152">
        <v>307697569</v>
      </c>
      <c r="P152">
        <v>1184</v>
      </c>
      <c r="Q152" t="s">
        <v>395</v>
      </c>
    </row>
    <row r="153" spans="1:17" x14ac:dyDescent="0.3">
      <c r="A153" t="s">
        <v>17</v>
      </c>
      <c r="B153" t="str">
        <f>"601111"</f>
        <v>601111</v>
      </c>
      <c r="C153" t="s">
        <v>396</v>
      </c>
      <c r="D153" t="s">
        <v>246</v>
      </c>
      <c r="E153">
        <v>14657731000</v>
      </c>
      <c r="F153">
        <v>14380541000</v>
      </c>
      <c r="G153">
        <v>11619620000</v>
      </c>
      <c r="H153">
        <v>31766329000</v>
      </c>
      <c r="I153">
        <v>32612171000</v>
      </c>
      <c r="J153">
        <v>29017429000</v>
      </c>
      <c r="K153">
        <v>26625375000</v>
      </c>
      <c r="L153">
        <v>25409856000</v>
      </c>
      <c r="M153">
        <v>25117741000</v>
      </c>
      <c r="N153">
        <v>23664318000</v>
      </c>
      <c r="O153">
        <v>21620882000</v>
      </c>
      <c r="P153">
        <v>1106</v>
      </c>
      <c r="Q153" t="s">
        <v>397</v>
      </c>
    </row>
    <row r="154" spans="1:17" x14ac:dyDescent="0.3">
      <c r="A154" t="s">
        <v>75</v>
      </c>
      <c r="B154" t="str">
        <f>"000895"</f>
        <v>000895</v>
      </c>
      <c r="C154" t="s">
        <v>398</v>
      </c>
      <c r="D154" t="s">
        <v>399</v>
      </c>
      <c r="E154">
        <v>14572322297</v>
      </c>
      <c r="F154">
        <v>19669009822</v>
      </c>
      <c r="G154">
        <v>19225807548</v>
      </c>
      <c r="H154">
        <v>12820668672</v>
      </c>
      <c r="I154">
        <v>13020223105</v>
      </c>
      <c r="J154">
        <v>12918850653</v>
      </c>
      <c r="K154">
        <v>13713165401</v>
      </c>
      <c r="L154">
        <v>10931381125</v>
      </c>
      <c r="M154">
        <v>11026507283</v>
      </c>
      <c r="N154">
        <v>10508026607</v>
      </c>
      <c r="O154">
        <v>10592033296</v>
      </c>
      <c r="P154">
        <v>37259</v>
      </c>
      <c r="Q154" t="s">
        <v>400</v>
      </c>
    </row>
    <row r="155" spans="1:17" x14ac:dyDescent="0.3">
      <c r="A155" t="s">
        <v>17</v>
      </c>
      <c r="B155" t="str">
        <f>"600339"</f>
        <v>600339</v>
      </c>
      <c r="C155" t="s">
        <v>401</v>
      </c>
      <c r="D155" t="s">
        <v>402</v>
      </c>
      <c r="E155">
        <v>14551635864</v>
      </c>
      <c r="F155">
        <v>15872818679</v>
      </c>
      <c r="G155">
        <v>10220265879</v>
      </c>
      <c r="H155">
        <v>11745127898</v>
      </c>
      <c r="I155">
        <v>17657373284</v>
      </c>
      <c r="J155">
        <v>7436463444</v>
      </c>
      <c r="K155">
        <v>431776559</v>
      </c>
      <c r="L155">
        <v>626946009</v>
      </c>
      <c r="M155">
        <v>596166198</v>
      </c>
      <c r="N155">
        <v>553177581</v>
      </c>
      <c r="O155">
        <v>675738741</v>
      </c>
      <c r="P155">
        <v>232</v>
      </c>
      <c r="Q155" t="s">
        <v>403</v>
      </c>
    </row>
    <row r="156" spans="1:17" x14ac:dyDescent="0.3">
      <c r="A156" t="s">
        <v>17</v>
      </c>
      <c r="B156" t="str">
        <f>"600745"</f>
        <v>600745</v>
      </c>
      <c r="C156" t="s">
        <v>404</v>
      </c>
      <c r="D156" t="s">
        <v>55</v>
      </c>
      <c r="E156">
        <v>14448405364</v>
      </c>
      <c r="F156">
        <v>13569427384</v>
      </c>
      <c r="G156">
        <v>17025035768</v>
      </c>
      <c r="H156">
        <v>5253027994</v>
      </c>
      <c r="I156">
        <v>2392315433</v>
      </c>
      <c r="J156">
        <v>3824167607</v>
      </c>
      <c r="K156">
        <v>2025492789</v>
      </c>
      <c r="L156">
        <v>148393936</v>
      </c>
      <c r="M156">
        <v>270265391</v>
      </c>
      <c r="N156">
        <v>659319118</v>
      </c>
      <c r="O156">
        <v>189826496</v>
      </c>
      <c r="P156">
        <v>1617</v>
      </c>
      <c r="Q156" t="s">
        <v>405</v>
      </c>
    </row>
    <row r="157" spans="1:17" x14ac:dyDescent="0.3">
      <c r="A157" t="s">
        <v>75</v>
      </c>
      <c r="B157" t="str">
        <f>"000708"</f>
        <v>000708</v>
      </c>
      <c r="C157" t="s">
        <v>406</v>
      </c>
      <c r="D157" t="s">
        <v>238</v>
      </c>
      <c r="E157">
        <v>14445441210</v>
      </c>
      <c r="F157">
        <v>13038472036</v>
      </c>
      <c r="G157">
        <v>12494647478</v>
      </c>
      <c r="H157">
        <v>3242678453</v>
      </c>
      <c r="I157">
        <v>2735527192</v>
      </c>
      <c r="J157">
        <v>2096325232</v>
      </c>
      <c r="K157">
        <v>1191731233</v>
      </c>
      <c r="L157">
        <v>1167214280</v>
      </c>
      <c r="M157">
        <v>971501375</v>
      </c>
      <c r="N157">
        <v>1040865270</v>
      </c>
      <c r="O157">
        <v>1362359044</v>
      </c>
      <c r="P157">
        <v>677</v>
      </c>
      <c r="Q157" t="s">
        <v>407</v>
      </c>
    </row>
    <row r="158" spans="1:17" x14ac:dyDescent="0.3">
      <c r="A158" t="s">
        <v>17</v>
      </c>
      <c r="B158" t="str">
        <f>"601012"</f>
        <v>601012</v>
      </c>
      <c r="C158" t="s">
        <v>408</v>
      </c>
      <c r="D158" t="s">
        <v>252</v>
      </c>
      <c r="E158">
        <v>14320069089</v>
      </c>
      <c r="F158">
        <v>8495963874</v>
      </c>
      <c r="G158">
        <v>5434966708</v>
      </c>
      <c r="H158">
        <v>4106249604</v>
      </c>
      <c r="I158">
        <v>3202096800</v>
      </c>
      <c r="J158">
        <v>1195349308</v>
      </c>
      <c r="K158">
        <v>1469083392</v>
      </c>
      <c r="L158">
        <v>637263427</v>
      </c>
      <c r="M158">
        <v>503552844</v>
      </c>
      <c r="N158">
        <v>391258107</v>
      </c>
      <c r="O158">
        <v>266697227</v>
      </c>
      <c r="P158">
        <v>6941</v>
      </c>
      <c r="Q158" t="s">
        <v>409</v>
      </c>
    </row>
    <row r="159" spans="1:17" x14ac:dyDescent="0.3">
      <c r="A159" t="s">
        <v>75</v>
      </c>
      <c r="B159" t="str">
        <f>"000961"</f>
        <v>000961</v>
      </c>
      <c r="C159" t="s">
        <v>410</v>
      </c>
      <c r="D159" t="s">
        <v>65</v>
      </c>
      <c r="E159">
        <v>14261747182</v>
      </c>
      <c r="F159">
        <v>19405344336</v>
      </c>
      <c r="G159">
        <v>14875570113</v>
      </c>
      <c r="H159">
        <v>16876424328</v>
      </c>
      <c r="I159">
        <v>15271896814</v>
      </c>
      <c r="J159">
        <v>12337208128</v>
      </c>
      <c r="K159">
        <v>7442371136</v>
      </c>
      <c r="L159">
        <v>5483001507</v>
      </c>
      <c r="M159">
        <v>5348974948</v>
      </c>
      <c r="N159">
        <v>4935602744</v>
      </c>
      <c r="O159">
        <v>2944483291</v>
      </c>
      <c r="P159">
        <v>898</v>
      </c>
      <c r="Q159" t="s">
        <v>411</v>
      </c>
    </row>
    <row r="160" spans="1:17" x14ac:dyDescent="0.3">
      <c r="A160" t="s">
        <v>17</v>
      </c>
      <c r="B160" t="str">
        <f>"600547"</f>
        <v>600547</v>
      </c>
      <c r="C160" t="s">
        <v>412</v>
      </c>
      <c r="D160" t="s">
        <v>390</v>
      </c>
      <c r="E160">
        <v>14235921496</v>
      </c>
      <c r="F160">
        <v>7444373887</v>
      </c>
      <c r="G160">
        <v>13766318349</v>
      </c>
      <c r="H160">
        <v>10728918140</v>
      </c>
      <c r="I160">
        <v>15743829452</v>
      </c>
      <c r="J160">
        <v>10475993961</v>
      </c>
      <c r="K160">
        <v>9497405452</v>
      </c>
      <c r="L160">
        <v>8121652365</v>
      </c>
      <c r="M160">
        <v>10549501938</v>
      </c>
      <c r="N160">
        <v>13479282601</v>
      </c>
      <c r="O160">
        <v>12871587616</v>
      </c>
      <c r="P160">
        <v>942</v>
      </c>
      <c r="Q160" t="s">
        <v>413</v>
      </c>
    </row>
    <row r="161" spans="1:17" x14ac:dyDescent="0.3">
      <c r="A161" t="s">
        <v>75</v>
      </c>
      <c r="B161" t="str">
        <f>"300498"</f>
        <v>300498</v>
      </c>
      <c r="C161" t="s">
        <v>414</v>
      </c>
      <c r="D161" t="s">
        <v>218</v>
      </c>
      <c r="E161">
        <v>14153546647</v>
      </c>
      <c r="F161">
        <v>15405100924</v>
      </c>
      <c r="G161">
        <v>14822284164</v>
      </c>
      <c r="H161">
        <v>13749168857</v>
      </c>
      <c r="I161">
        <v>12840042565</v>
      </c>
      <c r="J161">
        <v>12400574012</v>
      </c>
      <c r="K161">
        <v>13154186067</v>
      </c>
      <c r="L161">
        <v>9630922063</v>
      </c>
      <c r="P161">
        <v>2457</v>
      </c>
      <c r="Q161" t="s">
        <v>415</v>
      </c>
    </row>
    <row r="162" spans="1:17" x14ac:dyDescent="0.3">
      <c r="A162" t="s">
        <v>17</v>
      </c>
      <c r="B162" t="str">
        <f>"688599"</f>
        <v>688599</v>
      </c>
      <c r="C162" t="s">
        <v>416</v>
      </c>
      <c r="D162" t="s">
        <v>417</v>
      </c>
      <c r="E162">
        <v>13978567933</v>
      </c>
      <c r="F162">
        <v>7860055798</v>
      </c>
      <c r="G162">
        <v>4247872822</v>
      </c>
      <c r="P162">
        <v>371</v>
      </c>
      <c r="Q162" t="s">
        <v>418</v>
      </c>
    </row>
    <row r="163" spans="1:17" x14ac:dyDescent="0.3">
      <c r="A163" t="s">
        <v>75</v>
      </c>
      <c r="B163" t="str">
        <f>"000301"</f>
        <v>000301</v>
      </c>
      <c r="C163" t="s">
        <v>419</v>
      </c>
      <c r="D163" t="s">
        <v>19</v>
      </c>
      <c r="E163">
        <v>13896401345</v>
      </c>
      <c r="F163">
        <v>7344447766</v>
      </c>
      <c r="G163">
        <v>3297912367</v>
      </c>
      <c r="H163">
        <v>5524478312</v>
      </c>
      <c r="I163">
        <v>265812327</v>
      </c>
      <c r="J163">
        <v>352182368</v>
      </c>
      <c r="K163">
        <v>163178248</v>
      </c>
      <c r="L163">
        <v>162886607</v>
      </c>
      <c r="M163">
        <v>165109274</v>
      </c>
      <c r="N163">
        <v>264165076</v>
      </c>
      <c r="O163">
        <v>296212784</v>
      </c>
      <c r="P163">
        <v>397</v>
      </c>
      <c r="Q163" t="s">
        <v>420</v>
      </c>
    </row>
    <row r="164" spans="1:17" x14ac:dyDescent="0.3">
      <c r="A164" t="s">
        <v>17</v>
      </c>
      <c r="B164" t="str">
        <f>"601233"</f>
        <v>601233</v>
      </c>
      <c r="C164" t="s">
        <v>421</v>
      </c>
      <c r="D164" t="s">
        <v>422</v>
      </c>
      <c r="E164">
        <v>13891186794</v>
      </c>
      <c r="F164">
        <v>11701343773</v>
      </c>
      <c r="G164">
        <v>6193058338</v>
      </c>
      <c r="H164">
        <v>12602112680</v>
      </c>
      <c r="I164">
        <v>7582848545</v>
      </c>
      <c r="J164">
        <v>7064231040</v>
      </c>
      <c r="K164">
        <v>5359613941</v>
      </c>
      <c r="L164">
        <v>5660547315</v>
      </c>
      <c r="M164">
        <v>6520475328</v>
      </c>
      <c r="N164">
        <v>4915615406</v>
      </c>
      <c r="O164">
        <v>5485352555</v>
      </c>
      <c r="P164">
        <v>807</v>
      </c>
      <c r="Q164" t="s">
        <v>423</v>
      </c>
    </row>
    <row r="165" spans="1:17" x14ac:dyDescent="0.3">
      <c r="A165" t="s">
        <v>17</v>
      </c>
      <c r="B165" t="str">
        <f>"603613"</f>
        <v>603613</v>
      </c>
      <c r="C165" t="s">
        <v>424</v>
      </c>
      <c r="D165" t="s">
        <v>299</v>
      </c>
      <c r="E165">
        <v>13869575255</v>
      </c>
      <c r="F165">
        <v>6905756570</v>
      </c>
      <c r="G165">
        <v>2624104014</v>
      </c>
      <c r="H165">
        <v>0</v>
      </c>
      <c r="I165">
        <v>0</v>
      </c>
      <c r="P165">
        <v>827</v>
      </c>
      <c r="Q165" t="s">
        <v>425</v>
      </c>
    </row>
    <row r="166" spans="1:17" x14ac:dyDescent="0.3">
      <c r="A166" t="s">
        <v>75</v>
      </c>
      <c r="B166" t="str">
        <f>"300433"</f>
        <v>300433</v>
      </c>
      <c r="C166" t="s">
        <v>426</v>
      </c>
      <c r="D166" t="s">
        <v>55</v>
      </c>
      <c r="E166">
        <v>13844367842</v>
      </c>
      <c r="F166">
        <v>11938609140</v>
      </c>
      <c r="G166">
        <v>8291889361</v>
      </c>
      <c r="H166">
        <v>7270544094</v>
      </c>
      <c r="I166">
        <v>6809446861</v>
      </c>
      <c r="J166">
        <v>4529180914</v>
      </c>
      <c r="K166">
        <v>3462862619</v>
      </c>
      <c r="L166">
        <v>4322969347</v>
      </c>
      <c r="M166">
        <v>3365264456</v>
      </c>
      <c r="P166">
        <v>1652</v>
      </c>
      <c r="Q166" t="s">
        <v>427</v>
      </c>
    </row>
    <row r="167" spans="1:17" x14ac:dyDescent="0.3">
      <c r="A167" t="s">
        <v>75</v>
      </c>
      <c r="B167" t="str">
        <f>"000858"</f>
        <v>000858</v>
      </c>
      <c r="C167" t="s">
        <v>428</v>
      </c>
      <c r="D167" t="s">
        <v>201</v>
      </c>
      <c r="E167">
        <v>13735340195</v>
      </c>
      <c r="F167">
        <v>21065891919</v>
      </c>
      <c r="G167">
        <v>12687016441</v>
      </c>
      <c r="H167">
        <v>17697564959</v>
      </c>
      <c r="I167">
        <v>10414204005</v>
      </c>
      <c r="J167">
        <v>7704893441</v>
      </c>
      <c r="K167">
        <v>6669657116</v>
      </c>
      <c r="L167">
        <v>6643981136</v>
      </c>
      <c r="M167">
        <v>3056755228</v>
      </c>
      <c r="N167">
        <v>7497844122</v>
      </c>
      <c r="O167">
        <v>7546157733</v>
      </c>
      <c r="P167">
        <v>11635</v>
      </c>
      <c r="Q167" t="s">
        <v>429</v>
      </c>
    </row>
    <row r="168" spans="1:17" x14ac:dyDescent="0.3">
      <c r="A168" t="s">
        <v>17</v>
      </c>
      <c r="B168" t="str">
        <f>"601699"</f>
        <v>601699</v>
      </c>
      <c r="C168" t="s">
        <v>430</v>
      </c>
      <c r="D168" t="s">
        <v>306</v>
      </c>
      <c r="E168">
        <v>13537985059</v>
      </c>
      <c r="F168">
        <v>9491792300</v>
      </c>
      <c r="G168">
        <v>6600430574</v>
      </c>
      <c r="H168">
        <v>7098829599</v>
      </c>
      <c r="I168">
        <v>4996206729</v>
      </c>
      <c r="J168">
        <v>4670839385</v>
      </c>
      <c r="K168">
        <v>2934247214</v>
      </c>
      <c r="L168">
        <v>3601045022</v>
      </c>
      <c r="M168">
        <v>3565838190</v>
      </c>
      <c r="N168">
        <v>4536085768</v>
      </c>
      <c r="O168">
        <v>6106173895</v>
      </c>
      <c r="P168">
        <v>791</v>
      </c>
      <c r="Q168" t="s">
        <v>431</v>
      </c>
    </row>
    <row r="169" spans="1:17" x14ac:dyDescent="0.3">
      <c r="A169" t="s">
        <v>17</v>
      </c>
      <c r="B169" t="str">
        <f>"600699"</f>
        <v>600699</v>
      </c>
      <c r="C169" t="s">
        <v>432</v>
      </c>
      <c r="D169" t="s">
        <v>433</v>
      </c>
      <c r="E169">
        <v>13515959746</v>
      </c>
      <c r="F169">
        <v>14123604098</v>
      </c>
      <c r="G169">
        <v>14313686306</v>
      </c>
      <c r="H169">
        <v>17377191944</v>
      </c>
      <c r="I169">
        <v>7358811072</v>
      </c>
      <c r="J169">
        <v>6855104549</v>
      </c>
      <c r="K169">
        <v>2035960912</v>
      </c>
      <c r="L169">
        <v>1730041334</v>
      </c>
      <c r="M169">
        <v>1568824105</v>
      </c>
      <c r="N169">
        <v>1233148681</v>
      </c>
      <c r="O169">
        <v>320838732</v>
      </c>
      <c r="P169">
        <v>958</v>
      </c>
      <c r="Q169" t="s">
        <v>434</v>
      </c>
    </row>
    <row r="170" spans="1:17" x14ac:dyDescent="0.3">
      <c r="A170" t="s">
        <v>17</v>
      </c>
      <c r="B170" t="str">
        <f>"603799"</f>
        <v>603799</v>
      </c>
      <c r="C170" t="s">
        <v>435</v>
      </c>
      <c r="D170" t="s">
        <v>436</v>
      </c>
      <c r="E170">
        <v>13320811439</v>
      </c>
      <c r="F170">
        <v>6807727509</v>
      </c>
      <c r="G170">
        <v>4621487104</v>
      </c>
      <c r="H170">
        <v>4344800218</v>
      </c>
      <c r="I170">
        <v>2240502298</v>
      </c>
      <c r="J170">
        <v>1305400393</v>
      </c>
      <c r="K170">
        <v>794614748</v>
      </c>
      <c r="L170">
        <v>848852288</v>
      </c>
      <c r="M170">
        <v>825117335</v>
      </c>
      <c r="P170">
        <v>1518</v>
      </c>
      <c r="Q170" t="s">
        <v>437</v>
      </c>
    </row>
    <row r="171" spans="1:17" x14ac:dyDescent="0.3">
      <c r="A171" t="s">
        <v>75</v>
      </c>
      <c r="B171" t="str">
        <f>"002091"</f>
        <v>002091</v>
      </c>
      <c r="C171" t="s">
        <v>438</v>
      </c>
      <c r="D171" t="s">
        <v>142</v>
      </c>
      <c r="E171">
        <v>13283671118</v>
      </c>
      <c r="F171">
        <v>8217066029</v>
      </c>
      <c r="G171">
        <v>7467565869</v>
      </c>
      <c r="H171">
        <v>10697435732</v>
      </c>
      <c r="I171">
        <v>9100876316</v>
      </c>
      <c r="J171">
        <v>7409530427</v>
      </c>
      <c r="K171">
        <v>1886161970</v>
      </c>
      <c r="L171">
        <v>1313094805</v>
      </c>
      <c r="M171">
        <v>1342608056</v>
      </c>
      <c r="N171">
        <v>1318037597</v>
      </c>
      <c r="O171">
        <v>913600169</v>
      </c>
      <c r="P171">
        <v>509</v>
      </c>
      <c r="Q171" t="s">
        <v>439</v>
      </c>
    </row>
    <row r="172" spans="1:17" x14ac:dyDescent="0.3">
      <c r="A172" t="s">
        <v>75</v>
      </c>
      <c r="B172" t="str">
        <f>"000761"</f>
        <v>000761</v>
      </c>
      <c r="C172" t="s">
        <v>440</v>
      </c>
      <c r="D172" t="s">
        <v>68</v>
      </c>
      <c r="E172">
        <v>13265312868</v>
      </c>
      <c r="F172">
        <v>9965304064</v>
      </c>
      <c r="G172">
        <v>7864260417</v>
      </c>
      <c r="H172">
        <v>7419619557</v>
      </c>
      <c r="I172">
        <v>7731797062</v>
      </c>
      <c r="J172">
        <v>7100739712</v>
      </c>
      <c r="K172">
        <v>4456676706</v>
      </c>
      <c r="L172">
        <v>7889152267</v>
      </c>
      <c r="M172">
        <v>7095676512</v>
      </c>
      <c r="N172">
        <v>7167856353</v>
      </c>
      <c r="O172">
        <v>6765734997</v>
      </c>
      <c r="P172">
        <v>237</v>
      </c>
      <c r="Q172" t="s">
        <v>441</v>
      </c>
    </row>
    <row r="173" spans="1:17" x14ac:dyDescent="0.3">
      <c r="A173" t="s">
        <v>75</v>
      </c>
      <c r="B173" t="str">
        <f>"002110"</f>
        <v>002110</v>
      </c>
      <c r="C173" t="s">
        <v>442</v>
      </c>
      <c r="D173" t="s">
        <v>443</v>
      </c>
      <c r="E173">
        <v>13175017199</v>
      </c>
      <c r="F173">
        <v>15898929485</v>
      </c>
      <c r="G173">
        <v>13267509876</v>
      </c>
      <c r="H173">
        <v>9268714456</v>
      </c>
      <c r="I173">
        <v>5385605294</v>
      </c>
      <c r="J173">
        <v>4103347744</v>
      </c>
      <c r="K173">
        <v>2268059154</v>
      </c>
      <c r="L173">
        <v>2580288303</v>
      </c>
      <c r="M173">
        <v>3046461764</v>
      </c>
      <c r="N173">
        <v>3771823270</v>
      </c>
      <c r="O173">
        <v>2547467566</v>
      </c>
      <c r="P173">
        <v>1174</v>
      </c>
      <c r="Q173" t="s">
        <v>444</v>
      </c>
    </row>
    <row r="174" spans="1:17" x14ac:dyDescent="0.3">
      <c r="A174" t="s">
        <v>17</v>
      </c>
      <c r="B174" t="str">
        <f>"603071"</f>
        <v>603071</v>
      </c>
      <c r="C174" t="s">
        <v>445</v>
      </c>
      <c r="D174" t="s">
        <v>446</v>
      </c>
      <c r="E174">
        <v>13117144209</v>
      </c>
      <c r="P174">
        <v>19</v>
      </c>
      <c r="Q174" t="s">
        <v>447</v>
      </c>
    </row>
    <row r="175" spans="1:17" x14ac:dyDescent="0.3">
      <c r="A175" t="s">
        <v>75</v>
      </c>
      <c r="B175" t="str">
        <f>"000059"</f>
        <v>000059</v>
      </c>
      <c r="C175" t="s">
        <v>448</v>
      </c>
      <c r="D175" t="s">
        <v>19</v>
      </c>
      <c r="E175">
        <v>13106260932</v>
      </c>
      <c r="F175">
        <v>9576277000</v>
      </c>
      <c r="G175">
        <v>6449320529</v>
      </c>
      <c r="H175">
        <v>9605376212</v>
      </c>
      <c r="I175">
        <v>8742117302</v>
      </c>
      <c r="J175">
        <v>8614001081</v>
      </c>
      <c r="K175">
        <v>6889691446</v>
      </c>
      <c r="L175">
        <v>7366264842</v>
      </c>
      <c r="M175">
        <v>8523377126</v>
      </c>
      <c r="N175">
        <v>12087983873</v>
      </c>
      <c r="O175">
        <v>11310347724</v>
      </c>
      <c r="P175">
        <v>387</v>
      </c>
      <c r="Q175" t="s">
        <v>449</v>
      </c>
    </row>
    <row r="176" spans="1:17" x14ac:dyDescent="0.3">
      <c r="A176" t="s">
        <v>17</v>
      </c>
      <c r="B176" t="str">
        <f>"600546"</f>
        <v>600546</v>
      </c>
      <c r="C176" t="s">
        <v>450</v>
      </c>
      <c r="D176" t="s">
        <v>71</v>
      </c>
      <c r="E176">
        <v>13085716564</v>
      </c>
      <c r="F176">
        <v>11801274407</v>
      </c>
      <c r="G176">
        <v>6563977005</v>
      </c>
      <c r="H176">
        <v>8249900886</v>
      </c>
      <c r="I176">
        <v>8096816595</v>
      </c>
      <c r="J176">
        <v>9156413794</v>
      </c>
      <c r="K176">
        <v>7358952495</v>
      </c>
      <c r="L176">
        <v>13241172175</v>
      </c>
      <c r="M176">
        <v>17645342950</v>
      </c>
      <c r="N176">
        <v>18876778120</v>
      </c>
      <c r="O176">
        <v>17399857947</v>
      </c>
      <c r="P176">
        <v>357</v>
      </c>
      <c r="Q176" t="s">
        <v>451</v>
      </c>
    </row>
    <row r="177" spans="1:17" x14ac:dyDescent="0.3">
      <c r="A177" t="s">
        <v>17</v>
      </c>
      <c r="B177" t="str">
        <f>"600233"</f>
        <v>600233</v>
      </c>
      <c r="C177" t="s">
        <v>452</v>
      </c>
      <c r="D177" t="s">
        <v>93</v>
      </c>
      <c r="E177">
        <v>12926333788</v>
      </c>
      <c r="F177">
        <v>9152021976</v>
      </c>
      <c r="G177">
        <v>5924947205</v>
      </c>
      <c r="H177">
        <v>7177829340</v>
      </c>
      <c r="I177">
        <v>5901871902</v>
      </c>
      <c r="J177">
        <v>3575727620</v>
      </c>
      <c r="K177">
        <v>237778130</v>
      </c>
      <c r="L177">
        <v>238982818</v>
      </c>
      <c r="M177">
        <v>244228089</v>
      </c>
      <c r="N177">
        <v>213100673</v>
      </c>
      <c r="O177">
        <v>235399441</v>
      </c>
      <c r="P177">
        <v>733</v>
      </c>
      <c r="Q177" t="s">
        <v>453</v>
      </c>
    </row>
    <row r="178" spans="1:17" x14ac:dyDescent="0.3">
      <c r="A178" t="s">
        <v>75</v>
      </c>
      <c r="B178" t="str">
        <f>"000927"</f>
        <v>000927</v>
      </c>
      <c r="C178" t="s">
        <v>454</v>
      </c>
      <c r="D178" t="s">
        <v>38</v>
      </c>
      <c r="E178">
        <v>12895793305</v>
      </c>
      <c r="F178">
        <v>11353694891</v>
      </c>
      <c r="G178">
        <v>37920340</v>
      </c>
      <c r="H178">
        <v>107673321</v>
      </c>
      <c r="I178">
        <v>310323883</v>
      </c>
      <c r="J178">
        <v>285661090</v>
      </c>
      <c r="K178">
        <v>371756211</v>
      </c>
      <c r="L178">
        <v>1146845938</v>
      </c>
      <c r="M178">
        <v>1099707057</v>
      </c>
      <c r="N178">
        <v>1399741671</v>
      </c>
      <c r="O178">
        <v>950546130</v>
      </c>
      <c r="P178">
        <v>131</v>
      </c>
      <c r="Q178" t="s">
        <v>455</v>
      </c>
    </row>
    <row r="179" spans="1:17" x14ac:dyDescent="0.3">
      <c r="A179" t="s">
        <v>75</v>
      </c>
      <c r="B179" t="str">
        <f>"000883"</f>
        <v>000883</v>
      </c>
      <c r="C179" t="s">
        <v>456</v>
      </c>
      <c r="D179" t="s">
        <v>457</v>
      </c>
      <c r="E179">
        <v>12610746664</v>
      </c>
      <c r="F179">
        <v>6271896532</v>
      </c>
      <c r="G179">
        <v>3439806805</v>
      </c>
      <c r="H179">
        <v>3725464800</v>
      </c>
      <c r="I179">
        <v>2971712993</v>
      </c>
      <c r="J179">
        <v>2287390278</v>
      </c>
      <c r="K179">
        <v>2055011050</v>
      </c>
      <c r="L179">
        <v>2093879519</v>
      </c>
      <c r="M179">
        <v>1792267285</v>
      </c>
      <c r="N179">
        <v>2002954235</v>
      </c>
      <c r="O179">
        <v>2907152929</v>
      </c>
      <c r="P179">
        <v>419</v>
      </c>
      <c r="Q179" t="s">
        <v>458</v>
      </c>
    </row>
    <row r="180" spans="1:17" x14ac:dyDescent="0.3">
      <c r="A180" t="s">
        <v>75</v>
      </c>
      <c r="B180" t="str">
        <f>"000539"</f>
        <v>000539</v>
      </c>
      <c r="C180" t="s">
        <v>459</v>
      </c>
      <c r="D180" t="s">
        <v>88</v>
      </c>
      <c r="E180">
        <v>12551308372</v>
      </c>
      <c r="F180">
        <v>8555476632</v>
      </c>
      <c r="G180">
        <v>5951197187</v>
      </c>
      <c r="H180">
        <v>7198521146</v>
      </c>
      <c r="I180">
        <v>6909344782</v>
      </c>
      <c r="J180">
        <v>6534220810</v>
      </c>
      <c r="K180">
        <v>5674442022</v>
      </c>
      <c r="L180">
        <v>7245394694</v>
      </c>
      <c r="M180">
        <v>8208649887</v>
      </c>
      <c r="N180">
        <v>7300481021</v>
      </c>
      <c r="O180">
        <v>4481269651</v>
      </c>
      <c r="P180">
        <v>203</v>
      </c>
      <c r="Q180" t="s">
        <v>460</v>
      </c>
    </row>
    <row r="181" spans="1:17" x14ac:dyDescent="0.3">
      <c r="A181" t="s">
        <v>17</v>
      </c>
      <c r="B181" t="str">
        <f>"600968"</f>
        <v>600968</v>
      </c>
      <c r="C181" t="s">
        <v>461</v>
      </c>
      <c r="D181" t="s">
        <v>462</v>
      </c>
      <c r="E181">
        <v>12541967938</v>
      </c>
      <c r="F181">
        <v>9459811936</v>
      </c>
      <c r="G181">
        <v>8757770356</v>
      </c>
      <c r="H181">
        <v>8349258298</v>
      </c>
      <c r="I181">
        <v>8275626301</v>
      </c>
      <c r="P181">
        <v>189</v>
      </c>
      <c r="Q181" t="s">
        <v>463</v>
      </c>
    </row>
    <row r="182" spans="1:17" x14ac:dyDescent="0.3">
      <c r="A182" t="s">
        <v>17</v>
      </c>
      <c r="B182" t="str">
        <f>"600150"</f>
        <v>600150</v>
      </c>
      <c r="C182" t="s">
        <v>464</v>
      </c>
      <c r="D182" t="s">
        <v>465</v>
      </c>
      <c r="E182">
        <v>12534398000</v>
      </c>
      <c r="F182">
        <v>13828629713</v>
      </c>
      <c r="G182">
        <v>7041775842</v>
      </c>
      <c r="H182">
        <v>5150458636</v>
      </c>
      <c r="I182">
        <v>4050154584</v>
      </c>
      <c r="J182">
        <v>4660344656</v>
      </c>
      <c r="K182">
        <v>4571050771</v>
      </c>
      <c r="L182">
        <v>5855557778</v>
      </c>
      <c r="M182">
        <v>6986544124</v>
      </c>
      <c r="N182">
        <v>3627418295</v>
      </c>
      <c r="O182">
        <v>4792134802</v>
      </c>
      <c r="P182">
        <v>469</v>
      </c>
      <c r="Q182" t="s">
        <v>466</v>
      </c>
    </row>
    <row r="183" spans="1:17" x14ac:dyDescent="0.3">
      <c r="A183" t="s">
        <v>75</v>
      </c>
      <c r="B183" t="str">
        <f>"002120"</f>
        <v>002120</v>
      </c>
      <c r="C183" t="s">
        <v>467</v>
      </c>
      <c r="D183" t="s">
        <v>93</v>
      </c>
      <c r="E183">
        <v>12382192102</v>
      </c>
      <c r="F183">
        <v>8279203600</v>
      </c>
      <c r="G183">
        <v>6448010496</v>
      </c>
      <c r="H183">
        <v>7336480049</v>
      </c>
      <c r="I183">
        <v>2982009748</v>
      </c>
      <c r="J183">
        <v>2045729927</v>
      </c>
      <c r="K183">
        <v>244843655</v>
      </c>
      <c r="L183">
        <v>206232837</v>
      </c>
      <c r="M183">
        <v>217040466</v>
      </c>
      <c r="N183">
        <v>222366146</v>
      </c>
      <c r="O183">
        <v>184183975</v>
      </c>
      <c r="P183">
        <v>1163</v>
      </c>
      <c r="Q183" t="s">
        <v>468</v>
      </c>
    </row>
    <row r="184" spans="1:17" x14ac:dyDescent="0.3">
      <c r="A184" t="s">
        <v>75</v>
      </c>
      <c r="B184" t="str">
        <f>"002237"</f>
        <v>002237</v>
      </c>
      <c r="C184" t="s">
        <v>469</v>
      </c>
      <c r="D184" t="s">
        <v>390</v>
      </c>
      <c r="E184">
        <v>12378882243</v>
      </c>
      <c r="F184">
        <v>11342722406</v>
      </c>
      <c r="G184">
        <v>7302005062</v>
      </c>
      <c r="H184">
        <v>5980670428</v>
      </c>
      <c r="I184">
        <v>5296463220</v>
      </c>
      <c r="J184">
        <v>5503421343</v>
      </c>
      <c r="K184">
        <v>3689453528</v>
      </c>
      <c r="L184">
        <v>3560826732</v>
      </c>
      <c r="M184">
        <v>2896367578</v>
      </c>
      <c r="N184">
        <v>2797705346</v>
      </c>
      <c r="O184">
        <v>2090778205</v>
      </c>
      <c r="P184">
        <v>193</v>
      </c>
      <c r="Q184" t="s">
        <v>470</v>
      </c>
    </row>
    <row r="185" spans="1:17" x14ac:dyDescent="0.3">
      <c r="A185" t="s">
        <v>17</v>
      </c>
      <c r="B185" t="str">
        <f>"600115"</f>
        <v>600115</v>
      </c>
      <c r="C185" t="s">
        <v>471</v>
      </c>
      <c r="D185" t="s">
        <v>246</v>
      </c>
      <c r="E185">
        <v>12369000000</v>
      </c>
      <c r="F185">
        <v>14469000000</v>
      </c>
      <c r="G185">
        <v>10055000000</v>
      </c>
      <c r="H185">
        <v>31034000000</v>
      </c>
      <c r="I185">
        <v>28277000000</v>
      </c>
      <c r="J185">
        <v>25384000000</v>
      </c>
      <c r="K185">
        <v>24257000000</v>
      </c>
      <c r="L185">
        <v>20800000000</v>
      </c>
      <c r="M185">
        <v>21850000000</v>
      </c>
      <c r="N185">
        <v>20500138000</v>
      </c>
      <c r="O185">
        <v>17583504000</v>
      </c>
      <c r="P185">
        <v>690</v>
      </c>
      <c r="Q185" t="s">
        <v>472</v>
      </c>
    </row>
    <row r="186" spans="1:17" x14ac:dyDescent="0.3">
      <c r="A186" t="s">
        <v>17</v>
      </c>
      <c r="B186" t="str">
        <f>"600871"</f>
        <v>600871</v>
      </c>
      <c r="C186" t="s">
        <v>473</v>
      </c>
      <c r="D186" t="s">
        <v>462</v>
      </c>
      <c r="E186">
        <v>12354400000</v>
      </c>
      <c r="F186">
        <v>10455420000</v>
      </c>
      <c r="G186">
        <v>9332441000</v>
      </c>
      <c r="H186">
        <v>10755619000</v>
      </c>
      <c r="I186">
        <v>8039405000</v>
      </c>
      <c r="J186">
        <v>8359482000</v>
      </c>
      <c r="K186">
        <v>10980083000</v>
      </c>
      <c r="L186">
        <v>15817682000</v>
      </c>
      <c r="M186">
        <v>4133357000</v>
      </c>
      <c r="N186">
        <v>4224402000</v>
      </c>
      <c r="O186">
        <v>4661361000</v>
      </c>
      <c r="P186">
        <v>172</v>
      </c>
      <c r="Q186" t="s">
        <v>474</v>
      </c>
    </row>
    <row r="187" spans="1:17" x14ac:dyDescent="0.3">
      <c r="A187" t="s">
        <v>17</v>
      </c>
      <c r="B187" t="str">
        <f>"600278"</f>
        <v>600278</v>
      </c>
      <c r="C187" t="s">
        <v>475</v>
      </c>
      <c r="D187" t="s">
        <v>142</v>
      </c>
      <c r="E187">
        <v>12336457440</v>
      </c>
      <c r="F187">
        <v>12533289777</v>
      </c>
      <c r="G187">
        <v>4381880294</v>
      </c>
      <c r="H187">
        <v>4115467626</v>
      </c>
      <c r="I187">
        <v>3818308275</v>
      </c>
      <c r="J187">
        <v>3698117346</v>
      </c>
      <c r="K187">
        <v>3552691541</v>
      </c>
      <c r="L187">
        <v>3172689682</v>
      </c>
      <c r="M187">
        <v>3539997650</v>
      </c>
      <c r="N187">
        <v>3354878666</v>
      </c>
      <c r="O187">
        <v>3485825076</v>
      </c>
      <c r="P187">
        <v>90</v>
      </c>
      <c r="Q187" t="s">
        <v>476</v>
      </c>
    </row>
    <row r="188" spans="1:17" x14ac:dyDescent="0.3">
      <c r="A188" t="s">
        <v>17</v>
      </c>
      <c r="B188" t="str">
        <f>"600010"</f>
        <v>600010</v>
      </c>
      <c r="C188" t="s">
        <v>477</v>
      </c>
      <c r="D188" t="s">
        <v>68</v>
      </c>
      <c r="E188">
        <v>12238115206</v>
      </c>
      <c r="F188">
        <v>12764037563</v>
      </c>
      <c r="G188">
        <v>10850634247</v>
      </c>
      <c r="H188">
        <v>9139021302</v>
      </c>
      <c r="I188">
        <v>8777049340</v>
      </c>
      <c r="J188">
        <v>7496850131</v>
      </c>
      <c r="K188">
        <v>5880587119</v>
      </c>
      <c r="L188">
        <v>8895716467</v>
      </c>
      <c r="M188">
        <v>7080207835</v>
      </c>
      <c r="N188">
        <v>10858296891</v>
      </c>
      <c r="O188">
        <v>10433635694</v>
      </c>
      <c r="P188">
        <v>623</v>
      </c>
      <c r="Q188" t="s">
        <v>478</v>
      </c>
    </row>
    <row r="189" spans="1:17" x14ac:dyDescent="0.3">
      <c r="A189" t="s">
        <v>17</v>
      </c>
      <c r="B189" t="str">
        <f>"600126"</f>
        <v>600126</v>
      </c>
      <c r="C189" t="s">
        <v>479</v>
      </c>
      <c r="D189" t="s">
        <v>68</v>
      </c>
      <c r="E189">
        <v>12232983107</v>
      </c>
      <c r="F189">
        <v>10329412334</v>
      </c>
      <c r="G189">
        <v>6219380376</v>
      </c>
      <c r="H189">
        <v>5910999205</v>
      </c>
      <c r="I189">
        <v>6652479844</v>
      </c>
      <c r="J189">
        <v>7245028514</v>
      </c>
      <c r="K189">
        <v>4827572964</v>
      </c>
      <c r="L189">
        <v>4000165789</v>
      </c>
      <c r="M189">
        <v>4601935829</v>
      </c>
      <c r="N189">
        <v>4434087368</v>
      </c>
      <c r="O189">
        <v>5449299769</v>
      </c>
      <c r="P189">
        <v>231</v>
      </c>
      <c r="Q189" t="s">
        <v>480</v>
      </c>
    </row>
    <row r="190" spans="1:17" x14ac:dyDescent="0.3">
      <c r="A190" t="s">
        <v>17</v>
      </c>
      <c r="B190" t="str">
        <f>"600820"</f>
        <v>600820</v>
      </c>
      <c r="C190" t="s">
        <v>481</v>
      </c>
      <c r="D190" t="s">
        <v>27</v>
      </c>
      <c r="E190">
        <v>11986967695</v>
      </c>
      <c r="F190">
        <v>10730658150</v>
      </c>
      <c r="G190">
        <v>6949641531</v>
      </c>
      <c r="H190">
        <v>9996985607</v>
      </c>
      <c r="I190">
        <v>9000488810</v>
      </c>
      <c r="J190">
        <v>8742676300</v>
      </c>
      <c r="K190">
        <v>9203326327</v>
      </c>
      <c r="L190">
        <v>7668409816</v>
      </c>
      <c r="M190">
        <v>7055316543</v>
      </c>
      <c r="N190">
        <v>5855453584</v>
      </c>
      <c r="O190">
        <v>3192467498</v>
      </c>
      <c r="P190">
        <v>685</v>
      </c>
      <c r="Q190" t="s">
        <v>482</v>
      </c>
    </row>
    <row r="191" spans="1:17" x14ac:dyDescent="0.3">
      <c r="A191" t="s">
        <v>75</v>
      </c>
      <c r="B191" t="str">
        <f>"300207"</f>
        <v>300207</v>
      </c>
      <c r="C191" t="s">
        <v>483</v>
      </c>
      <c r="D191" t="s">
        <v>131</v>
      </c>
      <c r="E191">
        <v>11923426185</v>
      </c>
      <c r="F191">
        <v>8657792436</v>
      </c>
      <c r="G191">
        <v>5979421534</v>
      </c>
      <c r="H191">
        <v>6109532520</v>
      </c>
      <c r="I191">
        <v>5061449548</v>
      </c>
      <c r="J191">
        <v>3013503158</v>
      </c>
      <c r="K191">
        <v>1920628822</v>
      </c>
      <c r="L191">
        <v>1671261629</v>
      </c>
      <c r="M191">
        <v>834393237</v>
      </c>
      <c r="N191">
        <v>469824364</v>
      </c>
      <c r="O191">
        <v>293263869</v>
      </c>
      <c r="P191">
        <v>1012</v>
      </c>
      <c r="Q191" t="s">
        <v>484</v>
      </c>
    </row>
    <row r="192" spans="1:17" x14ac:dyDescent="0.3">
      <c r="A192" t="s">
        <v>17</v>
      </c>
      <c r="B192" t="str">
        <f>"601006"</f>
        <v>601006</v>
      </c>
      <c r="C192" t="s">
        <v>485</v>
      </c>
      <c r="D192" t="s">
        <v>486</v>
      </c>
      <c r="E192">
        <v>11892239996</v>
      </c>
      <c r="F192">
        <v>14570338437</v>
      </c>
      <c r="G192">
        <v>8307213085</v>
      </c>
      <c r="H192">
        <v>12314492319</v>
      </c>
      <c r="I192">
        <v>10277961614</v>
      </c>
      <c r="J192">
        <v>9867668110</v>
      </c>
      <c r="K192">
        <v>8050420519</v>
      </c>
      <c r="L192">
        <v>12652732761</v>
      </c>
      <c r="M192">
        <v>10519320117</v>
      </c>
      <c r="N192">
        <v>9982920859</v>
      </c>
      <c r="O192">
        <v>8043501099</v>
      </c>
      <c r="P192">
        <v>4202</v>
      </c>
      <c r="Q192" t="s">
        <v>487</v>
      </c>
    </row>
    <row r="193" spans="1:17" x14ac:dyDescent="0.3">
      <c r="A193" t="s">
        <v>17</v>
      </c>
      <c r="B193" t="str">
        <f>"688223"</f>
        <v>688223</v>
      </c>
      <c r="C193" t="s">
        <v>488</v>
      </c>
      <c r="D193" t="s">
        <v>489</v>
      </c>
      <c r="E193">
        <v>11875805764</v>
      </c>
      <c r="P193">
        <v>29</v>
      </c>
      <c r="Q193" t="s">
        <v>490</v>
      </c>
    </row>
    <row r="194" spans="1:17" x14ac:dyDescent="0.3">
      <c r="A194" t="s">
        <v>75</v>
      </c>
      <c r="B194" t="str">
        <f>"000157"</f>
        <v>000157</v>
      </c>
      <c r="C194" t="s">
        <v>491</v>
      </c>
      <c r="D194" t="s">
        <v>262</v>
      </c>
      <c r="E194">
        <v>11776066915</v>
      </c>
      <c r="F194">
        <v>18676407631</v>
      </c>
      <c r="G194">
        <v>7648641220</v>
      </c>
      <c r="H194">
        <v>8172059718</v>
      </c>
      <c r="I194">
        <v>4968999306</v>
      </c>
      <c r="J194">
        <v>4710627133</v>
      </c>
      <c r="K194">
        <v>3448997435</v>
      </c>
      <c r="L194">
        <v>4740507652</v>
      </c>
      <c r="M194">
        <v>4842175578</v>
      </c>
      <c r="N194">
        <v>9207061276</v>
      </c>
      <c r="O194">
        <v>9510850748</v>
      </c>
      <c r="P194">
        <v>1683</v>
      </c>
      <c r="Q194" t="s">
        <v>492</v>
      </c>
    </row>
    <row r="195" spans="1:17" x14ac:dyDescent="0.3">
      <c r="A195" t="s">
        <v>75</v>
      </c>
      <c r="B195" t="str">
        <f>"000800"</f>
        <v>000800</v>
      </c>
      <c r="C195" t="s">
        <v>493</v>
      </c>
      <c r="D195" t="s">
        <v>494</v>
      </c>
      <c r="E195">
        <v>11675203339</v>
      </c>
      <c r="F195">
        <v>15728188910</v>
      </c>
      <c r="G195">
        <v>15950976627</v>
      </c>
      <c r="H195">
        <v>5386654752</v>
      </c>
      <c r="I195">
        <v>6501933222</v>
      </c>
      <c r="J195">
        <v>6204470049</v>
      </c>
      <c r="K195">
        <v>4005336540</v>
      </c>
      <c r="L195">
        <v>6450435470</v>
      </c>
      <c r="M195">
        <v>6277990470</v>
      </c>
      <c r="N195">
        <v>3923493978</v>
      </c>
      <c r="O195">
        <v>5986004243</v>
      </c>
      <c r="P195">
        <v>446</v>
      </c>
      <c r="Q195" t="s">
        <v>495</v>
      </c>
    </row>
    <row r="196" spans="1:17" x14ac:dyDescent="0.3">
      <c r="A196" t="s">
        <v>75</v>
      </c>
      <c r="B196" t="str">
        <f>"000983"</f>
        <v>000983</v>
      </c>
      <c r="C196" t="s">
        <v>496</v>
      </c>
      <c r="D196" t="s">
        <v>306</v>
      </c>
      <c r="E196">
        <v>11641039743</v>
      </c>
      <c r="F196">
        <v>8582489869</v>
      </c>
      <c r="G196">
        <v>7586157145</v>
      </c>
      <c r="H196">
        <v>7244650920</v>
      </c>
      <c r="I196">
        <v>6315972380</v>
      </c>
      <c r="J196">
        <v>4135887795</v>
      </c>
      <c r="K196">
        <v>3441447016</v>
      </c>
      <c r="L196">
        <v>2879299153</v>
      </c>
      <c r="M196">
        <v>4509390371</v>
      </c>
      <c r="N196">
        <v>5319539622</v>
      </c>
      <c r="O196">
        <v>8216145295</v>
      </c>
      <c r="P196">
        <v>688</v>
      </c>
      <c r="Q196" t="s">
        <v>497</v>
      </c>
    </row>
    <row r="197" spans="1:17" x14ac:dyDescent="0.3">
      <c r="A197" t="s">
        <v>17</v>
      </c>
      <c r="B197" t="str">
        <f>"600511"</f>
        <v>600511</v>
      </c>
      <c r="C197" t="s">
        <v>498</v>
      </c>
      <c r="D197" t="s">
        <v>123</v>
      </c>
      <c r="E197">
        <v>11612411412</v>
      </c>
      <c r="F197">
        <v>10898925986</v>
      </c>
      <c r="G197">
        <v>10089148114</v>
      </c>
      <c r="H197">
        <v>11080015007</v>
      </c>
      <c r="I197">
        <v>10147098920</v>
      </c>
      <c r="J197">
        <v>4075298876</v>
      </c>
      <c r="K197">
        <v>3502637176</v>
      </c>
      <c r="L197">
        <v>3346921259</v>
      </c>
      <c r="M197">
        <v>3078595339</v>
      </c>
      <c r="N197">
        <v>2571512056</v>
      </c>
      <c r="O197">
        <v>2106322603</v>
      </c>
      <c r="P197">
        <v>24746</v>
      </c>
      <c r="Q197" t="s">
        <v>499</v>
      </c>
    </row>
    <row r="198" spans="1:17" x14ac:dyDescent="0.3">
      <c r="A198" t="s">
        <v>75</v>
      </c>
      <c r="B198" t="str">
        <f>"000959"</f>
        <v>000959</v>
      </c>
      <c r="C198" t="s">
        <v>500</v>
      </c>
      <c r="D198" t="s">
        <v>68</v>
      </c>
      <c r="E198">
        <v>11611302419</v>
      </c>
      <c r="F198">
        <v>17099743388</v>
      </c>
      <c r="G198">
        <v>7839570523</v>
      </c>
      <c r="H198">
        <v>6945334588</v>
      </c>
      <c r="I198">
        <v>6627876823</v>
      </c>
      <c r="J198">
        <v>4635120486</v>
      </c>
      <c r="K198">
        <v>3567556003</v>
      </c>
      <c r="L198">
        <v>4429767288</v>
      </c>
      <c r="M198">
        <v>5833908251</v>
      </c>
      <c r="N198">
        <v>536475804</v>
      </c>
      <c r="O198">
        <v>3226565712</v>
      </c>
      <c r="P198">
        <v>254</v>
      </c>
      <c r="Q198" t="s">
        <v>501</v>
      </c>
    </row>
    <row r="199" spans="1:17" x14ac:dyDescent="0.3">
      <c r="A199" t="s">
        <v>75</v>
      </c>
      <c r="B199" t="str">
        <f>"000778"</f>
        <v>000778</v>
      </c>
      <c r="C199" t="s">
        <v>502</v>
      </c>
      <c r="D199" t="s">
        <v>324</v>
      </c>
      <c r="E199">
        <v>11575372844</v>
      </c>
      <c r="F199">
        <v>11141881154</v>
      </c>
      <c r="G199">
        <v>6173293693</v>
      </c>
      <c r="H199">
        <v>9075119654</v>
      </c>
      <c r="I199">
        <v>6225308223</v>
      </c>
      <c r="J199">
        <v>7532429418</v>
      </c>
      <c r="K199">
        <v>6790109752</v>
      </c>
      <c r="L199">
        <v>9799601910</v>
      </c>
      <c r="M199">
        <v>10764919274</v>
      </c>
      <c r="N199">
        <v>9465699119</v>
      </c>
      <c r="O199">
        <v>10906918504</v>
      </c>
      <c r="P199">
        <v>674</v>
      </c>
      <c r="Q199" t="s">
        <v>503</v>
      </c>
    </row>
    <row r="200" spans="1:17" x14ac:dyDescent="0.3">
      <c r="A200" t="s">
        <v>17</v>
      </c>
      <c r="B200" t="str">
        <f>"688036"</f>
        <v>688036</v>
      </c>
      <c r="C200" t="s">
        <v>504</v>
      </c>
      <c r="D200" t="s">
        <v>505</v>
      </c>
      <c r="E200">
        <v>11533132500</v>
      </c>
      <c r="F200">
        <v>13127051098</v>
      </c>
      <c r="G200">
        <v>6667671944</v>
      </c>
      <c r="H200">
        <v>5321496832</v>
      </c>
      <c r="I200">
        <v>0</v>
      </c>
      <c r="P200">
        <v>596</v>
      </c>
      <c r="Q200" t="s">
        <v>506</v>
      </c>
    </row>
    <row r="201" spans="1:17" x14ac:dyDescent="0.3">
      <c r="A201" t="s">
        <v>75</v>
      </c>
      <c r="B201" t="str">
        <f>"000977"</f>
        <v>000977</v>
      </c>
      <c r="C201" t="s">
        <v>507</v>
      </c>
      <c r="D201" t="s">
        <v>508</v>
      </c>
      <c r="E201">
        <v>11458095089</v>
      </c>
      <c r="F201">
        <v>12430556473</v>
      </c>
      <c r="G201">
        <v>12529342304</v>
      </c>
      <c r="H201">
        <v>9524388913</v>
      </c>
      <c r="I201">
        <v>7051953926</v>
      </c>
      <c r="J201">
        <v>3941598873</v>
      </c>
      <c r="K201">
        <v>2590860502</v>
      </c>
      <c r="L201">
        <v>1899128098</v>
      </c>
      <c r="M201">
        <v>1080991159</v>
      </c>
      <c r="N201">
        <v>539060462</v>
      </c>
      <c r="O201">
        <v>355325694</v>
      </c>
      <c r="P201">
        <v>4425</v>
      </c>
      <c r="Q201" t="s">
        <v>509</v>
      </c>
    </row>
    <row r="202" spans="1:17" x14ac:dyDescent="0.3">
      <c r="A202" t="s">
        <v>75</v>
      </c>
      <c r="B202" t="str">
        <f>"000498"</f>
        <v>000498</v>
      </c>
      <c r="C202" t="s">
        <v>510</v>
      </c>
      <c r="D202" t="s">
        <v>27</v>
      </c>
      <c r="E202">
        <v>11369557534</v>
      </c>
      <c r="F202">
        <v>8619525074</v>
      </c>
      <c r="G202">
        <v>4351369496</v>
      </c>
      <c r="H202">
        <v>4044315474</v>
      </c>
      <c r="I202">
        <v>3333139161</v>
      </c>
      <c r="J202">
        <v>2803523480</v>
      </c>
      <c r="K202">
        <v>1770112225</v>
      </c>
      <c r="L202">
        <v>1579822931</v>
      </c>
      <c r="M202">
        <v>1572341127</v>
      </c>
      <c r="N202">
        <v>1458312084</v>
      </c>
      <c r="O202">
        <v>0</v>
      </c>
      <c r="P202">
        <v>276</v>
      </c>
      <c r="Q202" t="s">
        <v>511</v>
      </c>
    </row>
    <row r="203" spans="1:17" x14ac:dyDescent="0.3">
      <c r="A203" t="s">
        <v>17</v>
      </c>
      <c r="B203" t="str">
        <f>"601018"</f>
        <v>601018</v>
      </c>
      <c r="C203" t="s">
        <v>512</v>
      </c>
      <c r="D203" t="s">
        <v>383</v>
      </c>
      <c r="E203">
        <v>11323918000</v>
      </c>
      <c r="F203">
        <v>8292791000</v>
      </c>
      <c r="G203">
        <v>4100176000</v>
      </c>
      <c r="H203">
        <v>5096685000</v>
      </c>
      <c r="I203">
        <v>5180101000</v>
      </c>
      <c r="J203">
        <v>3323760000</v>
      </c>
      <c r="K203">
        <v>4534295000</v>
      </c>
      <c r="L203">
        <v>3983554000</v>
      </c>
      <c r="M203">
        <v>2413350000</v>
      </c>
      <c r="N203">
        <v>2168235000</v>
      </c>
      <c r="O203">
        <v>1374334000</v>
      </c>
      <c r="P203">
        <v>335</v>
      </c>
      <c r="Q203" t="s">
        <v>513</v>
      </c>
    </row>
    <row r="204" spans="1:17" x14ac:dyDescent="0.3">
      <c r="A204" t="s">
        <v>75</v>
      </c>
      <c r="B204" t="str">
        <f>"000069"</f>
        <v>000069</v>
      </c>
      <c r="C204" t="s">
        <v>514</v>
      </c>
      <c r="D204" t="s">
        <v>179</v>
      </c>
      <c r="E204">
        <v>11269154980</v>
      </c>
      <c r="F204">
        <v>22141188111</v>
      </c>
      <c r="G204">
        <v>12236786726</v>
      </c>
      <c r="H204">
        <v>21807746245</v>
      </c>
      <c r="I204">
        <v>9932027424</v>
      </c>
      <c r="J204">
        <v>8511064273</v>
      </c>
      <c r="K204">
        <v>7225457877</v>
      </c>
      <c r="L204">
        <v>4542007570</v>
      </c>
      <c r="M204">
        <v>5013414474</v>
      </c>
      <c r="N204">
        <v>6578673011</v>
      </c>
      <c r="O204">
        <v>3036112591</v>
      </c>
      <c r="P204">
        <v>3953</v>
      </c>
      <c r="Q204" t="s">
        <v>515</v>
      </c>
    </row>
    <row r="205" spans="1:17" x14ac:dyDescent="0.3">
      <c r="A205" t="s">
        <v>17</v>
      </c>
      <c r="B205" t="str">
        <f>"600060"</f>
        <v>600060</v>
      </c>
      <c r="C205" t="s">
        <v>516</v>
      </c>
      <c r="D205" t="s">
        <v>287</v>
      </c>
      <c r="E205">
        <v>11260693739</v>
      </c>
      <c r="F205">
        <v>9880645585</v>
      </c>
      <c r="G205">
        <v>9296512477</v>
      </c>
      <c r="H205">
        <v>10634801107</v>
      </c>
      <c r="I205">
        <v>8181304305</v>
      </c>
      <c r="J205">
        <v>8319591957</v>
      </c>
      <c r="K205">
        <v>7633522286</v>
      </c>
      <c r="L205">
        <v>7084148787</v>
      </c>
      <c r="M205">
        <v>6660612678</v>
      </c>
      <c r="N205">
        <v>6437677400</v>
      </c>
      <c r="O205">
        <v>5562741332</v>
      </c>
      <c r="P205">
        <v>532</v>
      </c>
      <c r="Q205" t="s">
        <v>517</v>
      </c>
    </row>
    <row r="206" spans="1:17" x14ac:dyDescent="0.3">
      <c r="A206" t="s">
        <v>17</v>
      </c>
      <c r="B206" t="str">
        <f>"603225"</f>
        <v>603225</v>
      </c>
      <c r="C206" t="s">
        <v>518</v>
      </c>
      <c r="D206" t="s">
        <v>519</v>
      </c>
      <c r="E206">
        <v>11110282171</v>
      </c>
      <c r="F206">
        <v>11208632927</v>
      </c>
      <c r="G206">
        <v>5188546481</v>
      </c>
      <c r="H206">
        <v>8371152780</v>
      </c>
      <c r="I206">
        <v>5594602424</v>
      </c>
      <c r="J206">
        <v>4284822801</v>
      </c>
      <c r="K206">
        <v>3387486174</v>
      </c>
      <c r="P206">
        <v>388</v>
      </c>
      <c r="Q206" t="s">
        <v>520</v>
      </c>
    </row>
    <row r="207" spans="1:17" x14ac:dyDescent="0.3">
      <c r="A207" t="s">
        <v>75</v>
      </c>
      <c r="B207" t="str">
        <f>"002758"</f>
        <v>002758</v>
      </c>
      <c r="C207" t="s">
        <v>521</v>
      </c>
      <c r="D207" t="s">
        <v>123</v>
      </c>
      <c r="E207">
        <v>10985824898</v>
      </c>
      <c r="F207">
        <v>9116758492</v>
      </c>
      <c r="G207">
        <v>347650505</v>
      </c>
      <c r="H207">
        <v>411890372</v>
      </c>
      <c r="I207">
        <v>423951045</v>
      </c>
      <c r="J207">
        <v>307983586</v>
      </c>
      <c r="K207">
        <v>325991919</v>
      </c>
      <c r="L207">
        <v>298004013</v>
      </c>
      <c r="M207">
        <v>256608251</v>
      </c>
      <c r="P207">
        <v>180</v>
      </c>
      <c r="Q207" t="s">
        <v>522</v>
      </c>
    </row>
    <row r="208" spans="1:17" x14ac:dyDescent="0.3">
      <c r="A208" t="s">
        <v>17</v>
      </c>
      <c r="B208" t="str">
        <f>"600713"</f>
        <v>600713</v>
      </c>
      <c r="C208" t="s">
        <v>523</v>
      </c>
      <c r="D208" t="s">
        <v>123</v>
      </c>
      <c r="E208">
        <v>10969392017</v>
      </c>
      <c r="F208">
        <v>10052254774</v>
      </c>
      <c r="G208">
        <v>8418516150</v>
      </c>
      <c r="H208">
        <v>7725419195</v>
      </c>
      <c r="I208">
        <v>6724896632</v>
      </c>
      <c r="J208">
        <v>5706024673</v>
      </c>
      <c r="K208">
        <v>5464464653</v>
      </c>
      <c r="L208">
        <v>4728694716</v>
      </c>
      <c r="M208">
        <v>4664097915</v>
      </c>
      <c r="N208">
        <v>2534515573</v>
      </c>
      <c r="O208">
        <v>4380310753</v>
      </c>
      <c r="P208">
        <v>188</v>
      </c>
      <c r="Q208" t="s">
        <v>524</v>
      </c>
    </row>
    <row r="209" spans="1:17" x14ac:dyDescent="0.3">
      <c r="A209" t="s">
        <v>17</v>
      </c>
      <c r="B209" t="str">
        <f>"600180"</f>
        <v>600180</v>
      </c>
      <c r="C209" t="s">
        <v>525</v>
      </c>
      <c r="D209" t="s">
        <v>35</v>
      </c>
      <c r="E209">
        <v>10945959358</v>
      </c>
      <c r="F209">
        <v>10413943923</v>
      </c>
      <c r="G209">
        <v>8290044509</v>
      </c>
      <c r="H209">
        <v>8336752064</v>
      </c>
      <c r="I209">
        <v>11905119127</v>
      </c>
      <c r="J209">
        <v>6349114473</v>
      </c>
      <c r="K209">
        <v>2349598848</v>
      </c>
      <c r="L209">
        <v>2412119455</v>
      </c>
      <c r="M209">
        <v>2812242085</v>
      </c>
      <c r="N209">
        <v>1413134598</v>
      </c>
      <c r="O209">
        <v>0</v>
      </c>
      <c r="P209">
        <v>151</v>
      </c>
      <c r="Q209" t="s">
        <v>526</v>
      </c>
    </row>
    <row r="210" spans="1:17" x14ac:dyDescent="0.3">
      <c r="A210" t="s">
        <v>17</v>
      </c>
      <c r="B210" t="str">
        <f>"600900"</f>
        <v>600900</v>
      </c>
      <c r="C210" t="s">
        <v>527</v>
      </c>
      <c r="D210" t="s">
        <v>528</v>
      </c>
      <c r="E210">
        <v>10915866872</v>
      </c>
      <c r="F210">
        <v>10725085357</v>
      </c>
      <c r="G210">
        <v>8468644366</v>
      </c>
      <c r="H210">
        <v>9087026482</v>
      </c>
      <c r="I210">
        <v>9579228877</v>
      </c>
      <c r="J210">
        <v>8884375512</v>
      </c>
      <c r="K210">
        <v>5076797731</v>
      </c>
      <c r="L210">
        <v>4371263320</v>
      </c>
      <c r="M210">
        <v>4057346073</v>
      </c>
      <c r="N210">
        <v>3897963094</v>
      </c>
      <c r="O210">
        <v>4249981172</v>
      </c>
      <c r="P210">
        <v>5902</v>
      </c>
      <c r="Q210" t="s">
        <v>529</v>
      </c>
    </row>
    <row r="211" spans="1:17" x14ac:dyDescent="0.3">
      <c r="A211" t="s">
        <v>17</v>
      </c>
      <c r="B211" t="str">
        <f>"600111"</f>
        <v>600111</v>
      </c>
      <c r="C211" t="s">
        <v>530</v>
      </c>
      <c r="D211" t="s">
        <v>531</v>
      </c>
      <c r="E211">
        <v>10586315370</v>
      </c>
      <c r="F211">
        <v>4812669256</v>
      </c>
      <c r="G211">
        <v>3456415235</v>
      </c>
      <c r="H211">
        <v>3144506808</v>
      </c>
      <c r="I211">
        <v>2175909185</v>
      </c>
      <c r="J211">
        <v>1325302412</v>
      </c>
      <c r="K211">
        <v>843643719</v>
      </c>
      <c r="L211">
        <v>2002275254</v>
      </c>
      <c r="M211">
        <v>1101288650</v>
      </c>
      <c r="N211">
        <v>1242785545</v>
      </c>
      <c r="O211">
        <v>1982033789</v>
      </c>
      <c r="P211">
        <v>1179</v>
      </c>
      <c r="Q211" t="s">
        <v>532</v>
      </c>
    </row>
    <row r="212" spans="1:17" x14ac:dyDescent="0.3">
      <c r="A212" t="s">
        <v>75</v>
      </c>
      <c r="B212" t="str">
        <f>"200016"</f>
        <v>200016</v>
      </c>
      <c r="C212" t="s">
        <v>533</v>
      </c>
      <c r="E212">
        <v>10565777673.424</v>
      </c>
      <c r="F212">
        <v>11267358169.6185</v>
      </c>
      <c r="G212">
        <v>9289509655.2465</v>
      </c>
      <c r="H212">
        <v>13596601379.352301</v>
      </c>
      <c r="I212">
        <v>7196359851.7334995</v>
      </c>
      <c r="J212">
        <v>3954202089.2467999</v>
      </c>
      <c r="K212">
        <v>4959611871.7042999</v>
      </c>
      <c r="L212">
        <v>5380150256.25</v>
      </c>
      <c r="M212">
        <v>5278445325.6943998</v>
      </c>
      <c r="N212">
        <v>5882878183.8648005</v>
      </c>
      <c r="O212">
        <v>5052720006.684</v>
      </c>
      <c r="P212">
        <v>36</v>
      </c>
      <c r="Q212" t="s">
        <v>534</v>
      </c>
    </row>
    <row r="213" spans="1:17" x14ac:dyDescent="0.3">
      <c r="A213" t="s">
        <v>17</v>
      </c>
      <c r="B213" t="str">
        <f>"600886"</f>
        <v>600886</v>
      </c>
      <c r="C213" t="s">
        <v>535</v>
      </c>
      <c r="D213" t="s">
        <v>528</v>
      </c>
      <c r="E213">
        <v>10555965417</v>
      </c>
      <c r="F213">
        <v>9295927722</v>
      </c>
      <c r="G213">
        <v>7601601055</v>
      </c>
      <c r="H213">
        <v>10928354642</v>
      </c>
      <c r="I213">
        <v>9889617981</v>
      </c>
      <c r="J213">
        <v>7574938828</v>
      </c>
      <c r="K213">
        <v>6399644381</v>
      </c>
      <c r="L213">
        <v>8097053556</v>
      </c>
      <c r="M213">
        <v>8025385488</v>
      </c>
      <c r="N213">
        <v>7030984398</v>
      </c>
      <c r="O213">
        <v>5945405729</v>
      </c>
      <c r="P213">
        <v>2023</v>
      </c>
      <c r="Q213" t="s">
        <v>536</v>
      </c>
    </row>
    <row r="214" spans="1:17" x14ac:dyDescent="0.3">
      <c r="A214" t="s">
        <v>75</v>
      </c>
      <c r="B214" t="str">
        <f>"002244"</f>
        <v>002244</v>
      </c>
      <c r="C214" t="s">
        <v>537</v>
      </c>
      <c r="D214" t="s">
        <v>65</v>
      </c>
      <c r="E214">
        <v>10488590781</v>
      </c>
      <c r="F214">
        <v>18180606312</v>
      </c>
      <c r="G214">
        <v>8169592395</v>
      </c>
      <c r="H214">
        <v>7436989711</v>
      </c>
      <c r="I214">
        <v>3022028629</v>
      </c>
      <c r="J214">
        <v>4710264643</v>
      </c>
      <c r="K214">
        <v>5994755892</v>
      </c>
      <c r="L214">
        <v>2304996342</v>
      </c>
      <c r="M214">
        <v>1459042072</v>
      </c>
      <c r="N214">
        <v>3269724798</v>
      </c>
      <c r="O214">
        <v>908093855</v>
      </c>
      <c r="P214">
        <v>403</v>
      </c>
      <c r="Q214" t="s">
        <v>538</v>
      </c>
    </row>
    <row r="215" spans="1:17" x14ac:dyDescent="0.3">
      <c r="A215" t="s">
        <v>75</v>
      </c>
      <c r="B215" t="str">
        <f>"002078"</f>
        <v>002078</v>
      </c>
      <c r="C215" t="s">
        <v>539</v>
      </c>
      <c r="D215" t="s">
        <v>540</v>
      </c>
      <c r="E215">
        <v>10455967008</v>
      </c>
      <c r="F215">
        <v>9172957915</v>
      </c>
      <c r="G215">
        <v>5603245643</v>
      </c>
      <c r="H215">
        <v>7029299034</v>
      </c>
      <c r="I215">
        <v>5075737398</v>
      </c>
      <c r="J215">
        <v>4534081924</v>
      </c>
      <c r="K215">
        <v>3481583721</v>
      </c>
      <c r="L215">
        <v>2543506768</v>
      </c>
      <c r="M215">
        <v>3217172236</v>
      </c>
      <c r="N215">
        <v>3348997711</v>
      </c>
      <c r="O215">
        <v>3279686070</v>
      </c>
      <c r="P215">
        <v>1103</v>
      </c>
      <c r="Q215" t="s">
        <v>541</v>
      </c>
    </row>
    <row r="216" spans="1:17" x14ac:dyDescent="0.3">
      <c r="A216" t="s">
        <v>17</v>
      </c>
      <c r="B216" t="str">
        <f>"600196"</f>
        <v>600196</v>
      </c>
      <c r="C216" t="s">
        <v>542</v>
      </c>
      <c r="D216" t="s">
        <v>543</v>
      </c>
      <c r="E216">
        <v>10402546390</v>
      </c>
      <c r="F216">
        <v>8781146950</v>
      </c>
      <c r="G216">
        <v>6312668641</v>
      </c>
      <c r="H216">
        <v>6677322764</v>
      </c>
      <c r="I216">
        <v>6581033465</v>
      </c>
      <c r="J216">
        <v>4389563140</v>
      </c>
      <c r="K216">
        <v>4299883223</v>
      </c>
      <c r="L216">
        <v>3689991374</v>
      </c>
      <c r="M216">
        <v>3035922786</v>
      </c>
      <c r="N216">
        <v>2533989064</v>
      </c>
      <c r="O216">
        <v>2164267352</v>
      </c>
      <c r="P216">
        <v>3821</v>
      </c>
      <c r="Q216" t="s">
        <v>544</v>
      </c>
    </row>
    <row r="217" spans="1:17" x14ac:dyDescent="0.3">
      <c r="A217" t="s">
        <v>17</v>
      </c>
      <c r="B217" t="str">
        <f>"601877"</f>
        <v>601877</v>
      </c>
      <c r="C217" t="s">
        <v>545</v>
      </c>
      <c r="D217" t="s">
        <v>546</v>
      </c>
      <c r="E217">
        <v>10400652855</v>
      </c>
      <c r="F217">
        <v>6991077000</v>
      </c>
      <c r="G217">
        <v>5333793880</v>
      </c>
      <c r="H217">
        <v>5990501618</v>
      </c>
      <c r="I217">
        <v>5365056460</v>
      </c>
      <c r="J217">
        <v>3996433425</v>
      </c>
      <c r="K217">
        <v>2526075473</v>
      </c>
      <c r="L217">
        <v>2591347583</v>
      </c>
      <c r="M217">
        <v>2713905275</v>
      </c>
      <c r="N217">
        <v>1899445535</v>
      </c>
      <c r="O217">
        <v>2106931828</v>
      </c>
      <c r="P217">
        <v>34820</v>
      </c>
      <c r="Q217" t="s">
        <v>547</v>
      </c>
    </row>
    <row r="218" spans="1:17" x14ac:dyDescent="0.3">
      <c r="A218" t="s">
        <v>17</v>
      </c>
      <c r="B218" t="str">
        <f>"600487"</f>
        <v>600487</v>
      </c>
      <c r="C218" t="s">
        <v>548</v>
      </c>
      <c r="D218" t="s">
        <v>549</v>
      </c>
      <c r="E218">
        <v>10303228145</v>
      </c>
      <c r="F218">
        <v>7768239851</v>
      </c>
      <c r="G218">
        <v>6289102722</v>
      </c>
      <c r="H218">
        <v>6854017390</v>
      </c>
      <c r="I218">
        <v>7352651749</v>
      </c>
      <c r="J218">
        <v>4728375698</v>
      </c>
      <c r="K218">
        <v>2458916838</v>
      </c>
      <c r="L218">
        <v>1892859893</v>
      </c>
      <c r="M218">
        <v>1834874379</v>
      </c>
      <c r="N218">
        <v>1492121822</v>
      </c>
      <c r="O218">
        <v>1419600872</v>
      </c>
      <c r="P218">
        <v>2802</v>
      </c>
      <c r="Q218" t="s">
        <v>550</v>
      </c>
    </row>
    <row r="219" spans="1:17" x14ac:dyDescent="0.3">
      <c r="A219" t="s">
        <v>17</v>
      </c>
      <c r="B219" t="str">
        <f>"600569"</f>
        <v>600569</v>
      </c>
      <c r="C219" t="s">
        <v>551</v>
      </c>
      <c r="D219" t="s">
        <v>68</v>
      </c>
      <c r="E219">
        <v>10248430166</v>
      </c>
      <c r="F219">
        <v>12047969022</v>
      </c>
      <c r="G219">
        <v>5886394353</v>
      </c>
      <c r="H219">
        <v>5315146431</v>
      </c>
      <c r="I219">
        <v>6617725649</v>
      </c>
      <c r="J219">
        <v>6782050519</v>
      </c>
      <c r="K219">
        <v>5312788097</v>
      </c>
      <c r="L219">
        <v>6001202102</v>
      </c>
      <c r="M219">
        <v>6830202522</v>
      </c>
      <c r="N219">
        <v>6449069167</v>
      </c>
      <c r="O219">
        <v>6290528675</v>
      </c>
      <c r="P219">
        <v>329</v>
      </c>
      <c r="Q219" t="s">
        <v>552</v>
      </c>
    </row>
    <row r="220" spans="1:17" x14ac:dyDescent="0.3">
      <c r="A220" t="s">
        <v>17</v>
      </c>
      <c r="B220" t="str">
        <f>"600098"</f>
        <v>600098</v>
      </c>
      <c r="C220" t="s">
        <v>553</v>
      </c>
      <c r="D220" t="s">
        <v>88</v>
      </c>
      <c r="E220">
        <v>10227480534</v>
      </c>
      <c r="F220">
        <v>-42468226</v>
      </c>
      <c r="G220">
        <v>6789015728</v>
      </c>
      <c r="H220">
        <v>7491620614</v>
      </c>
      <c r="I220">
        <v>6653861676</v>
      </c>
      <c r="J220">
        <v>5393484943</v>
      </c>
      <c r="K220">
        <v>5397648130</v>
      </c>
      <c r="L220">
        <v>5209142221</v>
      </c>
      <c r="M220">
        <v>4671853610</v>
      </c>
      <c r="N220">
        <v>4030844423</v>
      </c>
      <c r="O220">
        <v>3305616961</v>
      </c>
      <c r="P220">
        <v>192</v>
      </c>
      <c r="Q220" t="s">
        <v>554</v>
      </c>
    </row>
    <row r="221" spans="1:17" x14ac:dyDescent="0.3">
      <c r="A221" t="s">
        <v>75</v>
      </c>
      <c r="B221" t="str">
        <f>"000032"</f>
        <v>000032</v>
      </c>
      <c r="C221" t="s">
        <v>555</v>
      </c>
      <c r="D221" t="s">
        <v>556</v>
      </c>
      <c r="E221">
        <v>10209037219</v>
      </c>
      <c r="F221">
        <v>405956199</v>
      </c>
      <c r="G221">
        <v>211315465</v>
      </c>
      <c r="H221">
        <v>305064472</v>
      </c>
      <c r="I221">
        <v>395538512</v>
      </c>
      <c r="J221">
        <v>345825317</v>
      </c>
      <c r="K221">
        <v>504491997</v>
      </c>
      <c r="L221">
        <v>807298911</v>
      </c>
      <c r="M221">
        <v>356645552</v>
      </c>
      <c r="N221">
        <v>411710287</v>
      </c>
      <c r="O221">
        <v>228050442</v>
      </c>
      <c r="P221">
        <v>121</v>
      </c>
      <c r="Q221" t="s">
        <v>557</v>
      </c>
    </row>
    <row r="222" spans="1:17" x14ac:dyDescent="0.3">
      <c r="A222" t="s">
        <v>17</v>
      </c>
      <c r="B222" t="str">
        <f>"600256"</f>
        <v>600256</v>
      </c>
      <c r="C222" t="s">
        <v>558</v>
      </c>
      <c r="D222" t="s">
        <v>559</v>
      </c>
      <c r="E222">
        <v>10148593798</v>
      </c>
      <c r="F222">
        <v>6040165891</v>
      </c>
      <c r="G222">
        <v>2535798479</v>
      </c>
      <c r="H222">
        <v>2887322742</v>
      </c>
      <c r="I222">
        <v>3311849585</v>
      </c>
      <c r="J222">
        <v>611109775</v>
      </c>
      <c r="K222">
        <v>772064089</v>
      </c>
      <c r="L222">
        <v>1461709847</v>
      </c>
      <c r="M222">
        <v>830922683</v>
      </c>
      <c r="N222">
        <v>886685331</v>
      </c>
      <c r="O222">
        <v>620376797</v>
      </c>
      <c r="P222">
        <v>494</v>
      </c>
      <c r="Q222" t="s">
        <v>560</v>
      </c>
    </row>
    <row r="223" spans="1:17" x14ac:dyDescent="0.3">
      <c r="A223" t="s">
        <v>17</v>
      </c>
      <c r="B223" t="str">
        <f>"600973"</f>
        <v>600973</v>
      </c>
      <c r="C223" t="s">
        <v>561</v>
      </c>
      <c r="D223" t="s">
        <v>562</v>
      </c>
      <c r="E223">
        <v>10098886447</v>
      </c>
      <c r="F223">
        <v>8912109899</v>
      </c>
      <c r="G223">
        <v>6392621188</v>
      </c>
      <c r="H223">
        <v>8321847695</v>
      </c>
      <c r="I223">
        <v>7216470408</v>
      </c>
      <c r="J223">
        <v>3463472310</v>
      </c>
      <c r="K223">
        <v>3329226139</v>
      </c>
      <c r="L223">
        <v>2401190562</v>
      </c>
      <c r="M223">
        <v>2458962607</v>
      </c>
      <c r="N223">
        <v>1931662724</v>
      </c>
      <c r="O223">
        <v>1868865686</v>
      </c>
      <c r="P223">
        <v>116</v>
      </c>
      <c r="Q223" t="s">
        <v>563</v>
      </c>
    </row>
    <row r="224" spans="1:17" x14ac:dyDescent="0.3">
      <c r="A224" t="s">
        <v>75</v>
      </c>
      <c r="B224" t="str">
        <f>"002459"</f>
        <v>002459</v>
      </c>
      <c r="C224" t="s">
        <v>564</v>
      </c>
      <c r="D224" t="s">
        <v>417</v>
      </c>
      <c r="E224">
        <v>10078878139</v>
      </c>
      <c r="F224">
        <v>4943904218</v>
      </c>
      <c r="G224">
        <v>3979037088</v>
      </c>
      <c r="H224">
        <v>133982415</v>
      </c>
      <c r="I224">
        <v>71142960</v>
      </c>
      <c r="J224">
        <v>63334336</v>
      </c>
      <c r="K224">
        <v>80225580</v>
      </c>
      <c r="L224">
        <v>82906534</v>
      </c>
      <c r="M224">
        <v>236840208</v>
      </c>
      <c r="N224">
        <v>147867742</v>
      </c>
      <c r="O224">
        <v>141080210</v>
      </c>
      <c r="P224">
        <v>1227</v>
      </c>
      <c r="Q224" t="s">
        <v>565</v>
      </c>
    </row>
    <row r="225" spans="1:17" x14ac:dyDescent="0.3">
      <c r="A225" t="s">
        <v>75</v>
      </c>
      <c r="B225" t="str">
        <f>"002938"</f>
        <v>002938</v>
      </c>
      <c r="C225" t="s">
        <v>566</v>
      </c>
      <c r="D225" t="s">
        <v>567</v>
      </c>
      <c r="E225">
        <v>9985962988</v>
      </c>
      <c r="F225">
        <v>8842265475</v>
      </c>
      <c r="G225">
        <v>6908075537</v>
      </c>
      <c r="H225">
        <v>6652459530</v>
      </c>
      <c r="I225">
        <v>9018375127</v>
      </c>
      <c r="P225">
        <v>961</v>
      </c>
      <c r="Q225" t="s">
        <v>568</v>
      </c>
    </row>
    <row r="226" spans="1:17" x14ac:dyDescent="0.3">
      <c r="A226" t="s">
        <v>75</v>
      </c>
      <c r="B226" t="str">
        <f>"002061"</f>
        <v>002061</v>
      </c>
      <c r="C226" t="s">
        <v>569</v>
      </c>
      <c r="D226" t="s">
        <v>27</v>
      </c>
      <c r="E226">
        <v>9948596774</v>
      </c>
      <c r="F226">
        <v>7485951529</v>
      </c>
      <c r="G226">
        <v>7348829568</v>
      </c>
      <c r="H226">
        <v>5813928569</v>
      </c>
      <c r="I226">
        <v>6148209419</v>
      </c>
      <c r="J226">
        <v>738229203</v>
      </c>
      <c r="K226">
        <v>236967326</v>
      </c>
      <c r="L226">
        <v>313224588</v>
      </c>
      <c r="M226">
        <v>235300284</v>
      </c>
      <c r="N226">
        <v>125078125</v>
      </c>
      <c r="O226">
        <v>83078343</v>
      </c>
      <c r="P226">
        <v>215</v>
      </c>
      <c r="Q226" t="s">
        <v>570</v>
      </c>
    </row>
    <row r="227" spans="1:17" x14ac:dyDescent="0.3">
      <c r="A227" t="s">
        <v>17</v>
      </c>
      <c r="B227" t="str">
        <f>"600981"</f>
        <v>600981</v>
      </c>
      <c r="C227" t="s">
        <v>571</v>
      </c>
      <c r="D227" t="s">
        <v>142</v>
      </c>
      <c r="E227">
        <v>9858108119</v>
      </c>
      <c r="F227">
        <v>13537620451</v>
      </c>
      <c r="G227">
        <v>7242110646</v>
      </c>
      <c r="H227">
        <v>9586441295</v>
      </c>
      <c r="I227">
        <v>8848892695</v>
      </c>
      <c r="J227">
        <v>7407356367</v>
      </c>
      <c r="K227">
        <v>7330702112</v>
      </c>
      <c r="L227">
        <v>1747902365</v>
      </c>
      <c r="M227">
        <v>2197011313</v>
      </c>
      <c r="N227">
        <v>1554650281</v>
      </c>
      <c r="O227">
        <v>1801157314</v>
      </c>
      <c r="P227">
        <v>99</v>
      </c>
      <c r="Q227" t="s">
        <v>572</v>
      </c>
    </row>
    <row r="228" spans="1:17" x14ac:dyDescent="0.3">
      <c r="A228" t="s">
        <v>75</v>
      </c>
      <c r="B228" t="str">
        <f>"002146"</f>
        <v>002146</v>
      </c>
      <c r="C228" t="s">
        <v>573</v>
      </c>
      <c r="D228" t="s">
        <v>65</v>
      </c>
      <c r="E228">
        <v>9733897651</v>
      </c>
      <c r="F228">
        <v>15853291029</v>
      </c>
      <c r="G228">
        <v>9773796178</v>
      </c>
      <c r="H228">
        <v>13115101201</v>
      </c>
      <c r="I228">
        <v>13097221461</v>
      </c>
      <c r="J228">
        <v>12818207943</v>
      </c>
      <c r="K228">
        <v>5775871215</v>
      </c>
      <c r="L228">
        <v>3601505996</v>
      </c>
      <c r="M228">
        <v>5135896951</v>
      </c>
      <c r="N228">
        <v>3927471650</v>
      </c>
      <c r="O228">
        <v>2095010962</v>
      </c>
      <c r="P228">
        <v>12588</v>
      </c>
      <c r="Q228" t="s">
        <v>574</v>
      </c>
    </row>
    <row r="229" spans="1:17" x14ac:dyDescent="0.3">
      <c r="A229" t="s">
        <v>75</v>
      </c>
      <c r="B229" t="str">
        <f>"002171"</f>
        <v>002171</v>
      </c>
      <c r="C229" t="s">
        <v>575</v>
      </c>
      <c r="D229" t="s">
        <v>45</v>
      </c>
      <c r="E229">
        <v>9689660112</v>
      </c>
      <c r="F229">
        <v>7521395390</v>
      </c>
      <c r="G229">
        <v>3907647155</v>
      </c>
      <c r="H229">
        <v>3100258980</v>
      </c>
      <c r="I229">
        <v>3284658212</v>
      </c>
      <c r="J229">
        <v>2294881418</v>
      </c>
      <c r="K229">
        <v>1736614754</v>
      </c>
      <c r="L229">
        <v>1882730897</v>
      </c>
      <c r="M229">
        <v>949238147</v>
      </c>
      <c r="N229">
        <v>873022679</v>
      </c>
      <c r="O229">
        <v>761099839</v>
      </c>
      <c r="P229">
        <v>237</v>
      </c>
      <c r="Q229" t="s">
        <v>576</v>
      </c>
    </row>
    <row r="230" spans="1:17" x14ac:dyDescent="0.3">
      <c r="A230" t="s">
        <v>75</v>
      </c>
      <c r="B230" t="str">
        <f>"000933"</f>
        <v>000933</v>
      </c>
      <c r="C230" t="s">
        <v>577</v>
      </c>
      <c r="D230" t="s">
        <v>96</v>
      </c>
      <c r="E230">
        <v>9642830931</v>
      </c>
      <c r="F230">
        <v>7200663257</v>
      </c>
      <c r="G230">
        <v>3386294850</v>
      </c>
      <c r="H230">
        <v>3753936784</v>
      </c>
      <c r="I230">
        <v>3537202374</v>
      </c>
      <c r="J230">
        <v>3750657976</v>
      </c>
      <c r="K230">
        <v>3063745237</v>
      </c>
      <c r="L230">
        <v>4158832126</v>
      </c>
      <c r="M230">
        <v>3998358977</v>
      </c>
      <c r="N230">
        <v>4955190220</v>
      </c>
      <c r="O230">
        <v>5299447385</v>
      </c>
      <c r="P230">
        <v>461</v>
      </c>
      <c r="Q230" t="s">
        <v>578</v>
      </c>
    </row>
    <row r="231" spans="1:17" x14ac:dyDescent="0.3">
      <c r="A231" t="s">
        <v>17</v>
      </c>
      <c r="B231" t="str">
        <f>"601168"</f>
        <v>601168</v>
      </c>
      <c r="C231" t="s">
        <v>579</v>
      </c>
      <c r="D231" t="s">
        <v>45</v>
      </c>
      <c r="E231">
        <v>9496245367</v>
      </c>
      <c r="F231">
        <v>8941092913</v>
      </c>
      <c r="G231">
        <v>6439715700</v>
      </c>
      <c r="H231">
        <v>9057652313</v>
      </c>
      <c r="I231">
        <v>7446505045</v>
      </c>
      <c r="J231">
        <v>6895197943</v>
      </c>
      <c r="K231">
        <v>7216003047</v>
      </c>
      <c r="L231">
        <v>4656353855</v>
      </c>
      <c r="M231">
        <v>4612948193</v>
      </c>
      <c r="N231">
        <v>3545960774</v>
      </c>
      <c r="O231">
        <v>4977348274</v>
      </c>
      <c r="P231">
        <v>392</v>
      </c>
      <c r="Q231" t="s">
        <v>580</v>
      </c>
    </row>
    <row r="232" spans="1:17" x14ac:dyDescent="0.3">
      <c r="A232" t="s">
        <v>17</v>
      </c>
      <c r="B232" t="str">
        <f>"600859"</f>
        <v>600859</v>
      </c>
      <c r="C232" t="s">
        <v>581</v>
      </c>
      <c r="D232" t="s">
        <v>582</v>
      </c>
      <c r="E232">
        <v>9488598672</v>
      </c>
      <c r="F232">
        <v>7781948973</v>
      </c>
      <c r="G232">
        <v>4746260250</v>
      </c>
      <c r="H232">
        <v>8100730265</v>
      </c>
      <c r="I232">
        <v>8223265245</v>
      </c>
      <c r="J232">
        <v>5939098402</v>
      </c>
      <c r="K232">
        <v>5230043877</v>
      </c>
      <c r="L232">
        <v>5570006772</v>
      </c>
      <c r="M232">
        <v>5709016022</v>
      </c>
      <c r="N232">
        <v>6381387271</v>
      </c>
      <c r="O232">
        <v>5813213613</v>
      </c>
      <c r="P232">
        <v>553</v>
      </c>
      <c r="Q232" t="s">
        <v>583</v>
      </c>
    </row>
    <row r="233" spans="1:17" x14ac:dyDescent="0.3">
      <c r="A233" t="s">
        <v>17</v>
      </c>
      <c r="B233" t="str">
        <f>"600418"</f>
        <v>600418</v>
      </c>
      <c r="C233" t="s">
        <v>584</v>
      </c>
      <c r="D233" t="s">
        <v>494</v>
      </c>
      <c r="E233">
        <v>9385525080</v>
      </c>
      <c r="F233">
        <v>12386887830</v>
      </c>
      <c r="G233">
        <v>4722094685</v>
      </c>
      <c r="H233">
        <v>8792594137</v>
      </c>
      <c r="I233">
        <v>5199998608</v>
      </c>
      <c r="J233">
        <v>7262271151</v>
      </c>
      <c r="K233">
        <v>11211724337</v>
      </c>
      <c r="L233">
        <v>7720626765</v>
      </c>
      <c r="M233">
        <v>6557221166</v>
      </c>
      <c r="N233">
        <v>5219202711</v>
      </c>
      <c r="O233">
        <v>3646161145</v>
      </c>
      <c r="P233">
        <v>429</v>
      </c>
      <c r="Q233" t="s">
        <v>585</v>
      </c>
    </row>
    <row r="234" spans="1:17" x14ac:dyDescent="0.3">
      <c r="A234" t="s">
        <v>17</v>
      </c>
      <c r="B234" t="str">
        <f>"600166"</f>
        <v>600166</v>
      </c>
      <c r="C234" t="s">
        <v>586</v>
      </c>
      <c r="D234" t="s">
        <v>494</v>
      </c>
      <c r="E234">
        <v>9366239974</v>
      </c>
      <c r="F234">
        <v>7464666694</v>
      </c>
      <c r="G234">
        <v>5428700026</v>
      </c>
      <c r="H234">
        <v>6317884166</v>
      </c>
      <c r="I234">
        <v>6220467316</v>
      </c>
      <c r="J234">
        <v>6358786107</v>
      </c>
      <c r="K234">
        <v>5534512029</v>
      </c>
      <c r="L234">
        <v>4450584894</v>
      </c>
      <c r="M234">
        <v>4593596074</v>
      </c>
      <c r="N234">
        <v>5339685404</v>
      </c>
      <c r="O234">
        <v>5092518575</v>
      </c>
      <c r="P234">
        <v>439</v>
      </c>
      <c r="Q234" t="s">
        <v>587</v>
      </c>
    </row>
    <row r="235" spans="1:17" x14ac:dyDescent="0.3">
      <c r="A235" t="s">
        <v>17</v>
      </c>
      <c r="B235" t="str">
        <f>"600623"</f>
        <v>600623</v>
      </c>
      <c r="C235" t="s">
        <v>588</v>
      </c>
      <c r="D235" t="s">
        <v>589</v>
      </c>
      <c r="E235">
        <v>9191034665</v>
      </c>
      <c r="F235">
        <v>9171335117</v>
      </c>
      <c r="G235">
        <v>6918253673</v>
      </c>
      <c r="H235">
        <v>12269480823</v>
      </c>
      <c r="I235">
        <v>13661718005</v>
      </c>
      <c r="J235">
        <v>13087172871</v>
      </c>
      <c r="K235">
        <v>9984688855</v>
      </c>
      <c r="L235">
        <v>3358718202</v>
      </c>
      <c r="M235">
        <v>3365938754</v>
      </c>
      <c r="N235">
        <v>2775840576</v>
      </c>
      <c r="O235">
        <v>2888891268</v>
      </c>
      <c r="P235">
        <v>241</v>
      </c>
      <c r="Q235" t="s">
        <v>590</v>
      </c>
    </row>
    <row r="236" spans="1:17" x14ac:dyDescent="0.3">
      <c r="A236" t="s">
        <v>75</v>
      </c>
      <c r="B236" t="str">
        <f>"000937"</f>
        <v>000937</v>
      </c>
      <c r="C236" t="s">
        <v>591</v>
      </c>
      <c r="D236" t="s">
        <v>306</v>
      </c>
      <c r="E236">
        <v>9082462023</v>
      </c>
      <c r="F236">
        <v>6143913546</v>
      </c>
      <c r="G236">
        <v>4705973047</v>
      </c>
      <c r="H236">
        <v>4930026960</v>
      </c>
      <c r="I236">
        <v>4884501033</v>
      </c>
      <c r="J236">
        <v>3737187587</v>
      </c>
      <c r="K236">
        <v>2187743957</v>
      </c>
      <c r="L236">
        <v>4071000617</v>
      </c>
      <c r="M236">
        <v>5199124840</v>
      </c>
      <c r="N236">
        <v>7285546980</v>
      </c>
      <c r="O236">
        <v>7833866063</v>
      </c>
      <c r="P236">
        <v>350</v>
      </c>
      <c r="Q236" t="s">
        <v>592</v>
      </c>
    </row>
    <row r="237" spans="1:17" x14ac:dyDescent="0.3">
      <c r="A237" t="s">
        <v>17</v>
      </c>
      <c r="B237" t="str">
        <f>"601666"</f>
        <v>601666</v>
      </c>
      <c r="C237" t="s">
        <v>593</v>
      </c>
      <c r="D237" t="s">
        <v>306</v>
      </c>
      <c r="E237">
        <v>9016345202</v>
      </c>
      <c r="F237">
        <v>5566222683</v>
      </c>
      <c r="G237">
        <v>4762347698</v>
      </c>
      <c r="H237">
        <v>5169505699</v>
      </c>
      <c r="I237">
        <v>4890363585</v>
      </c>
      <c r="J237">
        <v>4117027477</v>
      </c>
      <c r="K237">
        <v>1362856562</v>
      </c>
      <c r="L237">
        <v>3407013066</v>
      </c>
      <c r="M237">
        <v>3856613630</v>
      </c>
      <c r="N237">
        <v>3653749897</v>
      </c>
      <c r="O237">
        <v>5119083860</v>
      </c>
      <c r="P237">
        <v>401</v>
      </c>
      <c r="Q237" t="s">
        <v>594</v>
      </c>
    </row>
    <row r="238" spans="1:17" x14ac:dyDescent="0.3">
      <c r="A238" t="s">
        <v>17</v>
      </c>
      <c r="B238" t="str">
        <f>"600809"</f>
        <v>600809</v>
      </c>
      <c r="C238" t="s">
        <v>595</v>
      </c>
      <c r="D238" t="s">
        <v>201</v>
      </c>
      <c r="E238">
        <v>8871734186</v>
      </c>
      <c r="F238">
        <v>5159863965</v>
      </c>
      <c r="G238">
        <v>3784002953</v>
      </c>
      <c r="H238">
        <v>5662852729</v>
      </c>
      <c r="I238">
        <v>2151235338</v>
      </c>
      <c r="J238">
        <v>1326726934</v>
      </c>
      <c r="K238">
        <v>1101030411</v>
      </c>
      <c r="L238">
        <v>1168149947</v>
      </c>
      <c r="M238">
        <v>1517090581</v>
      </c>
      <c r="N238">
        <v>1821986802</v>
      </c>
      <c r="O238">
        <v>1872394224</v>
      </c>
      <c r="P238">
        <v>3742</v>
      </c>
      <c r="Q238" t="s">
        <v>596</v>
      </c>
    </row>
    <row r="239" spans="1:17" x14ac:dyDescent="0.3">
      <c r="A239" t="s">
        <v>75</v>
      </c>
      <c r="B239" t="str">
        <f>"000538"</f>
        <v>000538</v>
      </c>
      <c r="C239" t="s">
        <v>597</v>
      </c>
      <c r="D239" t="s">
        <v>321</v>
      </c>
      <c r="E239">
        <v>8868217237</v>
      </c>
      <c r="F239">
        <v>8565705656</v>
      </c>
      <c r="G239">
        <v>8309022458</v>
      </c>
      <c r="H239">
        <v>7234093961</v>
      </c>
      <c r="I239">
        <v>7574687893</v>
      </c>
      <c r="J239">
        <v>5918781150</v>
      </c>
      <c r="K239">
        <v>6542278087</v>
      </c>
      <c r="L239">
        <v>5273715051</v>
      </c>
      <c r="M239">
        <v>4877102397</v>
      </c>
      <c r="N239">
        <v>3512648767</v>
      </c>
      <c r="O239">
        <v>2937773527</v>
      </c>
      <c r="P239">
        <v>30717</v>
      </c>
      <c r="Q239" t="s">
        <v>598</v>
      </c>
    </row>
    <row r="240" spans="1:17" x14ac:dyDescent="0.3">
      <c r="A240" t="s">
        <v>17</v>
      </c>
      <c r="B240" t="str">
        <f>"600927"</f>
        <v>600927</v>
      </c>
      <c r="C240" t="s">
        <v>599</v>
      </c>
      <c r="D240" t="s">
        <v>600</v>
      </c>
      <c r="E240">
        <v>8860910062</v>
      </c>
      <c r="P240">
        <v>22</v>
      </c>
      <c r="Q240" t="s">
        <v>601</v>
      </c>
    </row>
    <row r="241" spans="1:17" x14ac:dyDescent="0.3">
      <c r="A241" t="s">
        <v>75</v>
      </c>
      <c r="B241" t="str">
        <f>"000807"</f>
        <v>000807</v>
      </c>
      <c r="C241" t="s">
        <v>602</v>
      </c>
      <c r="D241" t="s">
        <v>96</v>
      </c>
      <c r="E241">
        <v>8859055075</v>
      </c>
      <c r="F241">
        <v>7436788607</v>
      </c>
      <c r="G241">
        <v>5098090186</v>
      </c>
      <c r="H241">
        <v>4689351258</v>
      </c>
      <c r="I241">
        <v>5316543011</v>
      </c>
      <c r="J241">
        <v>4396662785</v>
      </c>
      <c r="K241">
        <v>4124494924</v>
      </c>
      <c r="L241">
        <v>2951462319</v>
      </c>
      <c r="M241">
        <v>4941196241</v>
      </c>
      <c r="N241">
        <v>2476072030</v>
      </c>
      <c r="O241">
        <v>2126114316</v>
      </c>
      <c r="P241">
        <v>551</v>
      </c>
      <c r="Q241" t="s">
        <v>603</v>
      </c>
    </row>
    <row r="242" spans="1:17" x14ac:dyDescent="0.3">
      <c r="A242" t="s">
        <v>17</v>
      </c>
      <c r="B242" t="str">
        <f>"688819"</f>
        <v>688819</v>
      </c>
      <c r="C242" t="s">
        <v>604</v>
      </c>
      <c r="D242" t="s">
        <v>605</v>
      </c>
      <c r="E242">
        <v>8858338309</v>
      </c>
      <c r="F242">
        <v>7321054323</v>
      </c>
      <c r="P242">
        <v>159</v>
      </c>
      <c r="Q242" t="s">
        <v>606</v>
      </c>
    </row>
    <row r="243" spans="1:17" x14ac:dyDescent="0.3">
      <c r="A243" t="s">
        <v>75</v>
      </c>
      <c r="B243" t="str">
        <f>"002010"</f>
        <v>002010</v>
      </c>
      <c r="C243" t="s">
        <v>607</v>
      </c>
      <c r="D243" t="s">
        <v>608</v>
      </c>
      <c r="E243">
        <v>8828400342</v>
      </c>
      <c r="F243">
        <v>7153734639</v>
      </c>
      <c r="G243">
        <v>3636260640</v>
      </c>
      <c r="H243">
        <v>4719293625</v>
      </c>
      <c r="I243">
        <v>5066687863</v>
      </c>
      <c r="J243">
        <v>3055196484</v>
      </c>
      <c r="K243">
        <v>891363796</v>
      </c>
      <c r="L243">
        <v>643962167</v>
      </c>
      <c r="M243">
        <v>552251716</v>
      </c>
      <c r="N243">
        <v>503183391</v>
      </c>
      <c r="O243">
        <v>483816639</v>
      </c>
      <c r="P243">
        <v>279</v>
      </c>
      <c r="Q243" t="s">
        <v>609</v>
      </c>
    </row>
    <row r="244" spans="1:17" x14ac:dyDescent="0.3">
      <c r="A244" t="s">
        <v>75</v>
      </c>
      <c r="B244" t="str">
        <f>"000050"</f>
        <v>000050</v>
      </c>
      <c r="C244" t="s">
        <v>610</v>
      </c>
      <c r="D244" t="s">
        <v>128</v>
      </c>
      <c r="E244">
        <v>8819931860</v>
      </c>
      <c r="F244">
        <v>8080833450</v>
      </c>
      <c r="G244">
        <v>7968894090</v>
      </c>
      <c r="H244">
        <v>8035043592</v>
      </c>
      <c r="I244">
        <v>6937110000</v>
      </c>
      <c r="J244">
        <v>2773430692</v>
      </c>
      <c r="K244">
        <v>2541442528</v>
      </c>
      <c r="L244">
        <v>3227401118</v>
      </c>
      <c r="M244">
        <v>1472258596</v>
      </c>
      <c r="N244">
        <v>1366055495</v>
      </c>
      <c r="O244">
        <v>1216848084</v>
      </c>
      <c r="P244">
        <v>621</v>
      </c>
      <c r="Q244" t="s">
        <v>611</v>
      </c>
    </row>
    <row r="245" spans="1:17" x14ac:dyDescent="0.3">
      <c r="A245" t="s">
        <v>17</v>
      </c>
      <c r="B245" t="str">
        <f>"600584"</f>
        <v>600584</v>
      </c>
      <c r="C245" t="s">
        <v>612</v>
      </c>
      <c r="D245" t="s">
        <v>613</v>
      </c>
      <c r="E245">
        <v>8814499530</v>
      </c>
      <c r="F245">
        <v>7439029444</v>
      </c>
      <c r="G245">
        <v>6034987407</v>
      </c>
      <c r="H245">
        <v>5409211255</v>
      </c>
      <c r="I245">
        <v>5416180516</v>
      </c>
      <c r="J245">
        <v>5243960865</v>
      </c>
      <c r="K245">
        <v>3692874822</v>
      </c>
      <c r="L245">
        <v>1698471929</v>
      </c>
      <c r="M245">
        <v>1356657041</v>
      </c>
      <c r="N245">
        <v>1105106029</v>
      </c>
      <c r="O245">
        <v>796761581</v>
      </c>
      <c r="P245">
        <v>1664</v>
      </c>
      <c r="Q245" t="s">
        <v>614</v>
      </c>
    </row>
    <row r="246" spans="1:17" x14ac:dyDescent="0.3">
      <c r="A246" t="s">
        <v>75</v>
      </c>
      <c r="B246" t="str">
        <f>"000078"</f>
        <v>000078</v>
      </c>
      <c r="C246" t="s">
        <v>615</v>
      </c>
      <c r="D246" t="s">
        <v>123</v>
      </c>
      <c r="E246">
        <v>8812229418</v>
      </c>
      <c r="F246">
        <v>9579835452</v>
      </c>
      <c r="G246">
        <v>9258487562</v>
      </c>
      <c r="H246">
        <v>9592409164</v>
      </c>
      <c r="I246">
        <v>7214678656</v>
      </c>
      <c r="J246">
        <v>3070163145</v>
      </c>
      <c r="K246">
        <v>2409744392</v>
      </c>
      <c r="L246">
        <v>2136880455</v>
      </c>
      <c r="M246">
        <v>1905715677</v>
      </c>
      <c r="N246">
        <v>1738331083</v>
      </c>
      <c r="O246">
        <v>1554303372</v>
      </c>
      <c r="P246">
        <v>291</v>
      </c>
      <c r="Q246" t="s">
        <v>616</v>
      </c>
    </row>
    <row r="247" spans="1:17" x14ac:dyDescent="0.3">
      <c r="A247" t="s">
        <v>17</v>
      </c>
      <c r="B247" t="str">
        <f>"600376"</f>
        <v>600376</v>
      </c>
      <c r="C247" t="s">
        <v>617</v>
      </c>
      <c r="D247" t="s">
        <v>65</v>
      </c>
      <c r="E247">
        <v>8748594881</v>
      </c>
      <c r="F247">
        <v>12972007930</v>
      </c>
      <c r="G247">
        <v>6993243244</v>
      </c>
      <c r="H247">
        <v>8949866966</v>
      </c>
      <c r="I247">
        <v>7925350215</v>
      </c>
      <c r="J247">
        <v>10232916790</v>
      </c>
      <c r="K247">
        <v>8266291742</v>
      </c>
      <c r="L247">
        <v>3737672607</v>
      </c>
      <c r="M247">
        <v>3216499409</v>
      </c>
      <c r="N247">
        <v>6041883143</v>
      </c>
      <c r="O247">
        <v>1959942248</v>
      </c>
      <c r="P247">
        <v>1101</v>
      </c>
      <c r="Q247" t="s">
        <v>618</v>
      </c>
    </row>
    <row r="248" spans="1:17" x14ac:dyDescent="0.3">
      <c r="A248" t="s">
        <v>17</v>
      </c>
      <c r="B248" t="str">
        <f>"603995"</f>
        <v>603995</v>
      </c>
      <c r="C248" t="s">
        <v>619</v>
      </c>
      <c r="D248" t="s">
        <v>238</v>
      </c>
      <c r="E248">
        <v>8746762311</v>
      </c>
      <c r="F248">
        <v>6935895636</v>
      </c>
      <c r="G248">
        <v>3434682102</v>
      </c>
      <c r="H248">
        <v>3454624724</v>
      </c>
      <c r="P248">
        <v>128</v>
      </c>
      <c r="Q248" t="s">
        <v>620</v>
      </c>
    </row>
    <row r="249" spans="1:17" x14ac:dyDescent="0.3">
      <c r="A249" t="s">
        <v>75</v>
      </c>
      <c r="B249" t="str">
        <f>"300058"</f>
        <v>300058</v>
      </c>
      <c r="C249" t="s">
        <v>621</v>
      </c>
      <c r="D249" t="s">
        <v>622</v>
      </c>
      <c r="E249">
        <v>8672914288</v>
      </c>
      <c r="F249">
        <v>12312326729</v>
      </c>
      <c r="G249">
        <v>9009025902</v>
      </c>
      <c r="H249">
        <v>6734028337</v>
      </c>
      <c r="I249">
        <v>4857260200</v>
      </c>
      <c r="J249">
        <v>3940332150</v>
      </c>
      <c r="K249">
        <v>2367084807</v>
      </c>
      <c r="L249">
        <v>1801255971</v>
      </c>
      <c r="M249">
        <v>1386158275</v>
      </c>
      <c r="N249">
        <v>615380070</v>
      </c>
      <c r="O249">
        <v>345398071</v>
      </c>
      <c r="P249">
        <v>457</v>
      </c>
      <c r="Q249" t="s">
        <v>623</v>
      </c>
    </row>
    <row r="250" spans="1:17" x14ac:dyDescent="0.3">
      <c r="A250" t="s">
        <v>17</v>
      </c>
      <c r="B250" t="str">
        <f>"600597"</f>
        <v>600597</v>
      </c>
      <c r="C250" t="s">
        <v>624</v>
      </c>
      <c r="D250" t="s">
        <v>215</v>
      </c>
      <c r="E250">
        <v>8649342670</v>
      </c>
      <c r="F250">
        <v>7589391809</v>
      </c>
      <c r="G250">
        <v>5614357613</v>
      </c>
      <c r="H250">
        <v>6000932567</v>
      </c>
      <c r="I250">
        <v>6099713139</v>
      </c>
      <c r="J250">
        <v>5525997190</v>
      </c>
      <c r="K250">
        <v>5724973211</v>
      </c>
      <c r="L250">
        <v>5396598321</v>
      </c>
      <c r="M250">
        <v>4817170495</v>
      </c>
      <c r="N250">
        <v>3740265015</v>
      </c>
      <c r="O250">
        <v>3341962778</v>
      </c>
      <c r="P250">
        <v>1247</v>
      </c>
      <c r="Q250" t="s">
        <v>625</v>
      </c>
    </row>
    <row r="251" spans="1:17" x14ac:dyDescent="0.3">
      <c r="A251" t="s">
        <v>75</v>
      </c>
      <c r="B251" t="str">
        <f>"002600"</f>
        <v>002600</v>
      </c>
      <c r="C251" t="s">
        <v>626</v>
      </c>
      <c r="D251" t="s">
        <v>55</v>
      </c>
      <c r="E251">
        <v>8632311703</v>
      </c>
      <c r="F251">
        <v>7406200289</v>
      </c>
      <c r="G251">
        <v>7216060693</v>
      </c>
      <c r="H251">
        <v>6497195505</v>
      </c>
      <c r="I251">
        <v>6575382578</v>
      </c>
      <c r="J251">
        <v>3491215765</v>
      </c>
      <c r="K251">
        <v>1674782644</v>
      </c>
      <c r="L251">
        <v>697395114</v>
      </c>
      <c r="M251">
        <v>335837637</v>
      </c>
      <c r="N251">
        <v>256195867</v>
      </c>
      <c r="O251">
        <v>205121302</v>
      </c>
      <c r="P251">
        <v>877</v>
      </c>
      <c r="Q251" t="s">
        <v>627</v>
      </c>
    </row>
    <row r="252" spans="1:17" x14ac:dyDescent="0.3">
      <c r="A252" t="s">
        <v>17</v>
      </c>
      <c r="B252" t="str">
        <f>"600307"</f>
        <v>600307</v>
      </c>
      <c r="C252" t="s">
        <v>628</v>
      </c>
      <c r="D252" t="s">
        <v>68</v>
      </c>
      <c r="E252">
        <v>8631806546</v>
      </c>
      <c r="F252">
        <v>6667833151</v>
      </c>
      <c r="G252">
        <v>4929614077</v>
      </c>
      <c r="H252">
        <v>8238399278</v>
      </c>
      <c r="I252">
        <v>7543272889</v>
      </c>
      <c r="J252">
        <v>8331325040</v>
      </c>
      <c r="K252">
        <v>8232977654</v>
      </c>
      <c r="L252">
        <v>17428195187</v>
      </c>
      <c r="M252">
        <v>23045695561</v>
      </c>
      <c r="N252">
        <v>18027413894</v>
      </c>
      <c r="O252">
        <v>13166171674</v>
      </c>
      <c r="P252">
        <v>211</v>
      </c>
      <c r="Q252" t="s">
        <v>629</v>
      </c>
    </row>
    <row r="253" spans="1:17" x14ac:dyDescent="0.3">
      <c r="A253" t="s">
        <v>75</v>
      </c>
      <c r="B253" t="str">
        <f>"002532"</f>
        <v>002532</v>
      </c>
      <c r="C253" t="s">
        <v>630</v>
      </c>
      <c r="D253" t="s">
        <v>96</v>
      </c>
      <c r="E253">
        <v>8619809964</v>
      </c>
      <c r="F253">
        <v>6026581744</v>
      </c>
      <c r="G253">
        <v>339361887</v>
      </c>
      <c r="H253">
        <v>324193507</v>
      </c>
      <c r="I253">
        <v>380362549</v>
      </c>
      <c r="J253">
        <v>321786834</v>
      </c>
      <c r="K253">
        <v>303813529</v>
      </c>
      <c r="L253">
        <v>212451852</v>
      </c>
      <c r="M253">
        <v>206093936</v>
      </c>
      <c r="N253">
        <v>176236321</v>
      </c>
      <c r="O253">
        <v>177609673</v>
      </c>
      <c r="P253">
        <v>424</v>
      </c>
      <c r="Q253" t="s">
        <v>631</v>
      </c>
    </row>
    <row r="254" spans="1:17" x14ac:dyDescent="0.3">
      <c r="A254" t="s">
        <v>75</v>
      </c>
      <c r="B254" t="str">
        <f>"001289"</f>
        <v>001289</v>
      </c>
      <c r="C254" t="s">
        <v>632</v>
      </c>
      <c r="E254">
        <v>8572992803</v>
      </c>
      <c r="F254">
        <v>6579448686</v>
      </c>
      <c r="P254">
        <v>28</v>
      </c>
      <c r="Q254" t="s">
        <v>633</v>
      </c>
    </row>
    <row r="255" spans="1:17" x14ac:dyDescent="0.3">
      <c r="A255" t="s">
        <v>75</v>
      </c>
      <c r="B255" t="str">
        <f>"000016"</f>
        <v>000016</v>
      </c>
      <c r="C255" t="s">
        <v>634</v>
      </c>
      <c r="D255" t="s">
        <v>287</v>
      </c>
      <c r="E255">
        <v>8562218536</v>
      </c>
      <c r="F255">
        <v>9512332773</v>
      </c>
      <c r="G255">
        <v>8499871585</v>
      </c>
      <c r="H255">
        <v>11629972953</v>
      </c>
      <c r="I255">
        <v>5754785967</v>
      </c>
      <c r="J255">
        <v>3504876874</v>
      </c>
      <c r="K255">
        <v>4128537311</v>
      </c>
      <c r="L255">
        <v>4304120205</v>
      </c>
      <c r="M255">
        <v>4228168316</v>
      </c>
      <c r="N255">
        <v>4707055676</v>
      </c>
      <c r="O255">
        <v>4097907548</v>
      </c>
      <c r="P255">
        <v>266</v>
      </c>
      <c r="Q255" t="s">
        <v>635</v>
      </c>
    </row>
    <row r="256" spans="1:17" x14ac:dyDescent="0.3">
      <c r="A256" t="s">
        <v>17</v>
      </c>
      <c r="B256" t="str">
        <f>"601989"</f>
        <v>601989</v>
      </c>
      <c r="C256" t="s">
        <v>636</v>
      </c>
      <c r="D256" t="s">
        <v>465</v>
      </c>
      <c r="E256">
        <v>8500695095</v>
      </c>
      <c r="F256">
        <v>9401002515</v>
      </c>
      <c r="G256">
        <v>8421616253</v>
      </c>
      <c r="H256">
        <v>6354838683</v>
      </c>
      <c r="I256">
        <v>8227680569</v>
      </c>
      <c r="J256">
        <v>6411300952</v>
      </c>
      <c r="K256">
        <v>7517969398</v>
      </c>
      <c r="L256">
        <v>14028134294</v>
      </c>
      <c r="M256">
        <v>8528408122</v>
      </c>
      <c r="N256">
        <v>7346113789</v>
      </c>
      <c r="O256">
        <v>6829337724</v>
      </c>
      <c r="P256">
        <v>669</v>
      </c>
      <c r="Q256" t="s">
        <v>637</v>
      </c>
    </row>
    <row r="257" spans="1:17" x14ac:dyDescent="0.3">
      <c r="A257" t="s">
        <v>17</v>
      </c>
      <c r="B257" t="str">
        <f>"600143"</f>
        <v>600143</v>
      </c>
      <c r="C257" t="s">
        <v>638</v>
      </c>
      <c r="D257" t="s">
        <v>639</v>
      </c>
      <c r="E257">
        <v>8491611397</v>
      </c>
      <c r="F257">
        <v>7968327355</v>
      </c>
      <c r="G257">
        <v>6817345878</v>
      </c>
      <c r="H257">
        <v>5552140617</v>
      </c>
      <c r="I257">
        <v>4659468245</v>
      </c>
      <c r="J257">
        <v>5004242207</v>
      </c>
      <c r="K257">
        <v>3713032525</v>
      </c>
      <c r="L257">
        <v>2950864179</v>
      </c>
      <c r="M257">
        <v>2856739619</v>
      </c>
      <c r="N257">
        <v>2609477160</v>
      </c>
      <c r="O257">
        <v>2548576570</v>
      </c>
      <c r="P257">
        <v>1349</v>
      </c>
      <c r="Q257" t="s">
        <v>640</v>
      </c>
    </row>
    <row r="258" spans="1:17" x14ac:dyDescent="0.3">
      <c r="A258" t="s">
        <v>17</v>
      </c>
      <c r="B258" t="str">
        <f>"600335"</f>
        <v>600335</v>
      </c>
      <c r="C258" t="s">
        <v>641</v>
      </c>
      <c r="D258" t="s">
        <v>150</v>
      </c>
      <c r="E258">
        <v>8464424368</v>
      </c>
      <c r="F258">
        <v>13520511878</v>
      </c>
      <c r="G258">
        <v>8128253175</v>
      </c>
      <c r="H258">
        <v>9633407672</v>
      </c>
      <c r="I258">
        <v>10981840290</v>
      </c>
      <c r="J258">
        <v>14608850199</v>
      </c>
      <c r="K258">
        <v>16069558893</v>
      </c>
      <c r="L258">
        <v>19303840561</v>
      </c>
      <c r="M258">
        <v>24711704299</v>
      </c>
      <c r="N258">
        <v>17451283554</v>
      </c>
      <c r="O258">
        <v>16943738622</v>
      </c>
      <c r="P258">
        <v>150</v>
      </c>
      <c r="Q258" t="s">
        <v>642</v>
      </c>
    </row>
    <row r="259" spans="1:17" x14ac:dyDescent="0.3">
      <c r="A259" t="s">
        <v>75</v>
      </c>
      <c r="B259" t="str">
        <f>"000488"</f>
        <v>000488</v>
      </c>
      <c r="C259" t="s">
        <v>643</v>
      </c>
      <c r="D259" t="s">
        <v>540</v>
      </c>
      <c r="E259">
        <v>8461827893</v>
      </c>
      <c r="F259">
        <v>10744320122</v>
      </c>
      <c r="G259">
        <v>6083538589</v>
      </c>
      <c r="H259">
        <v>6865397396</v>
      </c>
      <c r="I259">
        <v>8279206351</v>
      </c>
      <c r="J259">
        <v>6071765520</v>
      </c>
      <c r="K259">
        <v>3861397416</v>
      </c>
      <c r="L259">
        <v>3310628134</v>
      </c>
      <c r="M259">
        <v>3254244610</v>
      </c>
      <c r="N259">
        <v>3745148353</v>
      </c>
      <c r="O259">
        <v>2570906270</v>
      </c>
      <c r="P259">
        <v>1270</v>
      </c>
      <c r="Q259" t="s">
        <v>644</v>
      </c>
    </row>
    <row r="260" spans="1:17" x14ac:dyDescent="0.3">
      <c r="A260" t="s">
        <v>75</v>
      </c>
      <c r="B260" t="str">
        <f>"000830"</f>
        <v>000830</v>
      </c>
      <c r="C260" t="s">
        <v>645</v>
      </c>
      <c r="D260" t="s">
        <v>589</v>
      </c>
      <c r="E260">
        <v>8413211202</v>
      </c>
      <c r="F260">
        <v>6936447974</v>
      </c>
      <c r="G260">
        <v>3749362359</v>
      </c>
      <c r="H260">
        <v>5630682771</v>
      </c>
      <c r="I260">
        <v>5844998535</v>
      </c>
      <c r="J260">
        <v>4396873066</v>
      </c>
      <c r="K260">
        <v>2710944959</v>
      </c>
      <c r="L260">
        <v>3804522024</v>
      </c>
      <c r="M260">
        <v>3111469133</v>
      </c>
      <c r="N260">
        <v>2866042454</v>
      </c>
      <c r="O260">
        <v>3280482299</v>
      </c>
      <c r="P260">
        <v>891</v>
      </c>
      <c r="Q260" t="s">
        <v>646</v>
      </c>
    </row>
    <row r="261" spans="1:17" x14ac:dyDescent="0.3">
      <c r="A261" t="s">
        <v>17</v>
      </c>
      <c r="B261" t="str">
        <f>"600729"</f>
        <v>600729</v>
      </c>
      <c r="C261" t="s">
        <v>647</v>
      </c>
      <c r="D261" t="s">
        <v>359</v>
      </c>
      <c r="E261">
        <v>8357610286</v>
      </c>
      <c r="F261">
        <v>9896306681</v>
      </c>
      <c r="G261">
        <v>7695159783</v>
      </c>
      <c r="H261">
        <v>9943099080</v>
      </c>
      <c r="I261">
        <v>10171834483</v>
      </c>
      <c r="J261">
        <v>9436512696</v>
      </c>
      <c r="K261">
        <v>10433324099</v>
      </c>
      <c r="L261">
        <v>9551225047</v>
      </c>
      <c r="M261">
        <v>8964323922</v>
      </c>
      <c r="N261">
        <v>7875696913</v>
      </c>
      <c r="O261">
        <v>8222967650</v>
      </c>
      <c r="P261">
        <v>540</v>
      </c>
      <c r="Q261" t="s">
        <v>648</v>
      </c>
    </row>
    <row r="262" spans="1:17" x14ac:dyDescent="0.3">
      <c r="A262" t="s">
        <v>17</v>
      </c>
      <c r="B262" t="str">
        <f>"600348"</f>
        <v>600348</v>
      </c>
      <c r="C262" t="s">
        <v>649</v>
      </c>
      <c r="D262" t="s">
        <v>306</v>
      </c>
      <c r="E262">
        <v>8342568420</v>
      </c>
      <c r="F262">
        <v>11977110776</v>
      </c>
      <c r="G262">
        <v>9797945276</v>
      </c>
      <c r="H262">
        <v>9364081095</v>
      </c>
      <c r="I262">
        <v>9459464316</v>
      </c>
      <c r="J262">
        <v>7881726275</v>
      </c>
      <c r="K262">
        <v>3604697031</v>
      </c>
      <c r="L262">
        <v>5367292061</v>
      </c>
      <c r="M262">
        <v>6599026022</v>
      </c>
      <c r="N262">
        <v>24440146363</v>
      </c>
      <c r="O262">
        <v>14609609931</v>
      </c>
      <c r="P262">
        <v>1285</v>
      </c>
      <c r="Q262" t="s">
        <v>650</v>
      </c>
    </row>
    <row r="263" spans="1:17" x14ac:dyDescent="0.3">
      <c r="A263" t="s">
        <v>17</v>
      </c>
      <c r="B263" t="str">
        <f>"688009"</f>
        <v>688009</v>
      </c>
      <c r="C263" t="s">
        <v>651</v>
      </c>
      <c r="D263" t="s">
        <v>156</v>
      </c>
      <c r="E263">
        <v>8338664630</v>
      </c>
      <c r="F263">
        <v>9391399786</v>
      </c>
      <c r="G263">
        <v>6995406272</v>
      </c>
      <c r="H263">
        <v>7733191363</v>
      </c>
      <c r="I263">
        <v>6295974878</v>
      </c>
      <c r="P263">
        <v>201</v>
      </c>
      <c r="Q263" t="s">
        <v>652</v>
      </c>
    </row>
    <row r="264" spans="1:17" x14ac:dyDescent="0.3">
      <c r="A264" t="s">
        <v>17</v>
      </c>
      <c r="B264" t="str">
        <f>"600578"</f>
        <v>600578</v>
      </c>
      <c r="C264" t="s">
        <v>653</v>
      </c>
      <c r="D264" t="s">
        <v>88</v>
      </c>
      <c r="E264">
        <v>8329677190</v>
      </c>
      <c r="F264">
        <v>5692890922</v>
      </c>
      <c r="G264">
        <v>4459566923</v>
      </c>
      <c r="H264">
        <v>3542324957</v>
      </c>
      <c r="I264">
        <v>2687419825</v>
      </c>
      <c r="J264">
        <v>2067094625</v>
      </c>
      <c r="K264">
        <v>2236318989</v>
      </c>
      <c r="L264">
        <v>2865218770</v>
      </c>
      <c r="M264">
        <v>2627014057</v>
      </c>
      <c r="N264">
        <v>2819403251</v>
      </c>
      <c r="O264">
        <v>1171229512</v>
      </c>
      <c r="P264">
        <v>355</v>
      </c>
      <c r="Q264" t="s">
        <v>654</v>
      </c>
    </row>
    <row r="265" spans="1:17" x14ac:dyDescent="0.3">
      <c r="A265" t="s">
        <v>17</v>
      </c>
      <c r="B265" t="str">
        <f>"600711"</f>
        <v>600711</v>
      </c>
      <c r="C265" t="s">
        <v>655</v>
      </c>
      <c r="D265" t="s">
        <v>436</v>
      </c>
      <c r="E265">
        <v>8316679111</v>
      </c>
      <c r="F265">
        <v>13396385091</v>
      </c>
      <c r="G265">
        <v>10919164986</v>
      </c>
      <c r="H265">
        <v>6467959889</v>
      </c>
      <c r="I265">
        <v>6097481796</v>
      </c>
      <c r="J265">
        <v>4157799441</v>
      </c>
      <c r="K265">
        <v>2786372605</v>
      </c>
      <c r="L265">
        <v>1174916999</v>
      </c>
      <c r="M265">
        <v>541175014</v>
      </c>
      <c r="N265">
        <v>56404807</v>
      </c>
      <c r="O265">
        <v>22369967</v>
      </c>
      <c r="P265">
        <v>377</v>
      </c>
      <c r="Q265" t="s">
        <v>656</v>
      </c>
    </row>
    <row r="266" spans="1:17" x14ac:dyDescent="0.3">
      <c r="A266" t="s">
        <v>75</v>
      </c>
      <c r="B266" t="str">
        <f>"002648"</f>
        <v>002648</v>
      </c>
      <c r="C266" t="s">
        <v>657</v>
      </c>
      <c r="D266" t="s">
        <v>292</v>
      </c>
      <c r="E266">
        <v>8253208686</v>
      </c>
      <c r="F266">
        <v>2994937668</v>
      </c>
      <c r="G266">
        <v>1712820947</v>
      </c>
      <c r="H266">
        <v>2280319517</v>
      </c>
      <c r="I266">
        <v>1676693616</v>
      </c>
      <c r="J266">
        <v>1441417511</v>
      </c>
      <c r="K266">
        <v>886536602</v>
      </c>
      <c r="L266">
        <v>1000151264</v>
      </c>
      <c r="M266">
        <v>418885470</v>
      </c>
      <c r="N266">
        <v>1088825365</v>
      </c>
      <c r="O266">
        <v>856894494</v>
      </c>
      <c r="P266">
        <v>526</v>
      </c>
      <c r="Q266" t="s">
        <v>658</v>
      </c>
    </row>
    <row r="267" spans="1:17" x14ac:dyDescent="0.3">
      <c r="A267" t="s">
        <v>75</v>
      </c>
      <c r="B267" t="str">
        <f>"002202"</f>
        <v>002202</v>
      </c>
      <c r="C267" t="s">
        <v>659</v>
      </c>
      <c r="D267" t="s">
        <v>660</v>
      </c>
      <c r="E267">
        <v>8192796704</v>
      </c>
      <c r="F267">
        <v>7559415203</v>
      </c>
      <c r="G267">
        <v>9985686222</v>
      </c>
      <c r="H267">
        <v>5079477317</v>
      </c>
      <c r="I267">
        <v>3826244737</v>
      </c>
      <c r="J267">
        <v>3561045150</v>
      </c>
      <c r="K267">
        <v>2920014122</v>
      </c>
      <c r="L267">
        <v>2958919206</v>
      </c>
      <c r="M267">
        <v>1289264863</v>
      </c>
      <c r="N267">
        <v>1615845844</v>
      </c>
      <c r="O267">
        <v>1107941681</v>
      </c>
      <c r="P267">
        <v>1283</v>
      </c>
      <c r="Q267" t="s">
        <v>661</v>
      </c>
    </row>
    <row r="268" spans="1:17" x14ac:dyDescent="0.3">
      <c r="A268" t="s">
        <v>75</v>
      </c>
      <c r="B268" t="str">
        <f>"002408"</f>
        <v>002408</v>
      </c>
      <c r="C268" t="s">
        <v>662</v>
      </c>
      <c r="D268" t="s">
        <v>422</v>
      </c>
      <c r="E268">
        <v>8167477227</v>
      </c>
      <c r="F268">
        <v>8509666756</v>
      </c>
      <c r="G268">
        <v>4223525854</v>
      </c>
      <c r="H268">
        <v>7325579932</v>
      </c>
      <c r="I268">
        <v>3175012729</v>
      </c>
      <c r="J268">
        <v>1913559910</v>
      </c>
      <c r="K268">
        <v>1088070320</v>
      </c>
      <c r="L268">
        <v>1149495074</v>
      </c>
      <c r="M268">
        <v>1037730388</v>
      </c>
      <c r="N268">
        <v>880356525</v>
      </c>
      <c r="O268">
        <v>551338199</v>
      </c>
      <c r="P268">
        <v>317</v>
      </c>
      <c r="Q268" t="s">
        <v>663</v>
      </c>
    </row>
    <row r="269" spans="1:17" x14ac:dyDescent="0.3">
      <c r="A269" t="s">
        <v>75</v>
      </c>
      <c r="B269" t="str">
        <f>"000963"</f>
        <v>000963</v>
      </c>
      <c r="C269" t="s">
        <v>664</v>
      </c>
      <c r="D269" t="s">
        <v>543</v>
      </c>
      <c r="E269">
        <v>8140456622</v>
      </c>
      <c r="F269">
        <v>8756095736</v>
      </c>
      <c r="G269">
        <v>7665300254</v>
      </c>
      <c r="H269">
        <v>8187663072</v>
      </c>
      <c r="I269">
        <v>7618286553</v>
      </c>
      <c r="J269">
        <v>6251384350</v>
      </c>
      <c r="K269">
        <v>5431208854</v>
      </c>
      <c r="L269">
        <v>4805439587</v>
      </c>
      <c r="M269">
        <v>4102000956</v>
      </c>
      <c r="N269">
        <v>3616680974</v>
      </c>
      <c r="O269">
        <v>3099773707</v>
      </c>
      <c r="P269">
        <v>59262</v>
      </c>
      <c r="Q269" t="s">
        <v>665</v>
      </c>
    </row>
    <row r="270" spans="1:17" x14ac:dyDescent="0.3">
      <c r="A270" t="s">
        <v>75</v>
      </c>
      <c r="B270" t="str">
        <f>"002608"</f>
        <v>002608</v>
      </c>
      <c r="C270" t="s">
        <v>666</v>
      </c>
      <c r="D270" t="s">
        <v>88</v>
      </c>
      <c r="E270">
        <v>8106580568</v>
      </c>
      <c r="F270">
        <v>6147547449</v>
      </c>
      <c r="G270">
        <v>4732908134</v>
      </c>
      <c r="H270">
        <v>5348285661</v>
      </c>
      <c r="I270">
        <v>4940293973</v>
      </c>
      <c r="J270">
        <v>4684758067</v>
      </c>
      <c r="K270">
        <v>4892815763</v>
      </c>
      <c r="L270">
        <v>679478553</v>
      </c>
      <c r="M270">
        <v>278862858</v>
      </c>
      <c r="N270">
        <v>511135168</v>
      </c>
      <c r="O270">
        <v>450654395</v>
      </c>
      <c r="P270">
        <v>138</v>
      </c>
      <c r="Q270" t="s">
        <v>667</v>
      </c>
    </row>
    <row r="271" spans="1:17" x14ac:dyDescent="0.3">
      <c r="A271" t="s">
        <v>17</v>
      </c>
      <c r="B271" t="str">
        <f>"603056"</f>
        <v>603056</v>
      </c>
      <c r="C271" t="s">
        <v>668</v>
      </c>
      <c r="D271" t="s">
        <v>608</v>
      </c>
      <c r="E271">
        <v>8099894595</v>
      </c>
      <c r="F271">
        <v>8258464944</v>
      </c>
      <c r="G271">
        <v>5089233484</v>
      </c>
      <c r="H271">
        <v>6030728679</v>
      </c>
      <c r="I271">
        <v>5265710098</v>
      </c>
      <c r="J271">
        <v>4575004427</v>
      </c>
      <c r="P271">
        <v>412</v>
      </c>
      <c r="Q271" t="s">
        <v>669</v>
      </c>
    </row>
    <row r="272" spans="1:17" x14ac:dyDescent="0.3">
      <c r="A272" t="s">
        <v>17</v>
      </c>
      <c r="B272" t="str">
        <f>"600600"</f>
        <v>600600</v>
      </c>
      <c r="C272" t="s">
        <v>670</v>
      </c>
      <c r="D272" t="s">
        <v>671</v>
      </c>
      <c r="E272">
        <v>8070567850</v>
      </c>
      <c r="F272">
        <v>8687934445</v>
      </c>
      <c r="G272">
        <v>5798113906</v>
      </c>
      <c r="H272">
        <v>8254295615</v>
      </c>
      <c r="I272">
        <v>8121123334</v>
      </c>
      <c r="J272">
        <v>7276028776</v>
      </c>
      <c r="K272">
        <v>7276545586</v>
      </c>
      <c r="L272">
        <v>7802954595</v>
      </c>
      <c r="M272">
        <v>7941195655</v>
      </c>
      <c r="N272">
        <v>6823437444</v>
      </c>
      <c r="O272">
        <v>6099377081</v>
      </c>
      <c r="P272">
        <v>2021</v>
      </c>
      <c r="Q272" t="s">
        <v>672</v>
      </c>
    </row>
    <row r="273" spans="1:17" x14ac:dyDescent="0.3">
      <c r="A273" t="s">
        <v>75</v>
      </c>
      <c r="B273" t="str">
        <f>"002304"</f>
        <v>002304</v>
      </c>
      <c r="C273" t="s">
        <v>673</v>
      </c>
      <c r="D273" t="s">
        <v>201</v>
      </c>
      <c r="E273">
        <v>8005658474</v>
      </c>
      <c r="F273">
        <v>9432570183</v>
      </c>
      <c r="G273">
        <v>5990742712</v>
      </c>
      <c r="H273">
        <v>8230013860</v>
      </c>
      <c r="I273">
        <v>8492394982</v>
      </c>
      <c r="J273">
        <v>6738494791</v>
      </c>
      <c r="K273">
        <v>7336587145</v>
      </c>
      <c r="L273">
        <v>7002823022</v>
      </c>
      <c r="M273">
        <v>5327455577</v>
      </c>
      <c r="N273">
        <v>6878387525</v>
      </c>
      <c r="O273">
        <v>6991281672</v>
      </c>
      <c r="P273">
        <v>52722</v>
      </c>
      <c r="Q273" t="s">
        <v>674</v>
      </c>
    </row>
    <row r="274" spans="1:17" x14ac:dyDescent="0.3">
      <c r="A274" t="s">
        <v>17</v>
      </c>
      <c r="B274" t="str">
        <f>"600507"</f>
        <v>600507</v>
      </c>
      <c r="C274" t="s">
        <v>675</v>
      </c>
      <c r="D274" t="s">
        <v>238</v>
      </c>
      <c r="E274">
        <v>8002523935</v>
      </c>
      <c r="F274">
        <v>3001056309</v>
      </c>
      <c r="G274">
        <v>3579534745</v>
      </c>
      <c r="H274">
        <v>2562171950</v>
      </c>
      <c r="I274">
        <v>3176804567</v>
      </c>
      <c r="J274">
        <v>2314391028</v>
      </c>
      <c r="K274">
        <v>1327627425</v>
      </c>
      <c r="L274">
        <v>1469540135</v>
      </c>
      <c r="M274">
        <v>2499958739</v>
      </c>
      <c r="N274">
        <v>2307182532</v>
      </c>
      <c r="O274">
        <v>2255872160</v>
      </c>
      <c r="P274">
        <v>1893</v>
      </c>
      <c r="Q274" t="s">
        <v>676</v>
      </c>
    </row>
    <row r="275" spans="1:17" x14ac:dyDescent="0.3">
      <c r="A275" t="s">
        <v>75</v>
      </c>
      <c r="B275" t="str">
        <f>"002468"</f>
        <v>002468</v>
      </c>
      <c r="C275" t="s">
        <v>677</v>
      </c>
      <c r="D275" t="s">
        <v>93</v>
      </c>
      <c r="E275">
        <v>7859265120</v>
      </c>
      <c r="F275">
        <v>5532644179</v>
      </c>
      <c r="G275">
        <v>3371654925</v>
      </c>
      <c r="H275">
        <v>4750690893</v>
      </c>
      <c r="I275">
        <v>3189869542</v>
      </c>
      <c r="J275">
        <v>2198808803</v>
      </c>
      <c r="K275">
        <v>381423799</v>
      </c>
      <c r="L275">
        <v>447590020</v>
      </c>
      <c r="M275">
        <v>422494577</v>
      </c>
      <c r="N275">
        <v>284058917</v>
      </c>
      <c r="O275">
        <v>273241259</v>
      </c>
      <c r="P275">
        <v>638</v>
      </c>
      <c r="Q275" t="s">
        <v>678</v>
      </c>
    </row>
    <row r="276" spans="1:17" x14ac:dyDescent="0.3">
      <c r="A276" t="s">
        <v>17</v>
      </c>
      <c r="B276" t="str">
        <f>"600875"</f>
        <v>600875</v>
      </c>
      <c r="C276" t="s">
        <v>679</v>
      </c>
      <c r="D276" t="s">
        <v>255</v>
      </c>
      <c r="E276">
        <v>7821682586</v>
      </c>
      <c r="F276">
        <v>6707082701</v>
      </c>
      <c r="G276">
        <v>5639896599</v>
      </c>
      <c r="H276">
        <v>4669985984</v>
      </c>
      <c r="I276">
        <v>4648913200</v>
      </c>
      <c r="J276">
        <v>6638677662</v>
      </c>
      <c r="K276">
        <v>7119139490</v>
      </c>
      <c r="L276">
        <v>6365313221</v>
      </c>
      <c r="M276">
        <v>6715690432</v>
      </c>
      <c r="N276">
        <v>7729299418</v>
      </c>
      <c r="O276">
        <v>6099625763</v>
      </c>
      <c r="P276">
        <v>482</v>
      </c>
      <c r="Q276" t="s">
        <v>680</v>
      </c>
    </row>
    <row r="277" spans="1:17" x14ac:dyDescent="0.3">
      <c r="A277" t="s">
        <v>17</v>
      </c>
      <c r="B277" t="str">
        <f>"600406"</f>
        <v>600406</v>
      </c>
      <c r="C277" t="s">
        <v>681</v>
      </c>
      <c r="D277" t="s">
        <v>682</v>
      </c>
      <c r="E277">
        <v>7804459890</v>
      </c>
      <c r="F277">
        <v>6483435009</v>
      </c>
      <c r="G277">
        <v>5611574732</v>
      </c>
      <c r="H277">
        <v>5304598989</v>
      </c>
      <c r="I277">
        <v>4208621161</v>
      </c>
      <c r="J277">
        <v>1618458464</v>
      </c>
      <c r="K277">
        <v>1276246451</v>
      </c>
      <c r="L277">
        <v>1225086290</v>
      </c>
      <c r="M277">
        <v>1020550048</v>
      </c>
      <c r="N277">
        <v>659793936</v>
      </c>
      <c r="O277">
        <v>482435928</v>
      </c>
      <c r="P277">
        <v>2124</v>
      </c>
      <c r="Q277" t="s">
        <v>683</v>
      </c>
    </row>
    <row r="278" spans="1:17" x14ac:dyDescent="0.3">
      <c r="A278" t="s">
        <v>75</v>
      </c>
      <c r="B278" t="str">
        <f>"002386"</f>
        <v>002386</v>
      </c>
      <c r="C278" t="s">
        <v>684</v>
      </c>
      <c r="D278" t="s">
        <v>311</v>
      </c>
      <c r="E278">
        <v>7796310387</v>
      </c>
      <c r="F278">
        <v>4798482751</v>
      </c>
      <c r="G278">
        <v>3214067636</v>
      </c>
      <c r="H278">
        <v>4252484688</v>
      </c>
      <c r="I278">
        <v>2854270704</v>
      </c>
      <c r="J278">
        <v>2010478680</v>
      </c>
      <c r="K278">
        <v>1140698081</v>
      </c>
      <c r="L278">
        <v>720698808</v>
      </c>
      <c r="M278">
        <v>1390090045</v>
      </c>
      <c r="N278">
        <v>1481277172</v>
      </c>
      <c r="O278">
        <v>895417876</v>
      </c>
      <c r="P278">
        <v>143</v>
      </c>
      <c r="Q278" t="s">
        <v>685</v>
      </c>
    </row>
    <row r="279" spans="1:17" x14ac:dyDescent="0.3">
      <c r="A279" t="s">
        <v>75</v>
      </c>
      <c r="B279" t="str">
        <f>"002384"</f>
        <v>002384</v>
      </c>
      <c r="C279" t="s">
        <v>686</v>
      </c>
      <c r="D279" t="s">
        <v>567</v>
      </c>
      <c r="E279">
        <v>7763769679</v>
      </c>
      <c r="F279">
        <v>7946335097</v>
      </c>
      <c r="G279">
        <v>6141158536</v>
      </c>
      <c r="H279">
        <v>5852932134</v>
      </c>
      <c r="I279">
        <v>4671987324</v>
      </c>
      <c r="J279">
        <v>2626212920</v>
      </c>
      <c r="K279">
        <v>880419481</v>
      </c>
      <c r="L279">
        <v>886471695</v>
      </c>
      <c r="M279">
        <v>358092254</v>
      </c>
      <c r="N279">
        <v>458027121</v>
      </c>
      <c r="O279">
        <v>240628877</v>
      </c>
      <c r="P279">
        <v>1070</v>
      </c>
      <c r="Q279" t="s">
        <v>687</v>
      </c>
    </row>
    <row r="280" spans="1:17" x14ac:dyDescent="0.3">
      <c r="A280" t="s">
        <v>17</v>
      </c>
      <c r="B280" t="str">
        <f>"600575"</f>
        <v>600575</v>
      </c>
      <c r="C280" t="s">
        <v>688</v>
      </c>
      <c r="D280" t="s">
        <v>486</v>
      </c>
      <c r="E280">
        <v>7725815959</v>
      </c>
      <c r="F280">
        <v>4652443770</v>
      </c>
      <c r="G280">
        <v>2062065201</v>
      </c>
      <c r="H280">
        <v>2838841718</v>
      </c>
      <c r="I280">
        <v>2509246592</v>
      </c>
      <c r="J280">
        <v>1956593422</v>
      </c>
      <c r="K280">
        <v>597909545</v>
      </c>
      <c r="L280">
        <v>1301752779</v>
      </c>
      <c r="M280">
        <v>7995282753</v>
      </c>
      <c r="N280">
        <v>5725538094</v>
      </c>
      <c r="O280">
        <v>6853700719</v>
      </c>
      <c r="P280">
        <v>118</v>
      </c>
      <c r="Q280" t="s">
        <v>689</v>
      </c>
    </row>
    <row r="281" spans="1:17" x14ac:dyDescent="0.3">
      <c r="A281" t="s">
        <v>17</v>
      </c>
      <c r="B281" t="str">
        <f>"600056"</f>
        <v>600056</v>
      </c>
      <c r="C281" t="s">
        <v>690</v>
      </c>
      <c r="D281" t="s">
        <v>123</v>
      </c>
      <c r="E281">
        <v>7709828369</v>
      </c>
      <c r="F281">
        <v>7575034928</v>
      </c>
      <c r="G281">
        <v>9086077712</v>
      </c>
      <c r="H281">
        <v>7177416855</v>
      </c>
      <c r="I281">
        <v>5650825606</v>
      </c>
      <c r="J281">
        <v>5389564735</v>
      </c>
      <c r="K281">
        <v>4386664214</v>
      </c>
      <c r="L281">
        <v>3560083308</v>
      </c>
      <c r="M281">
        <v>3692625901</v>
      </c>
      <c r="N281">
        <v>2683451656</v>
      </c>
      <c r="O281">
        <v>2123482398</v>
      </c>
      <c r="P281">
        <v>890</v>
      </c>
      <c r="Q281" t="s">
        <v>691</v>
      </c>
    </row>
    <row r="282" spans="1:17" x14ac:dyDescent="0.3">
      <c r="A282" t="s">
        <v>75</v>
      </c>
      <c r="B282" t="str">
        <f>"200596"</f>
        <v>200596</v>
      </c>
      <c r="C282" t="s">
        <v>692</v>
      </c>
      <c r="E282">
        <v>7610196160.4359999</v>
      </c>
      <c r="F282">
        <v>4716447616.2165003</v>
      </c>
      <c r="G282">
        <v>4826147846.6496</v>
      </c>
      <c r="H282">
        <v>3838038557.1813002</v>
      </c>
      <c r="I282">
        <v>2898550704.1989999</v>
      </c>
      <c r="J282">
        <v>2502076150.5672002</v>
      </c>
      <c r="K282">
        <v>2105460913.6715</v>
      </c>
      <c r="L282">
        <v>1991524343.75</v>
      </c>
      <c r="M282">
        <v>1924186180.0624001</v>
      </c>
      <c r="N282">
        <v>1905550018.2072001</v>
      </c>
      <c r="O282">
        <v>1680412334.1570001</v>
      </c>
      <c r="P282">
        <v>745</v>
      </c>
      <c r="Q282" t="s">
        <v>693</v>
      </c>
    </row>
    <row r="283" spans="1:17" x14ac:dyDescent="0.3">
      <c r="A283" t="s">
        <v>17</v>
      </c>
      <c r="B283" t="str">
        <f>"600522"</f>
        <v>600522</v>
      </c>
      <c r="C283" t="s">
        <v>694</v>
      </c>
      <c r="D283" t="s">
        <v>549</v>
      </c>
      <c r="E283">
        <v>7596575925</v>
      </c>
      <c r="F283">
        <v>11643061667</v>
      </c>
      <c r="G283">
        <v>8072026043</v>
      </c>
      <c r="H283">
        <v>10459299943</v>
      </c>
      <c r="I283">
        <v>6404870811</v>
      </c>
      <c r="J283">
        <v>4862968701</v>
      </c>
      <c r="K283">
        <v>4228243050</v>
      </c>
      <c r="L283">
        <v>3011865796</v>
      </c>
      <c r="M283">
        <v>1439589045</v>
      </c>
      <c r="N283">
        <v>1307446629</v>
      </c>
      <c r="O283">
        <v>1310753150</v>
      </c>
      <c r="P283">
        <v>1218</v>
      </c>
      <c r="Q283" t="s">
        <v>695</v>
      </c>
    </row>
    <row r="284" spans="1:17" x14ac:dyDescent="0.3">
      <c r="A284" t="s">
        <v>75</v>
      </c>
      <c r="B284" t="str">
        <f>"200553"</f>
        <v>200553</v>
      </c>
      <c r="C284" t="s">
        <v>696</v>
      </c>
      <c r="E284">
        <v>7582283384</v>
      </c>
      <c r="F284">
        <v>6214603622.5</v>
      </c>
      <c r="G284">
        <v>5622802193.3999996</v>
      </c>
      <c r="H284">
        <v>5852654892</v>
      </c>
      <c r="I284">
        <v>6144883220.5</v>
      </c>
      <c r="J284">
        <v>384210510.29860002</v>
      </c>
      <c r="K284">
        <v>304141986.59399998</v>
      </c>
      <c r="L284">
        <v>473472861.25</v>
      </c>
      <c r="M284">
        <v>817527287.66840005</v>
      </c>
      <c r="N284">
        <v>577241297.86259997</v>
      </c>
      <c r="O284">
        <v>545571462.92400002</v>
      </c>
      <c r="P284">
        <v>58</v>
      </c>
      <c r="Q284" t="s">
        <v>697</v>
      </c>
    </row>
    <row r="285" spans="1:17" x14ac:dyDescent="0.3">
      <c r="A285" t="s">
        <v>75</v>
      </c>
      <c r="B285" t="str">
        <f>"000027"</f>
        <v>000027</v>
      </c>
      <c r="C285" t="s">
        <v>698</v>
      </c>
      <c r="D285" t="s">
        <v>88</v>
      </c>
      <c r="E285">
        <v>7539624223</v>
      </c>
      <c r="F285">
        <v>4988795142</v>
      </c>
      <c r="G285">
        <v>3352234345</v>
      </c>
      <c r="H285">
        <v>4680059620</v>
      </c>
      <c r="I285">
        <v>3695511231</v>
      </c>
      <c r="J285">
        <v>2697547730</v>
      </c>
      <c r="K285">
        <v>2024588212</v>
      </c>
      <c r="L285">
        <v>2853985763</v>
      </c>
      <c r="M285">
        <v>3076857776</v>
      </c>
      <c r="N285">
        <v>3068577929</v>
      </c>
      <c r="O285">
        <v>3788753063</v>
      </c>
      <c r="P285">
        <v>509</v>
      </c>
      <c r="Q285" t="s">
        <v>699</v>
      </c>
    </row>
    <row r="286" spans="1:17" x14ac:dyDescent="0.3">
      <c r="A286" t="s">
        <v>75</v>
      </c>
      <c r="B286" t="str">
        <f>"000568"</f>
        <v>000568</v>
      </c>
      <c r="C286" t="s">
        <v>700</v>
      </c>
      <c r="D286" t="s">
        <v>201</v>
      </c>
      <c r="E286">
        <v>7498117523</v>
      </c>
      <c r="F286">
        <v>6447302776</v>
      </c>
      <c r="G286">
        <v>2709764364</v>
      </c>
      <c r="H286">
        <v>4158279599</v>
      </c>
      <c r="I286">
        <v>3578692237</v>
      </c>
      <c r="J286">
        <v>2314332196</v>
      </c>
      <c r="K286">
        <v>2501355026</v>
      </c>
      <c r="L286">
        <v>1233484640</v>
      </c>
      <c r="M286">
        <v>2718199035</v>
      </c>
      <c r="N286">
        <v>3219080358</v>
      </c>
      <c r="O286">
        <v>3214714018</v>
      </c>
      <c r="P286">
        <v>6440</v>
      </c>
      <c r="Q286" t="s">
        <v>701</v>
      </c>
    </row>
    <row r="287" spans="1:17" x14ac:dyDescent="0.3">
      <c r="A287" t="s">
        <v>17</v>
      </c>
      <c r="B287" t="str">
        <f>"600459"</f>
        <v>600459</v>
      </c>
      <c r="C287" t="s">
        <v>702</v>
      </c>
      <c r="D287" t="s">
        <v>364</v>
      </c>
      <c r="E287">
        <v>7479744385</v>
      </c>
      <c r="F287">
        <v>8187491281</v>
      </c>
      <c r="G287">
        <v>6454648037</v>
      </c>
      <c r="H287">
        <v>4797640468</v>
      </c>
      <c r="I287">
        <v>3409391595</v>
      </c>
      <c r="J287">
        <v>4179255719</v>
      </c>
      <c r="K287">
        <v>2475287871</v>
      </c>
      <c r="L287">
        <v>1273923603</v>
      </c>
      <c r="M287">
        <v>1392365557</v>
      </c>
      <c r="N287">
        <v>821050039</v>
      </c>
      <c r="O287">
        <v>621975993</v>
      </c>
      <c r="P287">
        <v>308</v>
      </c>
      <c r="Q287" t="s">
        <v>703</v>
      </c>
    </row>
    <row r="288" spans="1:17" x14ac:dyDescent="0.3">
      <c r="A288" t="s">
        <v>75</v>
      </c>
      <c r="B288" t="str">
        <f>"000528"</f>
        <v>000528</v>
      </c>
      <c r="C288" t="s">
        <v>704</v>
      </c>
      <c r="D288" t="s">
        <v>262</v>
      </c>
      <c r="E288">
        <v>7453762666</v>
      </c>
      <c r="F288">
        <v>8208816703</v>
      </c>
      <c r="G288">
        <v>5872387468</v>
      </c>
      <c r="H288">
        <v>6119928945</v>
      </c>
      <c r="I288">
        <v>4210935674</v>
      </c>
      <c r="J288">
        <v>2809085629</v>
      </c>
      <c r="K288">
        <v>2207497708</v>
      </c>
      <c r="L288">
        <v>2364278698</v>
      </c>
      <c r="M288">
        <v>3061683512</v>
      </c>
      <c r="N288">
        <v>2992972513</v>
      </c>
      <c r="O288">
        <v>5696926597</v>
      </c>
      <c r="P288">
        <v>481</v>
      </c>
      <c r="Q288" t="s">
        <v>705</v>
      </c>
    </row>
    <row r="289" spans="1:17" x14ac:dyDescent="0.3">
      <c r="A289" t="s">
        <v>75</v>
      </c>
      <c r="B289" t="str">
        <f>"002081"</f>
        <v>002081</v>
      </c>
      <c r="C289" t="s">
        <v>706</v>
      </c>
      <c r="D289" t="s">
        <v>707</v>
      </c>
      <c r="E289">
        <v>7439304733</v>
      </c>
      <c r="F289">
        <v>9386206408</v>
      </c>
      <c r="G289">
        <v>7677038402</v>
      </c>
      <c r="H289">
        <v>7501250160</v>
      </c>
      <c r="I289">
        <v>6453712642</v>
      </c>
      <c r="J289">
        <v>6358305298</v>
      </c>
      <c r="K289">
        <v>5422211436</v>
      </c>
      <c r="L289">
        <v>4267927460</v>
      </c>
      <c r="M289">
        <v>4520840286</v>
      </c>
      <c r="N289">
        <v>3826026268</v>
      </c>
      <c r="O289">
        <v>2448349780</v>
      </c>
      <c r="P289">
        <v>18140</v>
      </c>
      <c r="Q289" t="s">
        <v>708</v>
      </c>
    </row>
    <row r="290" spans="1:17" x14ac:dyDescent="0.3">
      <c r="A290" t="s">
        <v>17</v>
      </c>
      <c r="B290" t="str">
        <f>"601005"</f>
        <v>601005</v>
      </c>
      <c r="C290" t="s">
        <v>709</v>
      </c>
      <c r="D290" t="s">
        <v>68</v>
      </c>
      <c r="E290">
        <v>7406666000</v>
      </c>
      <c r="F290">
        <v>9484800000</v>
      </c>
      <c r="G290">
        <v>4152133000</v>
      </c>
      <c r="H290">
        <v>5191781000</v>
      </c>
      <c r="I290">
        <v>3614301000</v>
      </c>
      <c r="J290">
        <v>620576000</v>
      </c>
      <c r="K290">
        <v>824758000</v>
      </c>
      <c r="L290">
        <v>2372292000</v>
      </c>
      <c r="M290">
        <v>3468158000</v>
      </c>
      <c r="N290">
        <v>8861415000</v>
      </c>
      <c r="O290">
        <v>6145154000</v>
      </c>
      <c r="P290">
        <v>249</v>
      </c>
      <c r="Q290" t="s">
        <v>710</v>
      </c>
    </row>
    <row r="291" spans="1:17" x14ac:dyDescent="0.3">
      <c r="A291" t="s">
        <v>17</v>
      </c>
      <c r="B291" t="str">
        <f>"600567"</f>
        <v>600567</v>
      </c>
      <c r="C291" t="s">
        <v>711</v>
      </c>
      <c r="D291" t="s">
        <v>540</v>
      </c>
      <c r="E291">
        <v>7384316989</v>
      </c>
      <c r="F291">
        <v>5702861881</v>
      </c>
      <c r="G291">
        <v>3811450525</v>
      </c>
      <c r="H291">
        <v>4686953327</v>
      </c>
      <c r="I291">
        <v>4256144277</v>
      </c>
      <c r="J291">
        <v>2282632698</v>
      </c>
      <c r="K291">
        <v>1873692492</v>
      </c>
      <c r="L291">
        <v>2045174533</v>
      </c>
      <c r="M291">
        <v>953072441</v>
      </c>
      <c r="N291">
        <v>690456452</v>
      </c>
      <c r="O291">
        <v>1007357856</v>
      </c>
      <c r="P291">
        <v>593</v>
      </c>
      <c r="Q291" t="s">
        <v>712</v>
      </c>
    </row>
    <row r="292" spans="1:17" x14ac:dyDescent="0.3">
      <c r="A292" t="s">
        <v>75</v>
      </c>
      <c r="B292" t="str">
        <f>"000671"</f>
        <v>000671</v>
      </c>
      <c r="C292" t="s">
        <v>713</v>
      </c>
      <c r="D292" t="s">
        <v>65</v>
      </c>
      <c r="E292">
        <v>7358087213</v>
      </c>
      <c r="F292">
        <v>20135198778</v>
      </c>
      <c r="G292">
        <v>13435808326</v>
      </c>
      <c r="H292">
        <v>16910065677</v>
      </c>
      <c r="I292">
        <v>15633405880</v>
      </c>
      <c r="J292">
        <v>10335642606</v>
      </c>
      <c r="K292">
        <v>5482539652</v>
      </c>
      <c r="L292">
        <v>3915927662</v>
      </c>
      <c r="M292">
        <v>3639502368</v>
      </c>
      <c r="N292">
        <v>2497790196</v>
      </c>
      <c r="O292">
        <v>1295601241</v>
      </c>
      <c r="P292">
        <v>1192</v>
      </c>
      <c r="Q292" t="s">
        <v>714</v>
      </c>
    </row>
    <row r="293" spans="1:17" x14ac:dyDescent="0.3">
      <c r="A293" t="s">
        <v>17</v>
      </c>
      <c r="B293" t="str">
        <f>"603259"</f>
        <v>603259</v>
      </c>
      <c r="C293" t="s">
        <v>715</v>
      </c>
      <c r="D293" t="s">
        <v>716</v>
      </c>
      <c r="E293">
        <v>7347858877</v>
      </c>
      <c r="F293">
        <v>4817465851</v>
      </c>
      <c r="G293">
        <v>3561199774</v>
      </c>
      <c r="H293">
        <v>2655805488</v>
      </c>
      <c r="I293">
        <v>2245083411</v>
      </c>
      <c r="J293">
        <v>1703529963</v>
      </c>
      <c r="P293">
        <v>3986</v>
      </c>
      <c r="Q293" t="s">
        <v>717</v>
      </c>
    </row>
    <row r="294" spans="1:17" x14ac:dyDescent="0.3">
      <c r="A294" t="s">
        <v>75</v>
      </c>
      <c r="B294" t="str">
        <f>"000792"</f>
        <v>000792</v>
      </c>
      <c r="C294" t="s">
        <v>718</v>
      </c>
      <c r="D294" t="s">
        <v>719</v>
      </c>
      <c r="E294">
        <v>7344815032</v>
      </c>
      <c r="F294">
        <v>3826519872</v>
      </c>
      <c r="G294">
        <v>2852163416</v>
      </c>
      <c r="H294">
        <v>3174956958</v>
      </c>
      <c r="I294">
        <v>4414621260</v>
      </c>
      <c r="J294">
        <v>1941425842</v>
      </c>
      <c r="K294">
        <v>1653168851</v>
      </c>
      <c r="L294">
        <v>1872259434</v>
      </c>
      <c r="M294">
        <v>1427639416</v>
      </c>
      <c r="N294">
        <v>1443985288</v>
      </c>
      <c r="O294">
        <v>1611187759</v>
      </c>
      <c r="P294">
        <v>422</v>
      </c>
      <c r="Q294" t="s">
        <v>720</v>
      </c>
    </row>
    <row r="295" spans="1:17" x14ac:dyDescent="0.3">
      <c r="A295" t="s">
        <v>17</v>
      </c>
      <c r="B295" t="str">
        <f>"601258"</f>
        <v>601258</v>
      </c>
      <c r="C295" t="s">
        <v>721</v>
      </c>
      <c r="D295" t="s">
        <v>150</v>
      </c>
      <c r="E295">
        <v>7283118501</v>
      </c>
      <c r="F295">
        <v>10854533309</v>
      </c>
      <c r="G295">
        <v>4085157768</v>
      </c>
      <c r="H295">
        <v>5611228589</v>
      </c>
      <c r="I295">
        <v>17834843866</v>
      </c>
      <c r="J295">
        <v>19798067216</v>
      </c>
      <c r="K295">
        <v>17863260153</v>
      </c>
      <c r="L295">
        <v>16879978320</v>
      </c>
      <c r="M295">
        <v>20927328222</v>
      </c>
      <c r="N295">
        <v>19786608286</v>
      </c>
      <c r="O295">
        <v>18075563555</v>
      </c>
      <c r="P295">
        <v>133</v>
      </c>
      <c r="Q295" t="s">
        <v>722</v>
      </c>
    </row>
    <row r="296" spans="1:17" x14ac:dyDescent="0.3">
      <c r="A296" t="s">
        <v>75</v>
      </c>
      <c r="B296" t="str">
        <f>"002236"</f>
        <v>002236</v>
      </c>
      <c r="C296" t="s">
        <v>723</v>
      </c>
      <c r="D296" t="s">
        <v>337</v>
      </c>
      <c r="E296">
        <v>7242389295</v>
      </c>
      <c r="F296">
        <v>6696184908</v>
      </c>
      <c r="G296">
        <v>6120271239</v>
      </c>
      <c r="H296">
        <v>5084524143</v>
      </c>
      <c r="I296">
        <v>4211360373</v>
      </c>
      <c r="J296">
        <v>2929814831</v>
      </c>
      <c r="K296">
        <v>2641200160</v>
      </c>
      <c r="L296">
        <v>1341995121</v>
      </c>
      <c r="M296">
        <v>930082083</v>
      </c>
      <c r="N296">
        <v>847667851</v>
      </c>
      <c r="O296">
        <v>545101028</v>
      </c>
      <c r="P296">
        <v>32899</v>
      </c>
      <c r="Q296" t="s">
        <v>724</v>
      </c>
    </row>
    <row r="297" spans="1:17" x14ac:dyDescent="0.3">
      <c r="A297" t="s">
        <v>17</v>
      </c>
      <c r="B297" t="str">
        <f>"603128"</f>
        <v>603128</v>
      </c>
      <c r="C297" t="s">
        <v>725</v>
      </c>
      <c r="D297" t="s">
        <v>229</v>
      </c>
      <c r="E297">
        <v>7242080863</v>
      </c>
      <c r="F297">
        <v>4450934126</v>
      </c>
      <c r="G297">
        <v>2494955186</v>
      </c>
      <c r="H297">
        <v>2361966989</v>
      </c>
      <c r="I297">
        <v>2333431043</v>
      </c>
      <c r="J297">
        <v>1987874939</v>
      </c>
      <c r="K297">
        <v>1634051429</v>
      </c>
      <c r="L297">
        <v>1972778617</v>
      </c>
      <c r="M297">
        <v>2050895869</v>
      </c>
      <c r="N297">
        <v>2204148592</v>
      </c>
      <c r="O297">
        <v>1724505877</v>
      </c>
      <c r="P297">
        <v>273</v>
      </c>
      <c r="Q297" t="s">
        <v>726</v>
      </c>
    </row>
    <row r="298" spans="1:17" x14ac:dyDescent="0.3">
      <c r="A298" t="s">
        <v>17</v>
      </c>
      <c r="B298" t="str">
        <f>"605090"</f>
        <v>605090</v>
      </c>
      <c r="C298" t="s">
        <v>727</v>
      </c>
      <c r="D298" t="s">
        <v>147</v>
      </c>
      <c r="E298">
        <v>7224240323</v>
      </c>
      <c r="F298">
        <v>3153782788</v>
      </c>
      <c r="G298">
        <v>2268331482</v>
      </c>
      <c r="P298">
        <v>51</v>
      </c>
      <c r="Q298" t="s">
        <v>728</v>
      </c>
    </row>
    <row r="299" spans="1:17" x14ac:dyDescent="0.3">
      <c r="A299" t="s">
        <v>75</v>
      </c>
      <c r="B299" t="str">
        <f>"000736"</f>
        <v>000736</v>
      </c>
      <c r="C299" t="s">
        <v>729</v>
      </c>
      <c r="D299" t="s">
        <v>65</v>
      </c>
      <c r="E299">
        <v>7214915728</v>
      </c>
      <c r="F299">
        <v>6643763499</v>
      </c>
      <c r="G299">
        <v>1985191801</v>
      </c>
      <c r="H299">
        <v>1411848354</v>
      </c>
      <c r="I299">
        <v>2531186303</v>
      </c>
      <c r="J299">
        <v>1692412384</v>
      </c>
      <c r="K299">
        <v>567571382</v>
      </c>
      <c r="L299">
        <v>181834008</v>
      </c>
      <c r="M299">
        <v>119247393</v>
      </c>
      <c r="N299">
        <v>253898554</v>
      </c>
      <c r="O299">
        <v>132587933</v>
      </c>
      <c r="P299">
        <v>189</v>
      </c>
      <c r="Q299" t="s">
        <v>730</v>
      </c>
    </row>
    <row r="300" spans="1:17" x14ac:dyDescent="0.3">
      <c r="A300" t="s">
        <v>17</v>
      </c>
      <c r="B300" t="str">
        <f>"601789"</f>
        <v>601789</v>
      </c>
      <c r="C300" t="s">
        <v>731</v>
      </c>
      <c r="D300" t="s">
        <v>24</v>
      </c>
      <c r="E300">
        <v>7127147159</v>
      </c>
      <c r="F300">
        <v>4102715205</v>
      </c>
      <c r="G300">
        <v>4694760848</v>
      </c>
      <c r="H300">
        <v>5649821604</v>
      </c>
      <c r="I300">
        <v>5225357561</v>
      </c>
      <c r="J300">
        <v>4731854111</v>
      </c>
      <c r="K300">
        <v>4891688288</v>
      </c>
      <c r="L300">
        <v>4214807623</v>
      </c>
      <c r="M300">
        <v>3780303476</v>
      </c>
      <c r="N300">
        <v>4131292400</v>
      </c>
      <c r="O300">
        <v>2564830945</v>
      </c>
      <c r="P300">
        <v>147</v>
      </c>
      <c r="Q300" t="s">
        <v>732</v>
      </c>
    </row>
    <row r="301" spans="1:17" x14ac:dyDescent="0.3">
      <c r="A301" t="s">
        <v>75</v>
      </c>
      <c r="B301" t="str">
        <f>"000550"</f>
        <v>000550</v>
      </c>
      <c r="C301" t="s">
        <v>733</v>
      </c>
      <c r="D301" t="s">
        <v>494</v>
      </c>
      <c r="E301">
        <v>7084413625</v>
      </c>
      <c r="F301">
        <v>8392373337</v>
      </c>
      <c r="G301">
        <v>4817652267</v>
      </c>
      <c r="H301">
        <v>7191549667</v>
      </c>
      <c r="I301">
        <v>7512799734</v>
      </c>
      <c r="J301">
        <v>8714576496</v>
      </c>
      <c r="K301">
        <v>6417848403</v>
      </c>
      <c r="L301">
        <v>7018009193</v>
      </c>
      <c r="M301">
        <v>6669777796</v>
      </c>
      <c r="N301">
        <v>5546525865</v>
      </c>
      <c r="O301">
        <v>5025283537</v>
      </c>
      <c r="P301">
        <v>595</v>
      </c>
      <c r="Q301" t="s">
        <v>734</v>
      </c>
    </row>
    <row r="302" spans="1:17" x14ac:dyDescent="0.3">
      <c r="A302" t="s">
        <v>75</v>
      </c>
      <c r="B302" t="str">
        <f>"002221"</f>
        <v>002221</v>
      </c>
      <c r="C302" t="s">
        <v>735</v>
      </c>
      <c r="D302" t="s">
        <v>422</v>
      </c>
      <c r="E302">
        <v>7073240551</v>
      </c>
      <c r="F302">
        <v>6741127540</v>
      </c>
      <c r="G302">
        <v>8974874360</v>
      </c>
      <c r="H302">
        <v>14215861401</v>
      </c>
      <c r="I302">
        <v>9439204322</v>
      </c>
      <c r="J302">
        <v>6480097337</v>
      </c>
      <c r="K302">
        <v>3893928321</v>
      </c>
      <c r="L302">
        <v>2787648858</v>
      </c>
      <c r="M302">
        <v>2756317219</v>
      </c>
      <c r="N302">
        <v>1509031330</v>
      </c>
      <c r="O302">
        <v>957924378</v>
      </c>
      <c r="P302">
        <v>390</v>
      </c>
      <c r="Q302" t="s">
        <v>736</v>
      </c>
    </row>
    <row r="303" spans="1:17" x14ac:dyDescent="0.3">
      <c r="A303" t="s">
        <v>75</v>
      </c>
      <c r="B303" t="str">
        <f>"000717"</f>
        <v>000717</v>
      </c>
      <c r="C303" t="s">
        <v>737</v>
      </c>
      <c r="D303" t="s">
        <v>443</v>
      </c>
      <c r="E303">
        <v>7067409444</v>
      </c>
      <c r="F303">
        <v>8321458076</v>
      </c>
      <c r="G303">
        <v>6229891922</v>
      </c>
      <c r="H303">
        <v>7046234585</v>
      </c>
      <c r="I303">
        <v>6022930962</v>
      </c>
      <c r="J303">
        <v>5052875105</v>
      </c>
      <c r="K303">
        <v>2146483642</v>
      </c>
      <c r="L303">
        <v>3419626155</v>
      </c>
      <c r="M303">
        <v>4464906616</v>
      </c>
      <c r="N303">
        <v>5213382437</v>
      </c>
      <c r="O303">
        <v>5163250583</v>
      </c>
      <c r="P303">
        <v>681</v>
      </c>
      <c r="Q303" t="s">
        <v>738</v>
      </c>
    </row>
    <row r="304" spans="1:17" x14ac:dyDescent="0.3">
      <c r="A304" t="s">
        <v>17</v>
      </c>
      <c r="B304" t="str">
        <f>"600531"</f>
        <v>600531</v>
      </c>
      <c r="C304" t="s">
        <v>739</v>
      </c>
      <c r="D304" t="s">
        <v>375</v>
      </c>
      <c r="E304">
        <v>7065808807</v>
      </c>
      <c r="F304">
        <v>6596088609</v>
      </c>
      <c r="G304">
        <v>3943687746</v>
      </c>
      <c r="H304">
        <v>5991508174</v>
      </c>
      <c r="I304">
        <v>5348430163</v>
      </c>
      <c r="J304">
        <v>4150181779</v>
      </c>
      <c r="K304">
        <v>3505018517</v>
      </c>
      <c r="L304">
        <v>2688981131</v>
      </c>
      <c r="M304">
        <v>2228285700</v>
      </c>
      <c r="N304">
        <v>3665939198</v>
      </c>
      <c r="O304">
        <v>3338381733</v>
      </c>
      <c r="P304">
        <v>148</v>
      </c>
      <c r="Q304" t="s">
        <v>740</v>
      </c>
    </row>
    <row r="305" spans="1:17" x14ac:dyDescent="0.3">
      <c r="A305" t="s">
        <v>17</v>
      </c>
      <c r="B305" t="str">
        <f>"600426"</f>
        <v>600426</v>
      </c>
      <c r="C305" t="s">
        <v>741</v>
      </c>
      <c r="D305" t="s">
        <v>589</v>
      </c>
      <c r="E305">
        <v>7055869100</v>
      </c>
      <c r="F305">
        <v>3844427711</v>
      </c>
      <c r="G305">
        <v>2950543296</v>
      </c>
      <c r="H305">
        <v>3622348727</v>
      </c>
      <c r="I305">
        <v>2633899518</v>
      </c>
      <c r="J305">
        <v>1733359865</v>
      </c>
      <c r="K305">
        <v>1711782980</v>
      </c>
      <c r="L305">
        <v>2196244167</v>
      </c>
      <c r="M305">
        <v>1950362097</v>
      </c>
      <c r="N305">
        <v>1621667290</v>
      </c>
      <c r="O305">
        <v>1049275474</v>
      </c>
      <c r="P305">
        <v>1013</v>
      </c>
      <c r="Q305" t="s">
        <v>742</v>
      </c>
    </row>
    <row r="306" spans="1:17" x14ac:dyDescent="0.3">
      <c r="A306" t="s">
        <v>17</v>
      </c>
      <c r="B306" t="str">
        <f>"688303"</f>
        <v>688303</v>
      </c>
      <c r="C306" t="s">
        <v>743</v>
      </c>
      <c r="D306" t="s">
        <v>252</v>
      </c>
      <c r="E306">
        <v>7032013989</v>
      </c>
      <c r="F306">
        <v>1363866282</v>
      </c>
      <c r="G306">
        <v>705273595</v>
      </c>
      <c r="P306">
        <v>108</v>
      </c>
      <c r="Q306" t="s">
        <v>744</v>
      </c>
    </row>
    <row r="307" spans="1:17" x14ac:dyDescent="0.3">
      <c r="A307" t="s">
        <v>17</v>
      </c>
      <c r="B307" t="str">
        <f>"601866"</f>
        <v>601866</v>
      </c>
      <c r="C307" t="s">
        <v>745</v>
      </c>
      <c r="D307" t="s">
        <v>62</v>
      </c>
      <c r="E307">
        <v>6987589200</v>
      </c>
      <c r="F307">
        <v>5091722556</v>
      </c>
      <c r="G307">
        <v>3860135329</v>
      </c>
      <c r="H307">
        <v>4451735041</v>
      </c>
      <c r="I307">
        <v>3712621927</v>
      </c>
      <c r="J307">
        <v>4221847100</v>
      </c>
      <c r="K307">
        <v>11087497765</v>
      </c>
      <c r="L307">
        <v>8377270870</v>
      </c>
      <c r="M307">
        <v>8918131729</v>
      </c>
      <c r="N307">
        <v>8310197572</v>
      </c>
      <c r="O307">
        <v>6882853036</v>
      </c>
      <c r="P307">
        <v>336</v>
      </c>
      <c r="Q307" t="s">
        <v>746</v>
      </c>
    </row>
    <row r="308" spans="1:17" x14ac:dyDescent="0.3">
      <c r="A308" t="s">
        <v>17</v>
      </c>
      <c r="B308" t="str">
        <f>"600219"</f>
        <v>600219</v>
      </c>
      <c r="C308" t="s">
        <v>747</v>
      </c>
      <c r="D308" t="s">
        <v>96</v>
      </c>
      <c r="E308">
        <v>6910785204</v>
      </c>
      <c r="F308">
        <v>4516520188</v>
      </c>
      <c r="G308">
        <v>4953907461</v>
      </c>
      <c r="H308">
        <v>4492793277</v>
      </c>
      <c r="I308">
        <v>3374759774</v>
      </c>
      <c r="J308">
        <v>3756777740</v>
      </c>
      <c r="K308">
        <v>2942416363</v>
      </c>
      <c r="L308">
        <v>3305787539</v>
      </c>
      <c r="M308">
        <v>3828077263</v>
      </c>
      <c r="N308">
        <v>4207831265</v>
      </c>
      <c r="O308">
        <v>3479817556</v>
      </c>
      <c r="P308">
        <v>609</v>
      </c>
      <c r="Q308" t="s">
        <v>748</v>
      </c>
    </row>
    <row r="309" spans="1:17" x14ac:dyDescent="0.3">
      <c r="A309" t="s">
        <v>17</v>
      </c>
      <c r="B309" t="str">
        <f>"600021"</f>
        <v>600021</v>
      </c>
      <c r="C309" t="s">
        <v>749</v>
      </c>
      <c r="D309" t="s">
        <v>88</v>
      </c>
      <c r="E309">
        <v>6889327846</v>
      </c>
      <c r="F309">
        <v>6097959349</v>
      </c>
      <c r="G309">
        <v>5402975720</v>
      </c>
      <c r="H309">
        <v>5063688499</v>
      </c>
      <c r="I309">
        <v>5828571500</v>
      </c>
      <c r="J309">
        <v>4679559251</v>
      </c>
      <c r="K309">
        <v>4832970366</v>
      </c>
      <c r="L309">
        <v>5251328147</v>
      </c>
      <c r="M309">
        <v>4637549872</v>
      </c>
      <c r="N309">
        <v>4897049608</v>
      </c>
      <c r="O309">
        <v>4833334768</v>
      </c>
      <c r="P309">
        <v>336</v>
      </c>
      <c r="Q309" t="s">
        <v>750</v>
      </c>
    </row>
    <row r="310" spans="1:17" x14ac:dyDescent="0.3">
      <c r="A310" t="s">
        <v>75</v>
      </c>
      <c r="B310" t="str">
        <f>"002271"</f>
        <v>002271</v>
      </c>
      <c r="C310" t="s">
        <v>751</v>
      </c>
      <c r="D310" t="s">
        <v>752</v>
      </c>
      <c r="E310">
        <v>6883223599</v>
      </c>
      <c r="F310">
        <v>5874400193</v>
      </c>
      <c r="G310">
        <v>3139655287</v>
      </c>
      <c r="H310">
        <v>3791930000</v>
      </c>
      <c r="I310">
        <v>2475632417</v>
      </c>
      <c r="J310">
        <v>1970365544</v>
      </c>
      <c r="K310">
        <v>1547067029</v>
      </c>
      <c r="L310">
        <v>1203356321</v>
      </c>
      <c r="M310">
        <v>939403020</v>
      </c>
      <c r="N310">
        <v>560097893</v>
      </c>
      <c r="O310">
        <v>462364380</v>
      </c>
      <c r="P310">
        <v>22866</v>
      </c>
      <c r="Q310" t="s">
        <v>753</v>
      </c>
    </row>
    <row r="311" spans="1:17" x14ac:dyDescent="0.3">
      <c r="A311" t="s">
        <v>75</v>
      </c>
      <c r="B311" t="str">
        <f>"300760"</f>
        <v>300760</v>
      </c>
      <c r="C311" t="s">
        <v>754</v>
      </c>
      <c r="D311" t="s">
        <v>334</v>
      </c>
      <c r="E311">
        <v>6844179238</v>
      </c>
      <c r="F311">
        <v>6162221356</v>
      </c>
      <c r="G311">
        <v>5626127941</v>
      </c>
      <c r="H311">
        <v>4114178045</v>
      </c>
      <c r="I311">
        <v>3324711116</v>
      </c>
      <c r="P311">
        <v>4593</v>
      </c>
      <c r="Q311" t="s">
        <v>755</v>
      </c>
    </row>
    <row r="312" spans="1:17" x14ac:dyDescent="0.3">
      <c r="A312" t="s">
        <v>17</v>
      </c>
      <c r="B312" t="str">
        <f>"600642"</f>
        <v>600642</v>
      </c>
      <c r="C312" t="s">
        <v>756</v>
      </c>
      <c r="D312" t="s">
        <v>88</v>
      </c>
      <c r="E312">
        <v>6821844052</v>
      </c>
      <c r="F312">
        <v>6440831826</v>
      </c>
      <c r="G312">
        <v>6021506341</v>
      </c>
      <c r="H312">
        <v>13531525119</v>
      </c>
      <c r="I312">
        <v>10454466630</v>
      </c>
      <c r="J312">
        <v>10439151293</v>
      </c>
      <c r="K312">
        <v>8767843283</v>
      </c>
      <c r="L312">
        <v>9897583252</v>
      </c>
      <c r="M312">
        <v>9043857988</v>
      </c>
      <c r="N312">
        <v>8161428236</v>
      </c>
      <c r="O312">
        <v>8090842076</v>
      </c>
      <c r="P312">
        <v>459</v>
      </c>
      <c r="Q312" t="s">
        <v>757</v>
      </c>
    </row>
    <row r="313" spans="1:17" x14ac:dyDescent="0.3">
      <c r="A313" t="s">
        <v>75</v>
      </c>
      <c r="B313" t="str">
        <f>"000905"</f>
        <v>000905</v>
      </c>
      <c r="C313" t="s">
        <v>758</v>
      </c>
      <c r="D313" t="s">
        <v>383</v>
      </c>
      <c r="E313">
        <v>6802883796</v>
      </c>
      <c r="F313">
        <v>5837768585</v>
      </c>
      <c r="G313">
        <v>3607252856</v>
      </c>
      <c r="H313">
        <v>3661311125</v>
      </c>
      <c r="I313">
        <v>4190188458</v>
      </c>
      <c r="J313">
        <v>3183583118</v>
      </c>
      <c r="K313">
        <v>2037705721</v>
      </c>
      <c r="L313">
        <v>1877299760</v>
      </c>
      <c r="M313">
        <v>1855948915</v>
      </c>
      <c r="N313">
        <v>700655082</v>
      </c>
      <c r="O313">
        <v>550993962</v>
      </c>
      <c r="P313">
        <v>213</v>
      </c>
      <c r="Q313" t="s">
        <v>759</v>
      </c>
    </row>
    <row r="314" spans="1:17" x14ac:dyDescent="0.3">
      <c r="A314" t="s">
        <v>75</v>
      </c>
      <c r="B314" t="str">
        <f>"000543"</f>
        <v>000543</v>
      </c>
      <c r="C314" t="s">
        <v>760</v>
      </c>
      <c r="D314" t="s">
        <v>88</v>
      </c>
      <c r="E314">
        <v>6765648213</v>
      </c>
      <c r="F314">
        <v>5183051534</v>
      </c>
      <c r="G314">
        <v>4341847210</v>
      </c>
      <c r="H314">
        <v>4556885560</v>
      </c>
      <c r="I314">
        <v>3578896784</v>
      </c>
      <c r="J314">
        <v>3122487513</v>
      </c>
      <c r="K314">
        <v>2930626520</v>
      </c>
      <c r="L314">
        <v>3374784608</v>
      </c>
      <c r="M314">
        <v>3772397774</v>
      </c>
      <c r="N314">
        <v>2514433165</v>
      </c>
      <c r="O314">
        <v>1870366094</v>
      </c>
      <c r="P314">
        <v>322</v>
      </c>
      <c r="Q314" t="s">
        <v>761</v>
      </c>
    </row>
    <row r="315" spans="1:17" x14ac:dyDescent="0.3">
      <c r="A315" t="s">
        <v>75</v>
      </c>
      <c r="B315" t="str">
        <f>"000951"</f>
        <v>000951</v>
      </c>
      <c r="C315" t="s">
        <v>762</v>
      </c>
      <c r="D315" t="s">
        <v>494</v>
      </c>
      <c r="E315">
        <v>6759288664</v>
      </c>
      <c r="F315">
        <v>11410700059</v>
      </c>
      <c r="G315">
        <v>11223121994</v>
      </c>
      <c r="H315">
        <v>11047945274</v>
      </c>
      <c r="I315">
        <v>11346321109</v>
      </c>
      <c r="J315">
        <v>7284846891</v>
      </c>
      <c r="K315">
        <v>4693845578</v>
      </c>
      <c r="L315">
        <v>6502285940</v>
      </c>
      <c r="M315">
        <v>7192698318</v>
      </c>
      <c r="N315">
        <v>5341625542</v>
      </c>
      <c r="O315">
        <v>5146347305</v>
      </c>
      <c r="P315">
        <v>856</v>
      </c>
      <c r="Q315" t="s">
        <v>763</v>
      </c>
    </row>
    <row r="316" spans="1:17" x14ac:dyDescent="0.3">
      <c r="A316" t="s">
        <v>75</v>
      </c>
      <c r="B316" t="str">
        <f>"002462"</f>
        <v>002462</v>
      </c>
      <c r="C316" t="s">
        <v>764</v>
      </c>
      <c r="D316" t="s">
        <v>123</v>
      </c>
      <c r="E316">
        <v>6756199214</v>
      </c>
      <c r="F316">
        <v>6821044036</v>
      </c>
      <c r="G316">
        <v>4988937778</v>
      </c>
      <c r="H316">
        <v>5540391847</v>
      </c>
      <c r="I316">
        <v>3886921881</v>
      </c>
      <c r="J316">
        <v>3305213458</v>
      </c>
      <c r="K316">
        <v>2397219323</v>
      </c>
      <c r="L316">
        <v>1693465531</v>
      </c>
      <c r="M316">
        <v>1197300343</v>
      </c>
      <c r="N316">
        <v>769602921</v>
      </c>
      <c r="O316">
        <v>576029960</v>
      </c>
      <c r="P316">
        <v>258</v>
      </c>
      <c r="Q316" t="s">
        <v>765</v>
      </c>
    </row>
    <row r="317" spans="1:17" x14ac:dyDescent="0.3">
      <c r="A317" t="s">
        <v>75</v>
      </c>
      <c r="B317" t="str">
        <f>"002157"</f>
        <v>002157</v>
      </c>
      <c r="C317" t="s">
        <v>766</v>
      </c>
      <c r="D317" t="s">
        <v>218</v>
      </c>
      <c r="E317">
        <v>6736468101</v>
      </c>
      <c r="F317">
        <v>12848005949</v>
      </c>
      <c r="G317">
        <v>7136288151</v>
      </c>
      <c r="H317">
        <v>5190046686</v>
      </c>
      <c r="I317">
        <v>5054530673</v>
      </c>
      <c r="J317">
        <v>4550818441</v>
      </c>
      <c r="K317">
        <v>4003898578</v>
      </c>
      <c r="L317">
        <v>3571101749</v>
      </c>
      <c r="M317">
        <v>3555890178</v>
      </c>
      <c r="N317">
        <v>3380793487</v>
      </c>
      <c r="O317">
        <v>2726916201</v>
      </c>
      <c r="P317">
        <v>1128</v>
      </c>
      <c r="Q317" t="s">
        <v>767</v>
      </c>
    </row>
    <row r="318" spans="1:17" x14ac:dyDescent="0.3">
      <c r="A318" t="s">
        <v>75</v>
      </c>
      <c r="B318" t="str">
        <f>"002128"</f>
        <v>002128</v>
      </c>
      <c r="C318" t="s">
        <v>768</v>
      </c>
      <c r="D318" t="s">
        <v>71</v>
      </c>
      <c r="E318">
        <v>6722759310</v>
      </c>
      <c r="F318">
        <v>4445810834</v>
      </c>
      <c r="G318">
        <v>3978503983</v>
      </c>
      <c r="H318">
        <v>1028658096</v>
      </c>
      <c r="I318">
        <v>1069608974</v>
      </c>
      <c r="J318">
        <v>1957325772</v>
      </c>
      <c r="K318">
        <v>418170707</v>
      </c>
      <c r="L318">
        <v>813305264</v>
      </c>
      <c r="M318">
        <v>1185639696</v>
      </c>
      <c r="N318">
        <v>1492647612</v>
      </c>
      <c r="O318">
        <v>1585170788</v>
      </c>
      <c r="P318">
        <v>1050</v>
      </c>
      <c r="Q318" t="s">
        <v>769</v>
      </c>
    </row>
    <row r="319" spans="1:17" x14ac:dyDescent="0.3">
      <c r="A319" t="s">
        <v>17</v>
      </c>
      <c r="B319" t="str">
        <f>"600295"</f>
        <v>600295</v>
      </c>
      <c r="C319" t="s">
        <v>770</v>
      </c>
      <c r="D319" t="s">
        <v>771</v>
      </c>
      <c r="E319">
        <v>6703203751</v>
      </c>
      <c r="F319">
        <v>6292823698</v>
      </c>
      <c r="G319">
        <v>2676674322</v>
      </c>
      <c r="H319">
        <v>4202413495</v>
      </c>
      <c r="I319">
        <v>4483110614</v>
      </c>
      <c r="J319">
        <v>5418900087</v>
      </c>
      <c r="K319">
        <v>4643197808</v>
      </c>
      <c r="L319">
        <v>3163392065</v>
      </c>
      <c r="M319">
        <v>3344223677</v>
      </c>
      <c r="N319">
        <v>3250319068</v>
      </c>
      <c r="O319">
        <v>2626968097</v>
      </c>
      <c r="P319">
        <v>435</v>
      </c>
      <c r="Q319" t="s">
        <v>772</v>
      </c>
    </row>
    <row r="320" spans="1:17" x14ac:dyDescent="0.3">
      <c r="A320" t="s">
        <v>17</v>
      </c>
      <c r="B320" t="str">
        <f>"600873"</f>
        <v>600873</v>
      </c>
      <c r="C320" t="s">
        <v>773</v>
      </c>
      <c r="D320" t="s">
        <v>774</v>
      </c>
      <c r="E320">
        <v>6697255056</v>
      </c>
      <c r="F320">
        <v>4710979519</v>
      </c>
      <c r="G320">
        <v>3504521976</v>
      </c>
      <c r="H320">
        <v>3175037391</v>
      </c>
      <c r="I320">
        <v>3173821193</v>
      </c>
      <c r="J320">
        <v>2691587772</v>
      </c>
      <c r="K320">
        <v>2289478548</v>
      </c>
      <c r="L320">
        <v>3219586903</v>
      </c>
      <c r="M320">
        <v>1696557674</v>
      </c>
      <c r="N320">
        <v>1727648290</v>
      </c>
      <c r="O320">
        <v>1695569979</v>
      </c>
      <c r="P320">
        <v>990</v>
      </c>
      <c r="Q320" t="s">
        <v>775</v>
      </c>
    </row>
    <row r="321" spans="1:17" x14ac:dyDescent="0.3">
      <c r="A321" t="s">
        <v>17</v>
      </c>
      <c r="B321" t="str">
        <f>"600482"</f>
        <v>600482</v>
      </c>
      <c r="C321" t="s">
        <v>776</v>
      </c>
      <c r="D321" t="s">
        <v>465</v>
      </c>
      <c r="E321">
        <v>6691647063</v>
      </c>
      <c r="F321">
        <v>6827374335</v>
      </c>
      <c r="G321">
        <v>3749048203</v>
      </c>
      <c r="H321">
        <v>5637100870</v>
      </c>
      <c r="I321">
        <v>4927700404</v>
      </c>
      <c r="J321">
        <v>3977027186</v>
      </c>
      <c r="K321">
        <v>1229392872</v>
      </c>
      <c r="L321">
        <v>1172970007</v>
      </c>
      <c r="M321">
        <v>1074589545</v>
      </c>
      <c r="N321">
        <v>925225209</v>
      </c>
      <c r="O321">
        <v>1116810557</v>
      </c>
      <c r="P321">
        <v>339</v>
      </c>
      <c r="Q321" t="s">
        <v>777</v>
      </c>
    </row>
    <row r="322" spans="1:17" x14ac:dyDescent="0.3">
      <c r="A322" t="s">
        <v>17</v>
      </c>
      <c r="B322" t="str">
        <f>"600660"</f>
        <v>600660</v>
      </c>
      <c r="C322" t="s">
        <v>778</v>
      </c>
      <c r="D322" t="s">
        <v>194</v>
      </c>
      <c r="E322">
        <v>6688404740</v>
      </c>
      <c r="F322">
        <v>6195699596</v>
      </c>
      <c r="G322">
        <v>5170575736</v>
      </c>
      <c r="H322">
        <v>5528760686</v>
      </c>
      <c r="I322">
        <v>5578377122</v>
      </c>
      <c r="J322">
        <v>5188972399</v>
      </c>
      <c r="K322">
        <v>3826823060</v>
      </c>
      <c r="L322">
        <v>3383555062</v>
      </c>
      <c r="M322">
        <v>3154803938</v>
      </c>
      <c r="N322">
        <v>2775967642</v>
      </c>
      <c r="O322">
        <v>2675592605</v>
      </c>
      <c r="P322">
        <v>13818</v>
      </c>
      <c r="Q322" t="s">
        <v>779</v>
      </c>
    </row>
    <row r="323" spans="1:17" x14ac:dyDescent="0.3">
      <c r="A323" t="s">
        <v>17</v>
      </c>
      <c r="B323" t="str">
        <f>"601156"</f>
        <v>601156</v>
      </c>
      <c r="C323" t="s">
        <v>780</v>
      </c>
      <c r="D323" t="s">
        <v>229</v>
      </c>
      <c r="E323">
        <v>6665378126</v>
      </c>
      <c r="F323">
        <v>4492659022</v>
      </c>
      <c r="P323">
        <v>105</v>
      </c>
      <c r="Q323" t="s">
        <v>781</v>
      </c>
    </row>
    <row r="324" spans="1:17" x14ac:dyDescent="0.3">
      <c r="A324" t="s">
        <v>17</v>
      </c>
      <c r="B324" t="str">
        <f>"600549"</f>
        <v>600549</v>
      </c>
      <c r="C324" t="s">
        <v>782</v>
      </c>
      <c r="D324" t="s">
        <v>783</v>
      </c>
      <c r="E324">
        <v>6626291435</v>
      </c>
      <c r="F324">
        <v>3795838194</v>
      </c>
      <c r="G324">
        <v>2501478735</v>
      </c>
      <c r="H324">
        <v>2839273393</v>
      </c>
      <c r="I324">
        <v>2529799707</v>
      </c>
      <c r="J324">
        <v>1790671769</v>
      </c>
      <c r="K324">
        <v>1402365977</v>
      </c>
      <c r="L324">
        <v>1533612275</v>
      </c>
      <c r="M324">
        <v>1901697838</v>
      </c>
      <c r="N324">
        <v>1644717848</v>
      </c>
      <c r="O324">
        <v>1932211753</v>
      </c>
      <c r="P324">
        <v>446</v>
      </c>
      <c r="Q324" t="s">
        <v>784</v>
      </c>
    </row>
    <row r="325" spans="1:17" x14ac:dyDescent="0.3">
      <c r="A325" t="s">
        <v>17</v>
      </c>
      <c r="B325" t="str">
        <f>"601717"</f>
        <v>601717</v>
      </c>
      <c r="C325" t="s">
        <v>785</v>
      </c>
      <c r="D325" t="s">
        <v>786</v>
      </c>
      <c r="E325">
        <v>6561958971</v>
      </c>
      <c r="F325">
        <v>6148872060</v>
      </c>
      <c r="G325">
        <v>5487301837</v>
      </c>
      <c r="H325">
        <v>6181100771</v>
      </c>
      <c r="I325">
        <v>2087943147</v>
      </c>
      <c r="J325">
        <v>983940202</v>
      </c>
      <c r="K325">
        <v>764883777</v>
      </c>
      <c r="L325">
        <v>804682713</v>
      </c>
      <c r="M325">
        <v>563199567</v>
      </c>
      <c r="N325">
        <v>720932006</v>
      </c>
      <c r="O325">
        <v>1028230218</v>
      </c>
      <c r="P325">
        <v>318</v>
      </c>
      <c r="Q325" t="s">
        <v>787</v>
      </c>
    </row>
    <row r="326" spans="1:17" x14ac:dyDescent="0.3">
      <c r="A326" t="s">
        <v>75</v>
      </c>
      <c r="B326" t="str">
        <f>"000031"</f>
        <v>000031</v>
      </c>
      <c r="C326" t="s">
        <v>788</v>
      </c>
      <c r="D326" t="s">
        <v>179</v>
      </c>
      <c r="E326">
        <v>6512820992</v>
      </c>
      <c r="F326">
        <v>8969086374</v>
      </c>
      <c r="G326">
        <v>4750711921</v>
      </c>
      <c r="H326">
        <v>7289265534</v>
      </c>
      <c r="I326">
        <v>4068457472</v>
      </c>
      <c r="J326">
        <v>3006341826</v>
      </c>
      <c r="K326">
        <v>3637154304</v>
      </c>
      <c r="L326">
        <v>2299583009</v>
      </c>
      <c r="M326">
        <v>1615368864</v>
      </c>
      <c r="N326">
        <v>2576037822</v>
      </c>
      <c r="O326">
        <v>977899565</v>
      </c>
      <c r="P326">
        <v>327</v>
      </c>
      <c r="Q326" t="s">
        <v>789</v>
      </c>
    </row>
    <row r="327" spans="1:17" x14ac:dyDescent="0.3">
      <c r="A327" t="s">
        <v>17</v>
      </c>
      <c r="B327" t="str">
        <f>"600141"</f>
        <v>600141</v>
      </c>
      <c r="C327" t="s">
        <v>790</v>
      </c>
      <c r="D327" t="s">
        <v>354</v>
      </c>
      <c r="E327">
        <v>6497055577</v>
      </c>
      <c r="F327">
        <v>3641543336</v>
      </c>
      <c r="G327">
        <v>2764645424</v>
      </c>
      <c r="H327">
        <v>3286188520</v>
      </c>
      <c r="I327">
        <v>3118187594</v>
      </c>
      <c r="J327">
        <v>2878228766</v>
      </c>
      <c r="K327">
        <v>2636463211</v>
      </c>
      <c r="L327">
        <v>2377953100</v>
      </c>
      <c r="M327">
        <v>2189514648</v>
      </c>
      <c r="N327">
        <v>2283628896</v>
      </c>
      <c r="O327">
        <v>2145866880</v>
      </c>
      <c r="P327">
        <v>426</v>
      </c>
      <c r="Q327" t="s">
        <v>791</v>
      </c>
    </row>
    <row r="328" spans="1:17" x14ac:dyDescent="0.3">
      <c r="A328" t="s">
        <v>17</v>
      </c>
      <c r="B328" t="str">
        <f>"603708"</f>
        <v>603708</v>
      </c>
      <c r="C328" t="s">
        <v>792</v>
      </c>
      <c r="D328" t="s">
        <v>208</v>
      </c>
      <c r="E328">
        <v>6492939579</v>
      </c>
      <c r="F328">
        <v>6114629911</v>
      </c>
      <c r="G328">
        <v>6175925564</v>
      </c>
      <c r="H328">
        <v>4623859792</v>
      </c>
      <c r="I328">
        <v>4060939763</v>
      </c>
      <c r="J328">
        <v>3816872295</v>
      </c>
      <c r="K328">
        <v>3779074868</v>
      </c>
      <c r="P328">
        <v>702</v>
      </c>
      <c r="Q328" t="s">
        <v>793</v>
      </c>
    </row>
    <row r="329" spans="1:17" x14ac:dyDescent="0.3">
      <c r="A329" t="s">
        <v>17</v>
      </c>
      <c r="B329" t="str">
        <f>"601127"</f>
        <v>601127</v>
      </c>
      <c r="C329" t="s">
        <v>794</v>
      </c>
      <c r="D329" t="s">
        <v>38</v>
      </c>
      <c r="E329">
        <v>6464225372</v>
      </c>
      <c r="F329">
        <v>4228035096</v>
      </c>
      <c r="G329">
        <v>3428245821</v>
      </c>
      <c r="H329">
        <v>3532769957</v>
      </c>
      <c r="I329">
        <v>5111485000</v>
      </c>
      <c r="J329">
        <v>5677050369</v>
      </c>
      <c r="K329">
        <v>2478948638</v>
      </c>
      <c r="L329">
        <v>0</v>
      </c>
      <c r="P329">
        <v>476</v>
      </c>
      <c r="Q329" t="s">
        <v>795</v>
      </c>
    </row>
    <row r="330" spans="1:17" x14ac:dyDescent="0.3">
      <c r="A330" t="s">
        <v>17</v>
      </c>
      <c r="B330" t="str">
        <f>"600970"</f>
        <v>600970</v>
      </c>
      <c r="C330" t="s">
        <v>796</v>
      </c>
      <c r="D330" t="s">
        <v>797</v>
      </c>
      <c r="E330">
        <v>6461135283</v>
      </c>
      <c r="F330">
        <v>4627314789</v>
      </c>
      <c r="G330">
        <v>4044307099</v>
      </c>
      <c r="H330">
        <v>4552584936</v>
      </c>
      <c r="I330">
        <v>4183690261</v>
      </c>
      <c r="J330">
        <v>4644057422</v>
      </c>
      <c r="K330">
        <v>3895830042</v>
      </c>
      <c r="L330">
        <v>3804206906</v>
      </c>
      <c r="M330">
        <v>3176675181</v>
      </c>
      <c r="N330">
        <v>3821142048</v>
      </c>
      <c r="O330">
        <v>7679780577</v>
      </c>
      <c r="P330">
        <v>853</v>
      </c>
      <c r="Q330" t="s">
        <v>798</v>
      </c>
    </row>
    <row r="331" spans="1:17" x14ac:dyDescent="0.3">
      <c r="A331" t="s">
        <v>17</v>
      </c>
      <c r="B331" t="str">
        <f>"600157"</f>
        <v>600157</v>
      </c>
      <c r="C331" t="s">
        <v>799</v>
      </c>
      <c r="D331" t="s">
        <v>306</v>
      </c>
      <c r="E331">
        <v>6295331112</v>
      </c>
      <c r="F331">
        <v>4181815831</v>
      </c>
      <c r="G331">
        <v>3598416061</v>
      </c>
      <c r="H331">
        <v>3480365313</v>
      </c>
      <c r="I331">
        <v>6318125925</v>
      </c>
      <c r="J331">
        <v>5268781038</v>
      </c>
      <c r="K331">
        <v>2315366647</v>
      </c>
      <c r="L331">
        <v>1487168148</v>
      </c>
      <c r="M331">
        <v>1277043282</v>
      </c>
      <c r="N331">
        <v>2541723372</v>
      </c>
      <c r="O331">
        <v>1048941396</v>
      </c>
      <c r="P331">
        <v>226</v>
      </c>
      <c r="Q331" t="s">
        <v>800</v>
      </c>
    </row>
    <row r="332" spans="1:17" x14ac:dyDescent="0.3">
      <c r="A332" t="s">
        <v>75</v>
      </c>
      <c r="B332" t="str">
        <f>"000062"</f>
        <v>000062</v>
      </c>
      <c r="C332" t="s">
        <v>801</v>
      </c>
      <c r="D332" t="s">
        <v>221</v>
      </c>
      <c r="E332">
        <v>6290983761</v>
      </c>
      <c r="F332">
        <v>5032095594</v>
      </c>
      <c r="G332">
        <v>3372926706</v>
      </c>
      <c r="H332">
        <v>3044973444</v>
      </c>
      <c r="I332">
        <v>2331898978</v>
      </c>
      <c r="J332">
        <v>1647756081</v>
      </c>
      <c r="K332">
        <v>1018727588</v>
      </c>
      <c r="L332">
        <v>191334515</v>
      </c>
      <c r="M332">
        <v>314513482</v>
      </c>
      <c r="N332">
        <v>376464821</v>
      </c>
      <c r="O332">
        <v>471194334</v>
      </c>
      <c r="P332">
        <v>300</v>
      </c>
      <c r="Q332" t="s">
        <v>802</v>
      </c>
    </row>
    <row r="333" spans="1:17" x14ac:dyDescent="0.3">
      <c r="A333" t="s">
        <v>75</v>
      </c>
      <c r="B333" t="str">
        <f>"000517"</f>
        <v>000517</v>
      </c>
      <c r="C333" t="s">
        <v>803</v>
      </c>
      <c r="D333" t="s">
        <v>65</v>
      </c>
      <c r="E333">
        <v>6287134119</v>
      </c>
      <c r="F333">
        <v>5042452292</v>
      </c>
      <c r="G333">
        <v>2389114981</v>
      </c>
      <c r="H333">
        <v>2071537498</v>
      </c>
      <c r="I333">
        <v>2242072010</v>
      </c>
      <c r="J333">
        <v>1407239396</v>
      </c>
      <c r="K333">
        <v>780699050</v>
      </c>
      <c r="L333">
        <v>210708719</v>
      </c>
      <c r="M333">
        <v>307089651</v>
      </c>
      <c r="N333">
        <v>1207701198</v>
      </c>
      <c r="O333">
        <v>861846074</v>
      </c>
      <c r="P333">
        <v>312</v>
      </c>
      <c r="Q333" t="s">
        <v>804</v>
      </c>
    </row>
    <row r="334" spans="1:17" x14ac:dyDescent="0.3">
      <c r="A334" t="s">
        <v>17</v>
      </c>
      <c r="B334" t="str">
        <f>"600340"</f>
        <v>600340</v>
      </c>
      <c r="C334" t="s">
        <v>805</v>
      </c>
      <c r="D334" t="s">
        <v>806</v>
      </c>
      <c r="E334">
        <v>6191531992</v>
      </c>
      <c r="F334">
        <v>12894493106</v>
      </c>
      <c r="G334">
        <v>11504640641</v>
      </c>
      <c r="H334">
        <v>15651995593</v>
      </c>
      <c r="I334">
        <v>15035762871</v>
      </c>
      <c r="J334">
        <v>23447623395</v>
      </c>
      <c r="K334">
        <v>13203657288</v>
      </c>
      <c r="L334">
        <v>8905337642</v>
      </c>
      <c r="M334">
        <v>7826566583</v>
      </c>
      <c r="N334">
        <v>5271286830</v>
      </c>
      <c r="O334">
        <v>2880136361</v>
      </c>
      <c r="P334">
        <v>22451</v>
      </c>
      <c r="Q334" t="s">
        <v>807</v>
      </c>
    </row>
    <row r="335" spans="1:17" x14ac:dyDescent="0.3">
      <c r="A335" t="s">
        <v>75</v>
      </c>
      <c r="B335" t="str">
        <f>"000596"</f>
        <v>000596</v>
      </c>
      <c r="C335" t="s">
        <v>808</v>
      </c>
      <c r="D335" t="s">
        <v>201</v>
      </c>
      <c r="E335">
        <v>6167095754</v>
      </c>
      <c r="F335">
        <v>3981804657</v>
      </c>
      <c r="G335">
        <v>4415909824</v>
      </c>
      <c r="H335">
        <v>3282900143</v>
      </c>
      <c r="I335">
        <v>2317913398</v>
      </c>
      <c r="J335">
        <v>2217759396</v>
      </c>
      <c r="K335">
        <v>1752652055</v>
      </c>
      <c r="L335">
        <v>1593219475</v>
      </c>
      <c r="M335">
        <v>1541321836</v>
      </c>
      <c r="N335">
        <v>1524683964</v>
      </c>
      <c r="O335">
        <v>1362864829</v>
      </c>
      <c r="P335">
        <v>53678</v>
      </c>
      <c r="Q335" t="s">
        <v>809</v>
      </c>
    </row>
    <row r="336" spans="1:17" x14ac:dyDescent="0.3">
      <c r="A336" t="s">
        <v>75</v>
      </c>
      <c r="B336" t="str">
        <f>"000553"</f>
        <v>000553</v>
      </c>
      <c r="C336" t="s">
        <v>810</v>
      </c>
      <c r="D336" t="s">
        <v>811</v>
      </c>
      <c r="E336">
        <v>6144476000</v>
      </c>
      <c r="F336">
        <v>5246605000</v>
      </c>
      <c r="G336">
        <v>5144846000</v>
      </c>
      <c r="H336">
        <v>5006120000</v>
      </c>
      <c r="I336">
        <v>4913941000</v>
      </c>
      <c r="J336">
        <v>340551773</v>
      </c>
      <c r="K336">
        <v>253177380</v>
      </c>
      <c r="L336">
        <v>378778289</v>
      </c>
      <c r="M336">
        <v>654860051</v>
      </c>
      <c r="N336">
        <v>461866937</v>
      </c>
      <c r="O336">
        <v>442474828</v>
      </c>
      <c r="P336">
        <v>227</v>
      </c>
      <c r="Q336" t="s">
        <v>812</v>
      </c>
    </row>
    <row r="337" spans="1:17" x14ac:dyDescent="0.3">
      <c r="A337" t="s">
        <v>17</v>
      </c>
      <c r="B337" t="str">
        <f>"600398"</f>
        <v>600398</v>
      </c>
      <c r="C337" t="s">
        <v>813</v>
      </c>
      <c r="D337" t="s">
        <v>814</v>
      </c>
      <c r="E337">
        <v>6140819284</v>
      </c>
      <c r="F337">
        <v>6153683547</v>
      </c>
      <c r="G337">
        <v>4059283790</v>
      </c>
      <c r="H337">
        <v>7469017282</v>
      </c>
      <c r="I337">
        <v>6417326617</v>
      </c>
      <c r="J337">
        <v>6011636896</v>
      </c>
      <c r="K337">
        <v>5813254101</v>
      </c>
      <c r="L337">
        <v>6349893136</v>
      </c>
      <c r="M337">
        <v>3379554535</v>
      </c>
      <c r="N337">
        <v>324800934</v>
      </c>
      <c r="O337">
        <v>350806456</v>
      </c>
      <c r="P337">
        <v>2674</v>
      </c>
      <c r="Q337" t="s">
        <v>815</v>
      </c>
    </row>
    <row r="338" spans="1:17" x14ac:dyDescent="0.3">
      <c r="A338" t="s">
        <v>75</v>
      </c>
      <c r="B338" t="str">
        <f>"000751"</f>
        <v>000751</v>
      </c>
      <c r="C338" t="s">
        <v>816</v>
      </c>
      <c r="D338" t="s">
        <v>375</v>
      </c>
      <c r="E338">
        <v>6115824883</v>
      </c>
      <c r="F338">
        <v>2041238266</v>
      </c>
      <c r="G338">
        <v>1854828614</v>
      </c>
      <c r="H338">
        <v>1888010260</v>
      </c>
      <c r="I338">
        <v>2106115157</v>
      </c>
      <c r="J338">
        <v>1547327397</v>
      </c>
      <c r="K338">
        <v>1020987140</v>
      </c>
      <c r="L338">
        <v>1119788003</v>
      </c>
      <c r="M338">
        <v>823614839</v>
      </c>
      <c r="N338">
        <v>879096471</v>
      </c>
      <c r="O338">
        <v>2792707826</v>
      </c>
      <c r="P338">
        <v>128</v>
      </c>
      <c r="Q338" t="s">
        <v>817</v>
      </c>
    </row>
    <row r="339" spans="1:17" x14ac:dyDescent="0.3">
      <c r="A339" t="s">
        <v>17</v>
      </c>
      <c r="B339" t="str">
        <f>"600801"</f>
        <v>600801</v>
      </c>
      <c r="C339" t="s">
        <v>818</v>
      </c>
      <c r="D339" t="s">
        <v>191</v>
      </c>
      <c r="E339">
        <v>6115483240</v>
      </c>
      <c r="F339">
        <v>5974603429</v>
      </c>
      <c r="G339">
        <v>4833632179</v>
      </c>
      <c r="H339">
        <v>6812644946</v>
      </c>
      <c r="I339">
        <v>5378712405</v>
      </c>
      <c r="J339">
        <v>4372611778</v>
      </c>
      <c r="K339">
        <v>2917441593</v>
      </c>
      <c r="L339">
        <v>3389489785</v>
      </c>
      <c r="M339">
        <v>3792643797</v>
      </c>
      <c r="N339">
        <v>2939337928</v>
      </c>
      <c r="O339">
        <v>2633675125</v>
      </c>
      <c r="P339">
        <v>1595</v>
      </c>
      <c r="Q339" t="s">
        <v>819</v>
      </c>
    </row>
    <row r="340" spans="1:17" x14ac:dyDescent="0.3">
      <c r="A340" t="s">
        <v>75</v>
      </c>
      <c r="B340" t="str">
        <f>"002064"</f>
        <v>002064</v>
      </c>
      <c r="C340" t="s">
        <v>820</v>
      </c>
      <c r="D340" t="s">
        <v>821</v>
      </c>
      <c r="E340">
        <v>6103962701</v>
      </c>
      <c r="F340">
        <v>3840839652</v>
      </c>
      <c r="G340">
        <v>2766303238</v>
      </c>
      <c r="H340">
        <v>898543778</v>
      </c>
      <c r="I340">
        <v>821559562</v>
      </c>
      <c r="J340">
        <v>510730222</v>
      </c>
      <c r="K340">
        <v>365065031</v>
      </c>
      <c r="L340">
        <v>303893850</v>
      </c>
      <c r="M340">
        <v>401747490</v>
      </c>
      <c r="N340">
        <v>408900900</v>
      </c>
      <c r="O340">
        <v>288085448</v>
      </c>
      <c r="P340">
        <v>686</v>
      </c>
      <c r="Q340" t="s">
        <v>822</v>
      </c>
    </row>
    <row r="341" spans="1:17" x14ac:dyDescent="0.3">
      <c r="A341" t="s">
        <v>17</v>
      </c>
      <c r="B341" t="str">
        <f>"603609"</f>
        <v>603609</v>
      </c>
      <c r="C341" t="s">
        <v>823</v>
      </c>
      <c r="D341" t="s">
        <v>824</v>
      </c>
      <c r="E341">
        <v>6101712649</v>
      </c>
      <c r="F341">
        <v>6047568933</v>
      </c>
      <c r="G341">
        <v>4168715416</v>
      </c>
      <c r="H341">
        <v>3317353263</v>
      </c>
      <c r="I341">
        <v>2999846830</v>
      </c>
      <c r="J341">
        <v>2550545603</v>
      </c>
      <c r="K341">
        <v>1915327273</v>
      </c>
      <c r="L341">
        <v>1754386644</v>
      </c>
      <c r="M341">
        <v>0</v>
      </c>
      <c r="N341">
        <v>0</v>
      </c>
      <c r="P341">
        <v>507</v>
      </c>
      <c r="Q341" t="s">
        <v>825</v>
      </c>
    </row>
    <row r="342" spans="1:17" x14ac:dyDescent="0.3">
      <c r="A342" t="s">
        <v>75</v>
      </c>
      <c r="B342" t="str">
        <f>"002385"</f>
        <v>002385</v>
      </c>
      <c r="C342" t="s">
        <v>826</v>
      </c>
      <c r="D342" t="s">
        <v>824</v>
      </c>
      <c r="E342">
        <v>6059277589</v>
      </c>
      <c r="F342">
        <v>7113672797</v>
      </c>
      <c r="G342">
        <v>3927216508</v>
      </c>
      <c r="H342">
        <v>3563198790</v>
      </c>
      <c r="I342">
        <v>3969801003</v>
      </c>
      <c r="J342">
        <v>3377088199</v>
      </c>
      <c r="K342">
        <v>2789214259</v>
      </c>
      <c r="L342">
        <v>2901067650</v>
      </c>
      <c r="M342">
        <v>3316441930</v>
      </c>
      <c r="N342">
        <v>2642984558</v>
      </c>
      <c r="O342">
        <v>1953012596</v>
      </c>
      <c r="P342">
        <v>890</v>
      </c>
      <c r="Q342" t="s">
        <v>827</v>
      </c>
    </row>
    <row r="343" spans="1:17" x14ac:dyDescent="0.3">
      <c r="A343" t="s">
        <v>75</v>
      </c>
      <c r="B343" t="str">
        <f>"000049"</f>
        <v>000049</v>
      </c>
      <c r="C343" t="s">
        <v>828</v>
      </c>
      <c r="D343" t="s">
        <v>131</v>
      </c>
      <c r="E343">
        <v>6041847784</v>
      </c>
      <c r="F343">
        <v>5321457587</v>
      </c>
      <c r="G343">
        <v>4630586413</v>
      </c>
      <c r="H343">
        <v>4868766842</v>
      </c>
      <c r="I343">
        <v>4548972199</v>
      </c>
      <c r="J343">
        <v>3085870003</v>
      </c>
      <c r="K343">
        <v>1792679913</v>
      </c>
      <c r="L343">
        <v>2280809593</v>
      </c>
      <c r="M343">
        <v>2181355169</v>
      </c>
      <c r="N343">
        <v>1420664664</v>
      </c>
      <c r="O343">
        <v>1101921468</v>
      </c>
      <c r="P343">
        <v>41582</v>
      </c>
      <c r="Q343" t="s">
        <v>829</v>
      </c>
    </row>
    <row r="344" spans="1:17" x14ac:dyDescent="0.3">
      <c r="A344" t="s">
        <v>75</v>
      </c>
      <c r="B344" t="str">
        <f>"000930"</f>
        <v>000930</v>
      </c>
      <c r="C344" t="s">
        <v>830</v>
      </c>
      <c r="D344" t="s">
        <v>831</v>
      </c>
      <c r="E344">
        <v>6004632416</v>
      </c>
      <c r="F344">
        <v>6405303340</v>
      </c>
      <c r="G344">
        <v>4265226922</v>
      </c>
      <c r="H344">
        <v>5142450746</v>
      </c>
      <c r="I344">
        <v>2109196960</v>
      </c>
      <c r="J344">
        <v>1774967729</v>
      </c>
      <c r="K344">
        <v>1516355829</v>
      </c>
      <c r="L344">
        <v>1869218711</v>
      </c>
      <c r="M344">
        <v>1707605674</v>
      </c>
      <c r="N344">
        <v>2152876994</v>
      </c>
      <c r="O344">
        <v>2232523892</v>
      </c>
      <c r="P344">
        <v>378</v>
      </c>
      <c r="Q344" t="s">
        <v>832</v>
      </c>
    </row>
    <row r="345" spans="1:17" x14ac:dyDescent="0.3">
      <c r="A345" t="s">
        <v>75</v>
      </c>
      <c r="B345" t="str">
        <f>"002340"</f>
        <v>002340</v>
      </c>
      <c r="C345" t="s">
        <v>833</v>
      </c>
      <c r="D345" t="s">
        <v>834</v>
      </c>
      <c r="E345">
        <v>5992058726</v>
      </c>
      <c r="F345">
        <v>3397614550</v>
      </c>
      <c r="G345">
        <v>2362483244</v>
      </c>
      <c r="H345">
        <v>3204179591</v>
      </c>
      <c r="I345">
        <v>3463210680</v>
      </c>
      <c r="J345">
        <v>1904609873</v>
      </c>
      <c r="K345">
        <v>1041513381</v>
      </c>
      <c r="L345">
        <v>856403614</v>
      </c>
      <c r="M345">
        <v>445048283</v>
      </c>
      <c r="N345">
        <v>556913811</v>
      </c>
      <c r="O345">
        <v>237157831</v>
      </c>
      <c r="P345">
        <v>1302</v>
      </c>
      <c r="Q345" t="s">
        <v>835</v>
      </c>
    </row>
    <row r="346" spans="1:17" x14ac:dyDescent="0.3">
      <c r="A346" t="s">
        <v>17</v>
      </c>
      <c r="B346" t="str">
        <f>"600997"</f>
        <v>600997</v>
      </c>
      <c r="C346" t="s">
        <v>836</v>
      </c>
      <c r="D346" t="s">
        <v>837</v>
      </c>
      <c r="E346">
        <v>5954380395</v>
      </c>
      <c r="F346">
        <v>5171408369</v>
      </c>
      <c r="G346">
        <v>4162232911</v>
      </c>
      <c r="H346">
        <v>4459605244</v>
      </c>
      <c r="I346">
        <v>4413381751</v>
      </c>
      <c r="J346">
        <v>2718020371</v>
      </c>
      <c r="K346">
        <v>2305200544</v>
      </c>
      <c r="L346">
        <v>2316778934</v>
      </c>
      <c r="M346">
        <v>3670696587</v>
      </c>
      <c r="N346">
        <v>4140618096</v>
      </c>
      <c r="O346">
        <v>5328836359</v>
      </c>
      <c r="P346">
        <v>729</v>
      </c>
      <c r="Q346" t="s">
        <v>838</v>
      </c>
    </row>
    <row r="347" spans="1:17" x14ac:dyDescent="0.3">
      <c r="A347" t="s">
        <v>75</v>
      </c>
      <c r="B347" t="str">
        <f>"002155"</f>
        <v>002155</v>
      </c>
      <c r="C347" t="s">
        <v>839</v>
      </c>
      <c r="D347" t="s">
        <v>390</v>
      </c>
      <c r="E347">
        <v>5897611891</v>
      </c>
      <c r="F347">
        <v>3925358191</v>
      </c>
      <c r="G347">
        <v>3742351039</v>
      </c>
      <c r="H347">
        <v>4294331309</v>
      </c>
      <c r="I347">
        <v>3046999813</v>
      </c>
      <c r="J347">
        <v>1436827646</v>
      </c>
      <c r="K347">
        <v>1383738274</v>
      </c>
      <c r="L347">
        <v>1443340832</v>
      </c>
      <c r="M347">
        <v>1213113344</v>
      </c>
      <c r="N347">
        <v>1553277891</v>
      </c>
      <c r="O347">
        <v>1077649795</v>
      </c>
      <c r="P347">
        <v>219</v>
      </c>
      <c r="Q347" t="s">
        <v>840</v>
      </c>
    </row>
    <row r="348" spans="1:17" x14ac:dyDescent="0.3">
      <c r="A348" t="s">
        <v>75</v>
      </c>
      <c r="B348" t="str">
        <f>"000411"</f>
        <v>000411</v>
      </c>
      <c r="C348" t="s">
        <v>841</v>
      </c>
      <c r="D348" t="s">
        <v>123</v>
      </c>
      <c r="E348">
        <v>5890075838</v>
      </c>
      <c r="F348">
        <v>5543932027</v>
      </c>
      <c r="G348">
        <v>5190342374</v>
      </c>
      <c r="H348">
        <v>5209499229</v>
      </c>
      <c r="I348">
        <v>4859551132</v>
      </c>
      <c r="J348">
        <v>3771466529</v>
      </c>
      <c r="K348">
        <v>3488586849</v>
      </c>
      <c r="L348">
        <v>3224135372</v>
      </c>
      <c r="M348">
        <v>3193151943</v>
      </c>
      <c r="N348">
        <v>2713378911</v>
      </c>
      <c r="O348">
        <v>2198548377</v>
      </c>
      <c r="P348">
        <v>236</v>
      </c>
      <c r="Q348" t="s">
        <v>842</v>
      </c>
    </row>
    <row r="349" spans="1:17" x14ac:dyDescent="0.3">
      <c r="A349" t="s">
        <v>17</v>
      </c>
      <c r="B349" t="str">
        <f>"600498"</f>
        <v>600498</v>
      </c>
      <c r="C349" t="s">
        <v>843</v>
      </c>
      <c r="D349" t="s">
        <v>169</v>
      </c>
      <c r="E349">
        <v>5883546140</v>
      </c>
      <c r="F349">
        <v>4524130574</v>
      </c>
      <c r="G349">
        <v>2974003288</v>
      </c>
      <c r="H349">
        <v>4396153539</v>
      </c>
      <c r="I349">
        <v>3628717223</v>
      </c>
      <c r="J349">
        <v>3816273525</v>
      </c>
      <c r="K349">
        <v>2752918405</v>
      </c>
      <c r="L349">
        <v>2760423852</v>
      </c>
      <c r="M349">
        <v>2096782660</v>
      </c>
      <c r="N349">
        <v>1383072614</v>
      </c>
      <c r="O349">
        <v>1480657754</v>
      </c>
      <c r="P349">
        <v>853</v>
      </c>
      <c r="Q349" t="s">
        <v>844</v>
      </c>
    </row>
    <row r="350" spans="1:17" x14ac:dyDescent="0.3">
      <c r="A350" t="s">
        <v>17</v>
      </c>
      <c r="B350" t="str">
        <f>"600221"</f>
        <v>600221</v>
      </c>
      <c r="C350" t="s">
        <v>845</v>
      </c>
      <c r="D350" t="s">
        <v>246</v>
      </c>
      <c r="E350">
        <v>5882961000</v>
      </c>
      <c r="F350">
        <v>7417835000</v>
      </c>
      <c r="G350">
        <v>8110064000</v>
      </c>
      <c r="H350">
        <v>18983811000</v>
      </c>
      <c r="I350">
        <v>18045784000</v>
      </c>
      <c r="J350">
        <v>14226854000</v>
      </c>
      <c r="K350">
        <v>9965269000</v>
      </c>
      <c r="L350">
        <v>8968509000</v>
      </c>
      <c r="M350">
        <v>8194851000</v>
      </c>
      <c r="N350">
        <v>7592934000</v>
      </c>
      <c r="O350">
        <v>7281784000</v>
      </c>
      <c r="P350">
        <v>427</v>
      </c>
      <c r="Q350" t="s">
        <v>846</v>
      </c>
    </row>
    <row r="351" spans="1:17" x14ac:dyDescent="0.3">
      <c r="A351" t="s">
        <v>17</v>
      </c>
      <c r="B351" t="str">
        <f>"601139"</f>
        <v>601139</v>
      </c>
      <c r="C351" t="s">
        <v>847</v>
      </c>
      <c r="D351" t="s">
        <v>147</v>
      </c>
      <c r="E351">
        <v>5882254566</v>
      </c>
      <c r="F351">
        <v>4455278405</v>
      </c>
      <c r="G351">
        <v>2840897219</v>
      </c>
      <c r="H351">
        <v>3033048806</v>
      </c>
      <c r="I351">
        <v>3074532949</v>
      </c>
      <c r="J351">
        <v>2538721932</v>
      </c>
      <c r="K351">
        <v>2106167906</v>
      </c>
      <c r="L351">
        <v>1950842401</v>
      </c>
      <c r="M351">
        <v>2439997165</v>
      </c>
      <c r="N351">
        <v>1975915513</v>
      </c>
      <c r="O351">
        <v>2438677965</v>
      </c>
      <c r="P351">
        <v>476</v>
      </c>
      <c r="Q351" t="s">
        <v>848</v>
      </c>
    </row>
    <row r="352" spans="1:17" x14ac:dyDescent="0.3">
      <c r="A352" t="s">
        <v>17</v>
      </c>
      <c r="B352" t="str">
        <f>"600073"</f>
        <v>600073</v>
      </c>
      <c r="C352" t="s">
        <v>849</v>
      </c>
      <c r="D352" t="s">
        <v>399</v>
      </c>
      <c r="E352">
        <v>5877079275</v>
      </c>
      <c r="F352">
        <v>6245633619</v>
      </c>
      <c r="G352">
        <v>6417940170</v>
      </c>
      <c r="H352">
        <v>6042126281</v>
      </c>
      <c r="I352">
        <v>6227932598</v>
      </c>
      <c r="J352">
        <v>4315054674</v>
      </c>
      <c r="K352">
        <v>3642286388</v>
      </c>
      <c r="L352">
        <v>2690128173</v>
      </c>
      <c r="M352">
        <v>3110149710</v>
      </c>
      <c r="N352">
        <v>2822720810</v>
      </c>
      <c r="O352">
        <v>1375655910</v>
      </c>
      <c r="P352">
        <v>442</v>
      </c>
      <c r="Q352" t="s">
        <v>850</v>
      </c>
    </row>
    <row r="353" spans="1:17" x14ac:dyDescent="0.3">
      <c r="A353" t="s">
        <v>17</v>
      </c>
      <c r="B353" t="str">
        <f>"600497"</f>
        <v>600497</v>
      </c>
      <c r="C353" t="s">
        <v>851</v>
      </c>
      <c r="D353" t="s">
        <v>375</v>
      </c>
      <c r="E353">
        <v>5873770519</v>
      </c>
      <c r="F353">
        <v>5795198922</v>
      </c>
      <c r="G353">
        <v>3690166771</v>
      </c>
      <c r="H353">
        <v>5176072265</v>
      </c>
      <c r="I353">
        <v>5631083429</v>
      </c>
      <c r="J353">
        <v>5300196325</v>
      </c>
      <c r="K353">
        <v>3197147699</v>
      </c>
      <c r="L353">
        <v>5082412702</v>
      </c>
      <c r="M353">
        <v>4636988985</v>
      </c>
      <c r="N353">
        <v>3384822510</v>
      </c>
      <c r="O353">
        <v>2460726565</v>
      </c>
      <c r="P353">
        <v>286</v>
      </c>
      <c r="Q353" t="s">
        <v>852</v>
      </c>
    </row>
    <row r="354" spans="1:17" x14ac:dyDescent="0.3">
      <c r="A354" t="s">
        <v>17</v>
      </c>
      <c r="B354" t="str">
        <f>"600737"</f>
        <v>600737</v>
      </c>
      <c r="C354" t="s">
        <v>853</v>
      </c>
      <c r="D354" t="s">
        <v>831</v>
      </c>
      <c r="E354">
        <v>5810236866</v>
      </c>
      <c r="F354">
        <v>5834857264</v>
      </c>
      <c r="G354">
        <v>5039639294</v>
      </c>
      <c r="H354">
        <v>3575945909</v>
      </c>
      <c r="I354">
        <v>4990500480</v>
      </c>
      <c r="J354">
        <v>4950453190</v>
      </c>
      <c r="K354">
        <v>2317781724</v>
      </c>
      <c r="L354">
        <v>2048400469</v>
      </c>
      <c r="M354">
        <v>2453111819</v>
      </c>
      <c r="N354">
        <v>1217844941</v>
      </c>
      <c r="O354">
        <v>1022911284</v>
      </c>
      <c r="P354">
        <v>515</v>
      </c>
      <c r="Q354" t="s">
        <v>854</v>
      </c>
    </row>
    <row r="355" spans="1:17" x14ac:dyDescent="0.3">
      <c r="A355" t="s">
        <v>17</v>
      </c>
      <c r="B355" t="str">
        <f>"603288"</f>
        <v>603288</v>
      </c>
      <c r="C355" t="s">
        <v>855</v>
      </c>
      <c r="D355" t="s">
        <v>774</v>
      </c>
      <c r="E355">
        <v>5790445867</v>
      </c>
      <c r="F355">
        <v>5869106613</v>
      </c>
      <c r="G355">
        <v>5129526791</v>
      </c>
      <c r="H355">
        <v>4447646278</v>
      </c>
      <c r="I355">
        <v>3787941840</v>
      </c>
      <c r="J355">
        <v>3452687017</v>
      </c>
      <c r="K355">
        <v>3091127004</v>
      </c>
      <c r="L355">
        <v>2031194304</v>
      </c>
      <c r="M355">
        <v>1929105268</v>
      </c>
      <c r="N355">
        <v>1567803417</v>
      </c>
      <c r="P355">
        <v>54149</v>
      </c>
      <c r="Q355" t="s">
        <v>856</v>
      </c>
    </row>
    <row r="356" spans="1:17" x14ac:dyDescent="0.3">
      <c r="A356" t="s">
        <v>75</v>
      </c>
      <c r="B356" t="str">
        <f>"301216"</f>
        <v>301216</v>
      </c>
      <c r="C356" t="s">
        <v>857</v>
      </c>
      <c r="E356">
        <v>5786585113</v>
      </c>
      <c r="P356">
        <v>6</v>
      </c>
      <c r="Q356" t="s">
        <v>858</v>
      </c>
    </row>
    <row r="357" spans="1:17" x14ac:dyDescent="0.3">
      <c r="A357" t="s">
        <v>17</v>
      </c>
      <c r="B357" t="str">
        <f>"600685"</f>
        <v>600685</v>
      </c>
      <c r="C357" t="s">
        <v>859</v>
      </c>
      <c r="D357" t="s">
        <v>465</v>
      </c>
      <c r="E357">
        <v>5757466557</v>
      </c>
      <c r="F357">
        <v>3377451081</v>
      </c>
      <c r="G357">
        <v>3224606860</v>
      </c>
      <c r="H357">
        <v>2600143165</v>
      </c>
      <c r="I357">
        <v>3109877901</v>
      </c>
      <c r="J357">
        <v>3635102985</v>
      </c>
      <c r="K357">
        <v>4241886066</v>
      </c>
      <c r="L357">
        <v>2651056108</v>
      </c>
      <c r="M357">
        <v>1663207203</v>
      </c>
      <c r="N357">
        <v>1240831456</v>
      </c>
      <c r="O357">
        <v>1690109450</v>
      </c>
      <c r="P357">
        <v>263</v>
      </c>
      <c r="Q357" t="s">
        <v>860</v>
      </c>
    </row>
    <row r="358" spans="1:17" x14ac:dyDescent="0.3">
      <c r="A358" t="s">
        <v>75</v>
      </c>
      <c r="B358" t="str">
        <f>"300274"</f>
        <v>300274</v>
      </c>
      <c r="C358" t="s">
        <v>861</v>
      </c>
      <c r="D358" t="s">
        <v>862</v>
      </c>
      <c r="E358">
        <v>5755686495</v>
      </c>
      <c r="F358">
        <v>3705507325</v>
      </c>
      <c r="G358">
        <v>2448597937</v>
      </c>
      <c r="H358">
        <v>2000224620</v>
      </c>
      <c r="I358">
        <v>1747914067</v>
      </c>
      <c r="J358">
        <v>690818562</v>
      </c>
      <c r="K358">
        <v>673061656</v>
      </c>
      <c r="L358">
        <v>401812264</v>
      </c>
      <c r="M358">
        <v>419290201</v>
      </c>
      <c r="N358">
        <v>254311705</v>
      </c>
      <c r="O358">
        <v>172475063</v>
      </c>
      <c r="P358">
        <v>2195</v>
      </c>
      <c r="Q358" t="s">
        <v>863</v>
      </c>
    </row>
    <row r="359" spans="1:17" x14ac:dyDescent="0.3">
      <c r="A359" t="s">
        <v>17</v>
      </c>
      <c r="B359" t="str">
        <f>"600667"</f>
        <v>600667</v>
      </c>
      <c r="C359" t="s">
        <v>864</v>
      </c>
      <c r="D359" t="s">
        <v>613</v>
      </c>
      <c r="E359">
        <v>5716924757</v>
      </c>
      <c r="F359">
        <v>3736841427</v>
      </c>
      <c r="G359">
        <v>3357501095</v>
      </c>
      <c r="H359">
        <v>3171402383</v>
      </c>
      <c r="I359">
        <v>2766506185</v>
      </c>
      <c r="J359">
        <v>2364606065</v>
      </c>
      <c r="K359">
        <v>522002242</v>
      </c>
      <c r="L359">
        <v>565517808</v>
      </c>
      <c r="M359">
        <v>471696695</v>
      </c>
      <c r="N359">
        <v>1049569067</v>
      </c>
      <c r="O359">
        <v>1018533641</v>
      </c>
      <c r="P359">
        <v>445</v>
      </c>
      <c r="Q359" t="s">
        <v>865</v>
      </c>
    </row>
    <row r="360" spans="1:17" x14ac:dyDescent="0.3">
      <c r="A360" t="s">
        <v>75</v>
      </c>
      <c r="B360" t="str">
        <f>"300014"</f>
        <v>300014</v>
      </c>
      <c r="C360" t="s">
        <v>866</v>
      </c>
      <c r="D360" t="s">
        <v>131</v>
      </c>
      <c r="E360">
        <v>5704257252</v>
      </c>
      <c r="F360">
        <v>2070792562</v>
      </c>
      <c r="G360">
        <v>1317521783</v>
      </c>
      <c r="H360">
        <v>928191705</v>
      </c>
      <c r="I360">
        <v>531590674</v>
      </c>
      <c r="J360">
        <v>535157096</v>
      </c>
      <c r="K360">
        <v>369899144</v>
      </c>
      <c r="L360">
        <v>303433702</v>
      </c>
      <c r="M360">
        <v>252348928</v>
      </c>
      <c r="N360">
        <v>140952634</v>
      </c>
      <c r="O360">
        <v>77576771</v>
      </c>
      <c r="P360">
        <v>2493</v>
      </c>
      <c r="Q360" t="s">
        <v>867</v>
      </c>
    </row>
    <row r="361" spans="1:17" x14ac:dyDescent="0.3">
      <c r="A361" t="s">
        <v>17</v>
      </c>
      <c r="B361" t="str">
        <f>"600956"</f>
        <v>600956</v>
      </c>
      <c r="C361" t="s">
        <v>868</v>
      </c>
      <c r="D361" t="s">
        <v>869</v>
      </c>
      <c r="E361">
        <v>5690474330</v>
      </c>
      <c r="F361">
        <v>4944507449</v>
      </c>
      <c r="G361">
        <v>3953915902</v>
      </c>
      <c r="H361">
        <v>4066843284</v>
      </c>
      <c r="P361">
        <v>204</v>
      </c>
      <c r="Q361" t="s">
        <v>870</v>
      </c>
    </row>
    <row r="362" spans="1:17" x14ac:dyDescent="0.3">
      <c r="A362" t="s">
        <v>17</v>
      </c>
      <c r="B362" t="str">
        <f>"600583"</f>
        <v>600583</v>
      </c>
      <c r="C362" t="s">
        <v>871</v>
      </c>
      <c r="D362" t="s">
        <v>402</v>
      </c>
      <c r="E362">
        <v>5684851200</v>
      </c>
      <c r="F362">
        <v>4099624500</v>
      </c>
      <c r="G362">
        <v>3106312559</v>
      </c>
      <c r="H362">
        <v>2973521382</v>
      </c>
      <c r="I362">
        <v>1735328079</v>
      </c>
      <c r="J362">
        <v>1974380144</v>
      </c>
      <c r="K362">
        <v>4244964561</v>
      </c>
      <c r="L362">
        <v>3345714217</v>
      </c>
      <c r="M362">
        <v>5485742318</v>
      </c>
      <c r="N362">
        <v>3121957683</v>
      </c>
      <c r="O362">
        <v>2148831555</v>
      </c>
      <c r="P362">
        <v>359</v>
      </c>
      <c r="Q362" t="s">
        <v>872</v>
      </c>
    </row>
    <row r="363" spans="1:17" x14ac:dyDescent="0.3">
      <c r="A363" t="s">
        <v>17</v>
      </c>
      <c r="B363" t="str">
        <f>"600120"</f>
        <v>600120</v>
      </c>
      <c r="C363" t="s">
        <v>873</v>
      </c>
      <c r="D363" t="s">
        <v>370</v>
      </c>
      <c r="E363">
        <v>5668349598</v>
      </c>
      <c r="F363">
        <v>4654173923</v>
      </c>
      <c r="G363">
        <v>1856639122</v>
      </c>
      <c r="H363">
        <v>2349020560</v>
      </c>
      <c r="I363">
        <v>2171236779</v>
      </c>
      <c r="J363">
        <v>1278967133</v>
      </c>
      <c r="K363">
        <v>1733189881</v>
      </c>
      <c r="L363">
        <v>1993954802</v>
      </c>
      <c r="M363">
        <v>1889464830</v>
      </c>
      <c r="N363">
        <v>1835469583</v>
      </c>
      <c r="O363">
        <v>1189009749</v>
      </c>
      <c r="P363">
        <v>193</v>
      </c>
      <c r="Q363" t="s">
        <v>874</v>
      </c>
    </row>
    <row r="364" spans="1:17" x14ac:dyDescent="0.3">
      <c r="A364" t="s">
        <v>75</v>
      </c>
      <c r="B364" t="str">
        <f>"002466"</f>
        <v>002466</v>
      </c>
      <c r="C364" t="s">
        <v>875</v>
      </c>
      <c r="D364" t="s">
        <v>876</v>
      </c>
      <c r="E364">
        <v>5666008309</v>
      </c>
      <c r="F364">
        <v>759485310</v>
      </c>
      <c r="G364">
        <v>923658001</v>
      </c>
      <c r="H364">
        <v>1152670861</v>
      </c>
      <c r="I364">
        <v>1618898569</v>
      </c>
      <c r="J364">
        <v>1148805847</v>
      </c>
      <c r="K364">
        <v>646557160</v>
      </c>
      <c r="L364">
        <v>408136478</v>
      </c>
      <c r="M364">
        <v>33740484</v>
      </c>
      <c r="N364">
        <v>30711034</v>
      </c>
      <c r="O364">
        <v>72276837</v>
      </c>
      <c r="P364">
        <v>2365</v>
      </c>
      <c r="Q364" t="s">
        <v>877</v>
      </c>
    </row>
    <row r="365" spans="1:17" x14ac:dyDescent="0.3">
      <c r="A365" t="s">
        <v>17</v>
      </c>
      <c r="B365" t="str">
        <f>"600528"</f>
        <v>600528</v>
      </c>
      <c r="C365" t="s">
        <v>878</v>
      </c>
      <c r="D365" t="s">
        <v>156</v>
      </c>
      <c r="E365">
        <v>5660120782</v>
      </c>
      <c r="F365">
        <v>5241211472</v>
      </c>
      <c r="G365">
        <v>3817565128</v>
      </c>
      <c r="H365">
        <v>4416635352</v>
      </c>
      <c r="I365">
        <v>3977458554</v>
      </c>
      <c r="J365">
        <v>3145210017</v>
      </c>
      <c r="K365">
        <v>11590107154</v>
      </c>
      <c r="L365">
        <v>14097386587</v>
      </c>
      <c r="M365">
        <v>17456214082</v>
      </c>
      <c r="N365">
        <v>15027989281</v>
      </c>
      <c r="O365">
        <v>11254473330</v>
      </c>
      <c r="P365">
        <v>252</v>
      </c>
      <c r="Q365" t="s">
        <v>879</v>
      </c>
    </row>
    <row r="366" spans="1:17" x14ac:dyDescent="0.3">
      <c r="A366" t="s">
        <v>75</v>
      </c>
      <c r="B366" t="str">
        <f>"300118"</f>
        <v>300118</v>
      </c>
      <c r="C366" t="s">
        <v>880</v>
      </c>
      <c r="D366" t="s">
        <v>417</v>
      </c>
      <c r="E366">
        <v>5659353864</v>
      </c>
      <c r="F366">
        <v>4169823246</v>
      </c>
      <c r="G366">
        <v>2746548089</v>
      </c>
      <c r="H366">
        <v>2127187538</v>
      </c>
      <c r="I366">
        <v>1507793003</v>
      </c>
      <c r="J366">
        <v>1380150790</v>
      </c>
      <c r="K366">
        <v>1145568375</v>
      </c>
      <c r="L366">
        <v>722809450</v>
      </c>
      <c r="M366">
        <v>440202290</v>
      </c>
      <c r="N366">
        <v>196931444</v>
      </c>
      <c r="O366">
        <v>263998085</v>
      </c>
      <c r="P366">
        <v>443</v>
      </c>
      <c r="Q366" t="s">
        <v>881</v>
      </c>
    </row>
    <row r="367" spans="1:17" x14ac:dyDescent="0.3">
      <c r="A367" t="s">
        <v>75</v>
      </c>
      <c r="B367" t="str">
        <f>"002180"</f>
        <v>002180</v>
      </c>
      <c r="C367" t="s">
        <v>882</v>
      </c>
      <c r="D367" t="s">
        <v>883</v>
      </c>
      <c r="E367">
        <v>5624865316</v>
      </c>
      <c r="F367">
        <v>4535472983</v>
      </c>
      <c r="G367">
        <v>5283703034</v>
      </c>
      <c r="H367">
        <v>4945581778</v>
      </c>
      <c r="I367">
        <v>4914251242</v>
      </c>
      <c r="J367">
        <v>5821082705</v>
      </c>
      <c r="K367">
        <v>750206023</v>
      </c>
      <c r="L367">
        <v>126544811</v>
      </c>
      <c r="M367">
        <v>18073926</v>
      </c>
      <c r="N367">
        <v>23410206</v>
      </c>
      <c r="O367">
        <v>22767938</v>
      </c>
      <c r="P367">
        <v>472</v>
      </c>
      <c r="Q367" t="s">
        <v>884</v>
      </c>
    </row>
    <row r="368" spans="1:17" x14ac:dyDescent="0.3">
      <c r="A368" t="s">
        <v>17</v>
      </c>
      <c r="B368" t="str">
        <f>"603501"</f>
        <v>603501</v>
      </c>
      <c r="C368" t="s">
        <v>885</v>
      </c>
      <c r="D368" t="s">
        <v>883</v>
      </c>
      <c r="E368">
        <v>5528670049</v>
      </c>
      <c r="F368">
        <v>5209951473</v>
      </c>
      <c r="G368">
        <v>3930181884</v>
      </c>
      <c r="H368">
        <v>846077973</v>
      </c>
      <c r="I368">
        <v>629752395</v>
      </c>
      <c r="J368">
        <v>539657373</v>
      </c>
      <c r="K368">
        <v>480879413</v>
      </c>
      <c r="P368">
        <v>2200</v>
      </c>
      <c r="Q368" t="s">
        <v>886</v>
      </c>
    </row>
    <row r="369" spans="1:17" x14ac:dyDescent="0.3">
      <c r="A369" t="s">
        <v>17</v>
      </c>
      <c r="B369" t="str">
        <f>"601677"</f>
        <v>601677</v>
      </c>
      <c r="C369" t="s">
        <v>887</v>
      </c>
      <c r="D369" t="s">
        <v>96</v>
      </c>
      <c r="E369">
        <v>5517204232</v>
      </c>
      <c r="F369">
        <v>4045959302</v>
      </c>
      <c r="G369">
        <v>2003485100</v>
      </c>
      <c r="H369">
        <v>1853313718</v>
      </c>
      <c r="I369">
        <v>1845242272</v>
      </c>
      <c r="J369">
        <v>1375908857</v>
      </c>
      <c r="K369">
        <v>1052397596</v>
      </c>
      <c r="L369">
        <v>1041048856</v>
      </c>
      <c r="M369">
        <v>1017197309</v>
      </c>
      <c r="N369">
        <v>1283948037</v>
      </c>
      <c r="O369">
        <v>1409429196</v>
      </c>
      <c r="P369">
        <v>370</v>
      </c>
      <c r="Q369" t="s">
        <v>888</v>
      </c>
    </row>
    <row r="370" spans="1:17" x14ac:dyDescent="0.3">
      <c r="A370" t="s">
        <v>75</v>
      </c>
      <c r="B370" t="str">
        <f>"002429"</f>
        <v>002429</v>
      </c>
      <c r="C370" t="s">
        <v>889</v>
      </c>
      <c r="D370" t="s">
        <v>287</v>
      </c>
      <c r="E370">
        <v>5485538335</v>
      </c>
      <c r="F370">
        <v>6050257902</v>
      </c>
      <c r="G370">
        <v>2664001725</v>
      </c>
      <c r="H370">
        <v>2895209708</v>
      </c>
      <c r="I370">
        <v>2009018649</v>
      </c>
      <c r="J370">
        <v>1310753608</v>
      </c>
      <c r="K370">
        <v>1510903763</v>
      </c>
      <c r="L370">
        <v>1532479438</v>
      </c>
      <c r="M370">
        <v>1933607695</v>
      </c>
      <c r="N370">
        <v>1593597343</v>
      </c>
      <c r="O370">
        <v>1360104213</v>
      </c>
      <c r="P370">
        <v>454</v>
      </c>
      <c r="Q370" t="s">
        <v>890</v>
      </c>
    </row>
    <row r="371" spans="1:17" x14ac:dyDescent="0.3">
      <c r="A371" t="s">
        <v>17</v>
      </c>
      <c r="B371" t="str">
        <f>"600835"</f>
        <v>600835</v>
      </c>
      <c r="C371" t="s">
        <v>891</v>
      </c>
      <c r="D371" t="s">
        <v>892</v>
      </c>
      <c r="E371">
        <v>5474819231</v>
      </c>
      <c r="F371">
        <v>5663638397</v>
      </c>
      <c r="G371">
        <v>4145445707</v>
      </c>
      <c r="H371">
        <v>5070432678</v>
      </c>
      <c r="I371">
        <v>5144863934</v>
      </c>
      <c r="J371">
        <v>5200700280</v>
      </c>
      <c r="K371">
        <v>4861017188</v>
      </c>
      <c r="L371">
        <v>5222057976</v>
      </c>
      <c r="M371">
        <v>5753362302</v>
      </c>
      <c r="N371">
        <v>5435592112</v>
      </c>
      <c r="O371">
        <v>4030440464</v>
      </c>
      <c r="P371">
        <v>661</v>
      </c>
      <c r="Q371" t="s">
        <v>893</v>
      </c>
    </row>
    <row r="372" spans="1:17" x14ac:dyDescent="0.3">
      <c r="A372" t="s">
        <v>17</v>
      </c>
      <c r="B372" t="str">
        <f>"600732"</f>
        <v>600732</v>
      </c>
      <c r="C372" t="s">
        <v>894</v>
      </c>
      <c r="D372" t="s">
        <v>417</v>
      </c>
      <c r="E372">
        <v>5435097812</v>
      </c>
      <c r="F372">
        <v>1353619029</v>
      </c>
      <c r="G372">
        <v>1075922623</v>
      </c>
      <c r="H372">
        <v>10926736</v>
      </c>
      <c r="I372">
        <v>8689288</v>
      </c>
      <c r="J372">
        <v>24392682</v>
      </c>
      <c r="K372">
        <v>20540988</v>
      </c>
      <c r="L372">
        <v>10337996</v>
      </c>
      <c r="M372">
        <v>21025078</v>
      </c>
      <c r="N372">
        <v>29581957</v>
      </c>
      <c r="O372">
        <v>3646857</v>
      </c>
      <c r="P372">
        <v>357</v>
      </c>
      <c r="Q372" t="s">
        <v>895</v>
      </c>
    </row>
    <row r="373" spans="1:17" x14ac:dyDescent="0.3">
      <c r="A373" t="s">
        <v>75</v>
      </c>
      <c r="B373" t="str">
        <f>"000415"</f>
        <v>000415</v>
      </c>
      <c r="C373" t="s">
        <v>896</v>
      </c>
      <c r="D373" t="s">
        <v>897</v>
      </c>
      <c r="E373">
        <v>5396702000</v>
      </c>
      <c r="F373">
        <v>3569188000</v>
      </c>
      <c r="G373">
        <v>5032122000</v>
      </c>
      <c r="H373">
        <v>5318848000</v>
      </c>
      <c r="I373">
        <v>6602694000</v>
      </c>
      <c r="J373">
        <v>4230592000</v>
      </c>
      <c r="K373">
        <v>6162880000</v>
      </c>
      <c r="L373">
        <v>2212744000</v>
      </c>
      <c r="M373">
        <v>1702996000</v>
      </c>
      <c r="N373">
        <v>0</v>
      </c>
      <c r="O373">
        <v>0</v>
      </c>
      <c r="P373">
        <v>256</v>
      </c>
      <c r="Q373" t="s">
        <v>898</v>
      </c>
    </row>
    <row r="374" spans="1:17" x14ac:dyDescent="0.3">
      <c r="A374" t="s">
        <v>17</v>
      </c>
      <c r="B374" t="str">
        <f>"601872"</f>
        <v>601872</v>
      </c>
      <c r="C374" t="s">
        <v>899</v>
      </c>
      <c r="D374" t="s">
        <v>62</v>
      </c>
      <c r="E374">
        <v>5363286370</v>
      </c>
      <c r="F374">
        <v>3635793666</v>
      </c>
      <c r="G374">
        <v>4546648871</v>
      </c>
      <c r="H374">
        <v>3069383262</v>
      </c>
      <c r="I374">
        <v>1413579245</v>
      </c>
      <c r="J374">
        <v>1688619905</v>
      </c>
      <c r="K374">
        <v>1703433428</v>
      </c>
      <c r="L374">
        <v>1168042660</v>
      </c>
      <c r="M374">
        <v>694136630</v>
      </c>
      <c r="N374">
        <v>608117751</v>
      </c>
      <c r="O374">
        <v>722750350</v>
      </c>
      <c r="P374">
        <v>574</v>
      </c>
      <c r="Q374" t="s">
        <v>900</v>
      </c>
    </row>
    <row r="375" spans="1:17" x14ac:dyDescent="0.3">
      <c r="A375" t="s">
        <v>17</v>
      </c>
      <c r="B375" t="str">
        <f>"600863"</f>
        <v>600863</v>
      </c>
      <c r="C375" t="s">
        <v>901</v>
      </c>
      <c r="D375" t="s">
        <v>88</v>
      </c>
      <c r="E375">
        <v>5304193932</v>
      </c>
      <c r="F375">
        <v>3576722263</v>
      </c>
      <c r="G375">
        <v>2800300900</v>
      </c>
      <c r="H375">
        <v>2671683512</v>
      </c>
      <c r="I375">
        <v>2409587155</v>
      </c>
      <c r="J375">
        <v>1556898938</v>
      </c>
      <c r="K375">
        <v>1425411813</v>
      </c>
      <c r="L375">
        <v>2224715076</v>
      </c>
      <c r="M375">
        <v>2522993756</v>
      </c>
      <c r="N375">
        <v>2466685915</v>
      </c>
      <c r="O375">
        <v>2403494602</v>
      </c>
      <c r="P375">
        <v>310</v>
      </c>
      <c r="Q375" t="s">
        <v>902</v>
      </c>
    </row>
    <row r="376" spans="1:17" x14ac:dyDescent="0.3">
      <c r="A376" t="s">
        <v>75</v>
      </c>
      <c r="B376" t="str">
        <f>"300428"</f>
        <v>300428</v>
      </c>
      <c r="C376" t="s">
        <v>903</v>
      </c>
      <c r="D376" t="s">
        <v>904</v>
      </c>
      <c r="E376">
        <v>5266343439</v>
      </c>
      <c r="F376">
        <v>4145437686</v>
      </c>
      <c r="G376">
        <v>1400898460</v>
      </c>
      <c r="H376">
        <v>1466100665</v>
      </c>
      <c r="I376">
        <v>222619643</v>
      </c>
      <c r="J376">
        <v>213352529</v>
      </c>
      <c r="K376">
        <v>162103720</v>
      </c>
      <c r="L376">
        <v>162279495</v>
      </c>
      <c r="M376">
        <v>119343653</v>
      </c>
      <c r="P376">
        <v>171</v>
      </c>
      <c r="Q376" t="s">
        <v>905</v>
      </c>
    </row>
    <row r="377" spans="1:17" x14ac:dyDescent="0.3">
      <c r="A377" t="s">
        <v>17</v>
      </c>
      <c r="B377" t="str">
        <f>"600203"</f>
        <v>600203</v>
      </c>
      <c r="C377" t="s">
        <v>906</v>
      </c>
      <c r="D377" t="s">
        <v>55</v>
      </c>
      <c r="E377">
        <v>5263877909</v>
      </c>
      <c r="F377">
        <v>3865810767</v>
      </c>
      <c r="G377">
        <v>2456069822</v>
      </c>
      <c r="H377">
        <v>3290946856</v>
      </c>
      <c r="I377">
        <v>1979770242</v>
      </c>
      <c r="J377">
        <v>2781618321</v>
      </c>
      <c r="K377">
        <v>2003088073</v>
      </c>
      <c r="L377">
        <v>2005271849</v>
      </c>
      <c r="M377">
        <v>682905067</v>
      </c>
      <c r="N377">
        <v>881632478</v>
      </c>
      <c r="O377">
        <v>569679391</v>
      </c>
      <c r="P377">
        <v>143</v>
      </c>
      <c r="Q377" t="s">
        <v>907</v>
      </c>
    </row>
    <row r="378" spans="1:17" x14ac:dyDescent="0.3">
      <c r="A378" t="s">
        <v>17</v>
      </c>
      <c r="B378" t="str">
        <f>"600989"</f>
        <v>600989</v>
      </c>
      <c r="C378" t="s">
        <v>908</v>
      </c>
      <c r="D378" t="s">
        <v>589</v>
      </c>
      <c r="E378">
        <v>5222309440</v>
      </c>
      <c r="F378">
        <v>4090015861</v>
      </c>
      <c r="G378">
        <v>3342399609</v>
      </c>
      <c r="H378">
        <v>2196653715</v>
      </c>
      <c r="J378">
        <v>2229603931</v>
      </c>
      <c r="P378">
        <v>769</v>
      </c>
      <c r="Q378" t="s">
        <v>909</v>
      </c>
    </row>
    <row r="379" spans="1:17" x14ac:dyDescent="0.3">
      <c r="A379" t="s">
        <v>17</v>
      </c>
      <c r="B379" t="str">
        <f>"600266"</f>
        <v>600266</v>
      </c>
      <c r="C379" t="s">
        <v>910</v>
      </c>
      <c r="D379" t="s">
        <v>65</v>
      </c>
      <c r="E379">
        <v>5215181298</v>
      </c>
      <c r="F379">
        <v>3542363493</v>
      </c>
      <c r="G379">
        <v>3382235275</v>
      </c>
      <c r="H379">
        <v>1999002903</v>
      </c>
      <c r="I379">
        <v>3069876725</v>
      </c>
      <c r="J379">
        <v>3648309422</v>
      </c>
      <c r="K379">
        <v>4199215709</v>
      </c>
      <c r="L379">
        <v>2241097708</v>
      </c>
      <c r="M379">
        <v>1527917417</v>
      </c>
      <c r="N379">
        <v>2654001805</v>
      </c>
      <c r="O379">
        <v>1211169524</v>
      </c>
      <c r="P379">
        <v>338</v>
      </c>
      <c r="Q379" t="s">
        <v>911</v>
      </c>
    </row>
    <row r="380" spans="1:17" x14ac:dyDescent="0.3">
      <c r="A380" t="s">
        <v>17</v>
      </c>
      <c r="B380" t="str">
        <f>"600259"</f>
        <v>600259</v>
      </c>
      <c r="C380" t="s">
        <v>912</v>
      </c>
      <c r="D380" t="s">
        <v>531</v>
      </c>
      <c r="E380">
        <v>5165576696</v>
      </c>
      <c r="F380">
        <v>2761560353</v>
      </c>
      <c r="G380">
        <v>1821801427</v>
      </c>
      <c r="H380">
        <v>636184641</v>
      </c>
      <c r="I380">
        <v>958539694</v>
      </c>
      <c r="J380">
        <v>1175152083</v>
      </c>
      <c r="K380">
        <v>545490084</v>
      </c>
      <c r="L380">
        <v>567732232</v>
      </c>
      <c r="M380">
        <v>424745095</v>
      </c>
      <c r="N380">
        <v>272650914</v>
      </c>
      <c r="O380">
        <v>464723463</v>
      </c>
      <c r="P380">
        <v>221</v>
      </c>
      <c r="Q380" t="s">
        <v>913</v>
      </c>
    </row>
    <row r="381" spans="1:17" x14ac:dyDescent="0.3">
      <c r="A381" t="s">
        <v>75</v>
      </c>
      <c r="B381" t="str">
        <f>"002131"</f>
        <v>002131</v>
      </c>
      <c r="C381" t="s">
        <v>914</v>
      </c>
      <c r="D381" t="s">
        <v>622</v>
      </c>
      <c r="E381">
        <v>5134191431</v>
      </c>
      <c r="F381">
        <v>4620083954</v>
      </c>
      <c r="G381">
        <v>3622176499</v>
      </c>
      <c r="H381">
        <v>3810660950</v>
      </c>
      <c r="I381">
        <v>2835444332</v>
      </c>
      <c r="J381">
        <v>2127358460</v>
      </c>
      <c r="K381">
        <v>1457813498</v>
      </c>
      <c r="L381">
        <v>1025526350</v>
      </c>
      <c r="M381">
        <v>445433229</v>
      </c>
      <c r="N381">
        <v>385697562</v>
      </c>
      <c r="O381">
        <v>340317468</v>
      </c>
      <c r="P381">
        <v>417</v>
      </c>
      <c r="Q381" t="s">
        <v>915</v>
      </c>
    </row>
    <row r="382" spans="1:17" x14ac:dyDescent="0.3">
      <c r="A382" t="s">
        <v>17</v>
      </c>
      <c r="B382" t="str">
        <f>"603529"</f>
        <v>603529</v>
      </c>
      <c r="C382" t="s">
        <v>916</v>
      </c>
      <c r="D382" t="s">
        <v>917</v>
      </c>
      <c r="E382">
        <v>5110225376</v>
      </c>
      <c r="F382">
        <v>4016921993</v>
      </c>
      <c r="G382">
        <v>2212923223</v>
      </c>
      <c r="P382">
        <v>73</v>
      </c>
      <c r="Q382" t="s">
        <v>918</v>
      </c>
    </row>
    <row r="383" spans="1:17" x14ac:dyDescent="0.3">
      <c r="A383" t="s">
        <v>17</v>
      </c>
      <c r="B383" t="str">
        <f>"600231"</f>
        <v>600231</v>
      </c>
      <c r="C383" t="s">
        <v>919</v>
      </c>
      <c r="D383" t="s">
        <v>443</v>
      </c>
      <c r="E383">
        <v>5075215720</v>
      </c>
      <c r="F383">
        <v>5693696355</v>
      </c>
      <c r="G383">
        <v>5047562465</v>
      </c>
      <c r="H383">
        <v>4544732911</v>
      </c>
      <c r="I383">
        <v>4355750479</v>
      </c>
      <c r="J383">
        <v>3361005575</v>
      </c>
      <c r="K383">
        <v>1841979446</v>
      </c>
      <c r="L383">
        <v>2875632102</v>
      </c>
      <c r="M383">
        <v>3527858873</v>
      </c>
      <c r="N383">
        <v>2489695261</v>
      </c>
      <c r="O383">
        <v>2683580851</v>
      </c>
      <c r="P383">
        <v>187</v>
      </c>
      <c r="Q383" t="s">
        <v>920</v>
      </c>
    </row>
    <row r="384" spans="1:17" x14ac:dyDescent="0.3">
      <c r="A384" t="s">
        <v>17</v>
      </c>
      <c r="B384" t="str">
        <f>"600742"</f>
        <v>600742</v>
      </c>
      <c r="C384" t="s">
        <v>921</v>
      </c>
      <c r="D384" t="s">
        <v>194</v>
      </c>
      <c r="E384">
        <v>5075195994</v>
      </c>
      <c r="F384">
        <v>5128129745</v>
      </c>
      <c r="G384">
        <v>3892706106</v>
      </c>
      <c r="H384">
        <v>1483288098</v>
      </c>
      <c r="I384">
        <v>1624448381</v>
      </c>
      <c r="J384">
        <v>1123655599</v>
      </c>
      <c r="K384">
        <v>1121559608</v>
      </c>
      <c r="L384">
        <v>1076674089</v>
      </c>
      <c r="M384">
        <v>851344802</v>
      </c>
      <c r="N384">
        <v>514866108</v>
      </c>
      <c r="O384">
        <v>459512036</v>
      </c>
      <c r="P384">
        <v>417</v>
      </c>
      <c r="Q384" t="s">
        <v>922</v>
      </c>
    </row>
    <row r="385" spans="1:17" x14ac:dyDescent="0.3">
      <c r="A385" t="s">
        <v>75</v>
      </c>
      <c r="B385" t="str">
        <f>"000501"</f>
        <v>000501</v>
      </c>
      <c r="C385" t="s">
        <v>923</v>
      </c>
      <c r="D385" t="s">
        <v>582</v>
      </c>
      <c r="E385">
        <v>5058449098</v>
      </c>
      <c r="F385">
        <v>6090984875</v>
      </c>
      <c r="G385">
        <v>3219862190</v>
      </c>
      <c r="H385">
        <v>5902062002</v>
      </c>
      <c r="I385">
        <v>5934834134</v>
      </c>
      <c r="J385">
        <v>5618144799</v>
      </c>
      <c r="K385">
        <v>5508411575</v>
      </c>
      <c r="L385">
        <v>5814822905</v>
      </c>
      <c r="M385">
        <v>5494523869</v>
      </c>
      <c r="N385">
        <v>5447023362</v>
      </c>
      <c r="O385">
        <v>4648153504</v>
      </c>
      <c r="P385">
        <v>6225</v>
      </c>
      <c r="Q385" t="s">
        <v>924</v>
      </c>
    </row>
    <row r="386" spans="1:17" x14ac:dyDescent="0.3">
      <c r="A386" t="s">
        <v>17</v>
      </c>
      <c r="B386" t="str">
        <f>"600869"</f>
        <v>600869</v>
      </c>
      <c r="C386" t="s">
        <v>925</v>
      </c>
      <c r="D386" t="s">
        <v>562</v>
      </c>
      <c r="E386">
        <v>5046575749</v>
      </c>
      <c r="F386">
        <v>3922906707</v>
      </c>
      <c r="G386">
        <v>2856225382</v>
      </c>
      <c r="H386">
        <v>3483388291</v>
      </c>
      <c r="I386">
        <v>3682614269</v>
      </c>
      <c r="J386">
        <v>3427339528</v>
      </c>
      <c r="K386">
        <v>2911324031</v>
      </c>
      <c r="L386">
        <v>2693867600</v>
      </c>
      <c r="M386">
        <v>2465720084</v>
      </c>
      <c r="N386">
        <v>2395734762</v>
      </c>
      <c r="O386">
        <v>2210066490</v>
      </c>
      <c r="P386">
        <v>206</v>
      </c>
      <c r="Q386" t="s">
        <v>926</v>
      </c>
    </row>
    <row r="387" spans="1:17" x14ac:dyDescent="0.3">
      <c r="A387" t="s">
        <v>75</v>
      </c>
      <c r="B387" t="str">
        <f>"300122"</f>
        <v>300122</v>
      </c>
      <c r="C387" t="s">
        <v>927</v>
      </c>
      <c r="D387" t="s">
        <v>928</v>
      </c>
      <c r="E387">
        <v>5042808025</v>
      </c>
      <c r="F387">
        <v>2542647265</v>
      </c>
      <c r="G387">
        <v>1296282597</v>
      </c>
      <c r="H387">
        <v>1109411346</v>
      </c>
      <c r="I387">
        <v>390424694</v>
      </c>
      <c r="J387">
        <v>101114122</v>
      </c>
      <c r="K387">
        <v>82562706</v>
      </c>
      <c r="L387">
        <v>99426466</v>
      </c>
      <c r="M387">
        <v>104531654</v>
      </c>
      <c r="N387">
        <v>133259638</v>
      </c>
      <c r="O387">
        <v>84330948</v>
      </c>
      <c r="P387">
        <v>3426</v>
      </c>
      <c r="Q387" t="s">
        <v>929</v>
      </c>
    </row>
    <row r="388" spans="1:17" x14ac:dyDescent="0.3">
      <c r="A388" t="s">
        <v>75</v>
      </c>
      <c r="B388" t="str">
        <f>"002419"</f>
        <v>002419</v>
      </c>
      <c r="C388" t="s">
        <v>930</v>
      </c>
      <c r="D388" t="s">
        <v>582</v>
      </c>
      <c r="E388">
        <v>5040542403</v>
      </c>
      <c r="F388">
        <v>5800239727</v>
      </c>
      <c r="G388">
        <v>4492676733</v>
      </c>
      <c r="H388">
        <v>5540368196</v>
      </c>
      <c r="I388">
        <v>5710122254</v>
      </c>
      <c r="J388">
        <v>5297557189</v>
      </c>
      <c r="K388">
        <v>5277834730</v>
      </c>
      <c r="L388">
        <v>5603668265</v>
      </c>
      <c r="M388">
        <v>4612623235</v>
      </c>
      <c r="N388">
        <v>4484684395</v>
      </c>
      <c r="O388">
        <v>4141921922</v>
      </c>
      <c r="P388">
        <v>421</v>
      </c>
      <c r="Q388" t="s">
        <v>931</v>
      </c>
    </row>
    <row r="389" spans="1:17" x14ac:dyDescent="0.3">
      <c r="A389" t="s">
        <v>75</v>
      </c>
      <c r="B389" t="str">
        <f>"002556"</f>
        <v>002556</v>
      </c>
      <c r="C389" t="s">
        <v>932</v>
      </c>
      <c r="D389" t="s">
        <v>933</v>
      </c>
      <c r="E389">
        <v>5024233712</v>
      </c>
      <c r="F389">
        <v>4190138188</v>
      </c>
      <c r="G389">
        <v>4189154100</v>
      </c>
      <c r="H389">
        <v>4020421645</v>
      </c>
      <c r="I389">
        <v>3358427684</v>
      </c>
      <c r="J389">
        <v>3224621749</v>
      </c>
      <c r="K389">
        <v>2114210511</v>
      </c>
      <c r="L389">
        <v>2366975994</v>
      </c>
      <c r="M389">
        <v>2218022796</v>
      </c>
      <c r="N389">
        <v>2853889680</v>
      </c>
      <c r="O389">
        <v>3069476046</v>
      </c>
      <c r="P389">
        <v>110</v>
      </c>
      <c r="Q389" t="s">
        <v>934</v>
      </c>
    </row>
    <row r="390" spans="1:17" x14ac:dyDescent="0.3">
      <c r="A390" t="s">
        <v>17</v>
      </c>
      <c r="B390" t="str">
        <f>"603233"</f>
        <v>603233</v>
      </c>
      <c r="C390" t="s">
        <v>935</v>
      </c>
      <c r="D390" t="s">
        <v>936</v>
      </c>
      <c r="E390">
        <v>4996661099</v>
      </c>
      <c r="F390">
        <v>4438891642</v>
      </c>
      <c r="G390">
        <v>3792615174</v>
      </c>
      <c r="H390">
        <v>2898827283</v>
      </c>
      <c r="I390">
        <v>2353269813</v>
      </c>
      <c r="J390">
        <v>2015334697</v>
      </c>
      <c r="K390">
        <v>1667805798</v>
      </c>
      <c r="P390">
        <v>1786</v>
      </c>
      <c r="Q390" t="s">
        <v>937</v>
      </c>
    </row>
    <row r="391" spans="1:17" x14ac:dyDescent="0.3">
      <c r="A391" t="s">
        <v>75</v>
      </c>
      <c r="B391" t="str">
        <f>"002032"</f>
        <v>002032</v>
      </c>
      <c r="C391" t="s">
        <v>938</v>
      </c>
      <c r="D391" t="s">
        <v>939</v>
      </c>
      <c r="E391">
        <v>4968593658</v>
      </c>
      <c r="F391">
        <v>4783247758</v>
      </c>
      <c r="G391">
        <v>2592004387</v>
      </c>
      <c r="H391">
        <v>3548750738</v>
      </c>
      <c r="I391">
        <v>3112906341</v>
      </c>
      <c r="J391">
        <v>2931134152</v>
      </c>
      <c r="K391">
        <v>1987047898</v>
      </c>
      <c r="L391">
        <v>1714627782</v>
      </c>
      <c r="M391">
        <v>1600511749</v>
      </c>
      <c r="N391">
        <v>1548658126</v>
      </c>
      <c r="O391">
        <v>1287487679</v>
      </c>
      <c r="P391">
        <v>52892</v>
      </c>
      <c r="Q391" t="s">
        <v>940</v>
      </c>
    </row>
    <row r="392" spans="1:17" x14ac:dyDescent="0.3">
      <c r="A392" t="s">
        <v>75</v>
      </c>
      <c r="B392" t="str">
        <f>"002422"</f>
        <v>002422</v>
      </c>
      <c r="C392" t="s">
        <v>941</v>
      </c>
      <c r="D392" t="s">
        <v>543</v>
      </c>
      <c r="E392">
        <v>4956734645</v>
      </c>
      <c r="F392">
        <v>5005961791</v>
      </c>
      <c r="G392">
        <v>4240961264</v>
      </c>
      <c r="H392">
        <v>4598572915</v>
      </c>
      <c r="I392">
        <v>4157110963</v>
      </c>
      <c r="J392">
        <v>2280047600</v>
      </c>
      <c r="K392">
        <v>2163839596</v>
      </c>
      <c r="L392">
        <v>1932180671</v>
      </c>
      <c r="M392">
        <v>1767382837</v>
      </c>
      <c r="N392">
        <v>1420413218</v>
      </c>
      <c r="O392">
        <v>1428950317</v>
      </c>
      <c r="P392">
        <v>927</v>
      </c>
      <c r="Q392" t="s">
        <v>942</v>
      </c>
    </row>
    <row r="393" spans="1:17" x14ac:dyDescent="0.3">
      <c r="A393" t="s">
        <v>17</v>
      </c>
      <c r="B393" t="str">
        <f>"600208"</f>
        <v>600208</v>
      </c>
      <c r="C393" t="s">
        <v>943</v>
      </c>
      <c r="D393" t="s">
        <v>65</v>
      </c>
      <c r="E393">
        <v>4941781156</v>
      </c>
      <c r="F393">
        <v>6176944660</v>
      </c>
      <c r="G393">
        <v>2899495543</v>
      </c>
      <c r="H393">
        <v>2906369097</v>
      </c>
      <c r="I393">
        <v>3462930716</v>
      </c>
      <c r="J393">
        <v>5018624553</v>
      </c>
      <c r="K393">
        <v>4342208861</v>
      </c>
      <c r="L393">
        <v>2758229482</v>
      </c>
      <c r="M393">
        <v>2108843983</v>
      </c>
      <c r="N393">
        <v>2189181043</v>
      </c>
      <c r="O393">
        <v>1665253338</v>
      </c>
      <c r="P393">
        <v>331</v>
      </c>
      <c r="Q393" t="s">
        <v>944</v>
      </c>
    </row>
    <row r="394" spans="1:17" x14ac:dyDescent="0.3">
      <c r="A394" t="s">
        <v>17</v>
      </c>
      <c r="B394" t="str">
        <f>"600160"</f>
        <v>600160</v>
      </c>
      <c r="C394" t="s">
        <v>945</v>
      </c>
      <c r="D394" t="s">
        <v>946</v>
      </c>
      <c r="E394">
        <v>4921968015</v>
      </c>
      <c r="F394">
        <v>3920243882</v>
      </c>
      <c r="G394">
        <v>3507736306</v>
      </c>
      <c r="H394">
        <v>4018631364</v>
      </c>
      <c r="I394">
        <v>4514633552</v>
      </c>
      <c r="J394">
        <v>3135496527</v>
      </c>
      <c r="K394">
        <v>2673360161</v>
      </c>
      <c r="L394">
        <v>2410099563</v>
      </c>
      <c r="M394">
        <v>2476590813</v>
      </c>
      <c r="N394">
        <v>2375097229</v>
      </c>
      <c r="O394">
        <v>2042794063</v>
      </c>
      <c r="P394">
        <v>471</v>
      </c>
      <c r="Q394" t="s">
        <v>947</v>
      </c>
    </row>
    <row r="395" spans="1:17" x14ac:dyDescent="0.3">
      <c r="A395" t="s">
        <v>17</v>
      </c>
      <c r="B395" t="str">
        <f>"601068"</f>
        <v>601068</v>
      </c>
      <c r="C395" t="s">
        <v>948</v>
      </c>
      <c r="D395" t="s">
        <v>52</v>
      </c>
      <c r="E395">
        <v>4903138561</v>
      </c>
      <c r="F395">
        <v>5156095595</v>
      </c>
      <c r="G395">
        <v>5707113989</v>
      </c>
      <c r="H395">
        <v>6577478317</v>
      </c>
      <c r="I395">
        <v>6372699580</v>
      </c>
      <c r="J395">
        <v>0</v>
      </c>
      <c r="P395">
        <v>109</v>
      </c>
      <c r="Q395" t="s">
        <v>949</v>
      </c>
    </row>
    <row r="396" spans="1:17" x14ac:dyDescent="0.3">
      <c r="A396" t="s">
        <v>17</v>
      </c>
      <c r="B396" t="str">
        <f>"600370"</f>
        <v>600370</v>
      </c>
      <c r="C396" t="s">
        <v>950</v>
      </c>
      <c r="D396" t="s">
        <v>951</v>
      </c>
      <c r="E396">
        <v>4886363073</v>
      </c>
      <c r="F396">
        <v>3304718772</v>
      </c>
      <c r="G396">
        <v>138142556</v>
      </c>
      <c r="H396">
        <v>227589329</v>
      </c>
      <c r="I396">
        <v>201990277</v>
      </c>
      <c r="J396">
        <v>131936894</v>
      </c>
      <c r="K396">
        <v>173630856</v>
      </c>
      <c r="L396">
        <v>201191390</v>
      </c>
      <c r="M396">
        <v>261473306</v>
      </c>
      <c r="N396">
        <v>271533575</v>
      </c>
      <c r="O396">
        <v>263748703</v>
      </c>
      <c r="P396">
        <v>101</v>
      </c>
      <c r="Q396" t="s">
        <v>952</v>
      </c>
    </row>
    <row r="397" spans="1:17" x14ac:dyDescent="0.3">
      <c r="A397" t="s">
        <v>75</v>
      </c>
      <c r="B397" t="str">
        <f>"301039"</f>
        <v>301039</v>
      </c>
      <c r="C397" t="s">
        <v>953</v>
      </c>
      <c r="D397" t="s">
        <v>494</v>
      </c>
      <c r="E397">
        <v>4862525144</v>
      </c>
      <c r="F397">
        <v>7465466443</v>
      </c>
      <c r="G397">
        <v>4615033892</v>
      </c>
      <c r="P397">
        <v>35</v>
      </c>
      <c r="Q397" t="s">
        <v>954</v>
      </c>
    </row>
    <row r="398" spans="1:17" x14ac:dyDescent="0.3">
      <c r="A398" t="s">
        <v>75</v>
      </c>
      <c r="B398" t="str">
        <f>"002601"</f>
        <v>002601</v>
      </c>
      <c r="C398" t="s">
        <v>955</v>
      </c>
      <c r="D398" t="s">
        <v>956</v>
      </c>
      <c r="E398">
        <v>4834356704</v>
      </c>
      <c r="F398">
        <v>4393604739</v>
      </c>
      <c r="G398">
        <v>2858410015</v>
      </c>
      <c r="H398">
        <v>2718174627</v>
      </c>
      <c r="I398">
        <v>2009070219</v>
      </c>
      <c r="J398">
        <v>1605827015</v>
      </c>
      <c r="K398">
        <v>500707176</v>
      </c>
      <c r="L398">
        <v>316647085</v>
      </c>
      <c r="M398">
        <v>259261819</v>
      </c>
      <c r="N398">
        <v>241114344</v>
      </c>
      <c r="O398">
        <v>482703543</v>
      </c>
      <c r="P398">
        <v>1262</v>
      </c>
      <c r="Q398" t="s">
        <v>957</v>
      </c>
    </row>
    <row r="399" spans="1:17" x14ac:dyDescent="0.3">
      <c r="A399" t="s">
        <v>75</v>
      </c>
      <c r="B399" t="str">
        <f>"200521"</f>
        <v>200521</v>
      </c>
      <c r="C399" t="s">
        <v>958</v>
      </c>
      <c r="E399">
        <v>4829962276.3439999</v>
      </c>
      <c r="F399">
        <v>3995832699.7414999</v>
      </c>
      <c r="G399">
        <v>2748040486.9604998</v>
      </c>
      <c r="H399">
        <v>4564974082.0878</v>
      </c>
      <c r="I399">
        <v>3896912703.0745001</v>
      </c>
      <c r="J399">
        <v>4084235147.2104001</v>
      </c>
      <c r="K399">
        <v>3319395366.5836</v>
      </c>
      <c r="L399">
        <v>2272104343.75</v>
      </c>
      <c r="M399">
        <v>2006577407.878</v>
      </c>
      <c r="N399">
        <v>1962346956.7428</v>
      </c>
      <c r="O399">
        <v>1715005263.789</v>
      </c>
      <c r="P399">
        <v>23</v>
      </c>
      <c r="Q399" t="s">
        <v>959</v>
      </c>
    </row>
    <row r="400" spans="1:17" x14ac:dyDescent="0.3">
      <c r="A400" t="s">
        <v>75</v>
      </c>
      <c r="B400" t="str">
        <f>"002567"</f>
        <v>002567</v>
      </c>
      <c r="C400" t="s">
        <v>960</v>
      </c>
      <c r="D400" t="s">
        <v>824</v>
      </c>
      <c r="E400">
        <v>4825180685</v>
      </c>
      <c r="F400">
        <v>5083379505</v>
      </c>
      <c r="G400">
        <v>3583159091</v>
      </c>
      <c r="H400">
        <v>3434254096</v>
      </c>
      <c r="I400">
        <v>3260146334</v>
      </c>
      <c r="J400">
        <v>3108800523</v>
      </c>
      <c r="K400">
        <v>2048244000</v>
      </c>
      <c r="L400">
        <v>2088289251</v>
      </c>
      <c r="M400">
        <v>2246083297</v>
      </c>
      <c r="N400">
        <v>1648897893</v>
      </c>
      <c r="O400">
        <v>1565190053</v>
      </c>
      <c r="P400">
        <v>451</v>
      </c>
      <c r="Q400" t="s">
        <v>961</v>
      </c>
    </row>
    <row r="401" spans="1:17" x14ac:dyDescent="0.3">
      <c r="A401" t="s">
        <v>17</v>
      </c>
      <c r="B401" t="str">
        <f>"688005"</f>
        <v>688005</v>
      </c>
      <c r="C401" t="s">
        <v>962</v>
      </c>
      <c r="D401" t="s">
        <v>834</v>
      </c>
      <c r="E401">
        <v>4814989173</v>
      </c>
      <c r="F401">
        <v>577780205</v>
      </c>
      <c r="G401">
        <v>510500121</v>
      </c>
      <c r="H401">
        <v>476354851</v>
      </c>
      <c r="I401">
        <v>205083755</v>
      </c>
      <c r="P401">
        <v>318</v>
      </c>
      <c r="Q401" t="s">
        <v>963</v>
      </c>
    </row>
    <row r="402" spans="1:17" x14ac:dyDescent="0.3">
      <c r="A402" t="s">
        <v>17</v>
      </c>
      <c r="B402" t="str">
        <f>"600617"</f>
        <v>600617</v>
      </c>
      <c r="C402" t="s">
        <v>964</v>
      </c>
      <c r="D402" t="s">
        <v>147</v>
      </c>
      <c r="E402">
        <v>4777541940</v>
      </c>
      <c r="F402">
        <v>2275628155</v>
      </c>
      <c r="G402">
        <v>2067209147</v>
      </c>
      <c r="H402">
        <v>3329450167</v>
      </c>
      <c r="I402">
        <v>2683895996</v>
      </c>
      <c r="J402">
        <v>3168700501</v>
      </c>
      <c r="K402">
        <v>2053114252</v>
      </c>
      <c r="L402">
        <v>2230942161</v>
      </c>
      <c r="M402">
        <v>1492895557</v>
      </c>
      <c r="N402">
        <v>0</v>
      </c>
      <c r="O402">
        <v>10633899</v>
      </c>
      <c r="P402">
        <v>104</v>
      </c>
      <c r="Q402" t="s">
        <v>965</v>
      </c>
    </row>
    <row r="403" spans="1:17" x14ac:dyDescent="0.3">
      <c r="A403" t="s">
        <v>17</v>
      </c>
      <c r="B403" t="str">
        <f>"688075"</f>
        <v>688075</v>
      </c>
      <c r="C403" t="s">
        <v>966</v>
      </c>
      <c r="D403" t="s">
        <v>967</v>
      </c>
      <c r="E403">
        <v>4765819053</v>
      </c>
      <c r="P403">
        <v>37</v>
      </c>
      <c r="Q403" t="s">
        <v>968</v>
      </c>
    </row>
    <row r="404" spans="1:17" x14ac:dyDescent="0.3">
      <c r="A404" t="s">
        <v>17</v>
      </c>
      <c r="B404" t="str">
        <f>"601588"</f>
        <v>601588</v>
      </c>
      <c r="C404" t="s">
        <v>969</v>
      </c>
      <c r="D404" t="s">
        <v>65</v>
      </c>
      <c r="E404">
        <v>4754007897</v>
      </c>
      <c r="F404">
        <v>3130174708</v>
      </c>
      <c r="G404">
        <v>2336184768</v>
      </c>
      <c r="H404">
        <v>4358409731</v>
      </c>
      <c r="I404">
        <v>5098009350</v>
      </c>
      <c r="J404">
        <v>5111985303</v>
      </c>
      <c r="K404">
        <v>2816972340</v>
      </c>
      <c r="L404">
        <v>1124470210</v>
      </c>
      <c r="M404">
        <v>1164738009</v>
      </c>
      <c r="N404">
        <v>1545200056</v>
      </c>
      <c r="O404">
        <v>903667942</v>
      </c>
      <c r="P404">
        <v>536</v>
      </c>
      <c r="Q404" t="s">
        <v>970</v>
      </c>
    </row>
    <row r="405" spans="1:17" x14ac:dyDescent="0.3">
      <c r="A405" t="s">
        <v>17</v>
      </c>
      <c r="B405" t="str">
        <f>"600066"</f>
        <v>600066</v>
      </c>
      <c r="C405" t="s">
        <v>971</v>
      </c>
      <c r="D405" t="s">
        <v>972</v>
      </c>
      <c r="E405">
        <v>4742634795</v>
      </c>
      <c r="F405">
        <v>5233578314</v>
      </c>
      <c r="G405">
        <v>5790084319</v>
      </c>
      <c r="H405">
        <v>6370585772</v>
      </c>
      <c r="I405">
        <v>5568914384</v>
      </c>
      <c r="J405">
        <v>5463223784</v>
      </c>
      <c r="K405">
        <v>5739672957</v>
      </c>
      <c r="L405">
        <v>4766682655</v>
      </c>
      <c r="M405">
        <v>3935380166</v>
      </c>
      <c r="N405">
        <v>3196977116</v>
      </c>
      <c r="O405">
        <v>3606000601</v>
      </c>
      <c r="P405">
        <v>2894</v>
      </c>
      <c r="Q405" t="s">
        <v>973</v>
      </c>
    </row>
    <row r="406" spans="1:17" x14ac:dyDescent="0.3">
      <c r="A406" t="s">
        <v>75</v>
      </c>
      <c r="B406" t="str">
        <f>"002456"</f>
        <v>002456</v>
      </c>
      <c r="C406" t="s">
        <v>974</v>
      </c>
      <c r="D406" t="s">
        <v>975</v>
      </c>
      <c r="E406">
        <v>4742596545</v>
      </c>
      <c r="F406">
        <v>10872350547</v>
      </c>
      <c r="G406">
        <v>11987771413</v>
      </c>
      <c r="H406">
        <v>10021308601</v>
      </c>
      <c r="I406">
        <v>7626404922</v>
      </c>
      <c r="J406">
        <v>6574668437</v>
      </c>
      <c r="K406">
        <v>5420853575</v>
      </c>
      <c r="L406">
        <v>4544232184</v>
      </c>
      <c r="M406">
        <v>2724262566</v>
      </c>
      <c r="N406">
        <v>1594925286</v>
      </c>
      <c r="O406">
        <v>295161145</v>
      </c>
      <c r="P406">
        <v>1607</v>
      </c>
      <c r="Q406" t="s">
        <v>976</v>
      </c>
    </row>
    <row r="407" spans="1:17" x14ac:dyDescent="0.3">
      <c r="A407" t="s">
        <v>17</v>
      </c>
      <c r="B407" t="str">
        <f>"603997"</f>
        <v>603997</v>
      </c>
      <c r="C407" t="s">
        <v>977</v>
      </c>
      <c r="D407" t="s">
        <v>194</v>
      </c>
      <c r="E407">
        <v>4726272246</v>
      </c>
      <c r="F407">
        <v>4809700919</v>
      </c>
      <c r="G407">
        <v>4614619927</v>
      </c>
      <c r="H407">
        <v>563242560</v>
      </c>
      <c r="I407">
        <v>582624141</v>
      </c>
      <c r="J407">
        <v>508755001</v>
      </c>
      <c r="K407">
        <v>345791279</v>
      </c>
      <c r="L407">
        <v>262061311</v>
      </c>
      <c r="M407">
        <v>250410656</v>
      </c>
      <c r="P407">
        <v>248</v>
      </c>
      <c r="Q407" t="s">
        <v>978</v>
      </c>
    </row>
    <row r="408" spans="1:17" x14ac:dyDescent="0.3">
      <c r="A408" t="s">
        <v>17</v>
      </c>
      <c r="B408" t="str">
        <f>"600176"</f>
        <v>600176</v>
      </c>
      <c r="C408" t="s">
        <v>979</v>
      </c>
      <c r="D408" t="s">
        <v>980</v>
      </c>
      <c r="E408">
        <v>4726205306</v>
      </c>
      <c r="F408">
        <v>3260749052</v>
      </c>
      <c r="G408">
        <v>2355907355</v>
      </c>
      <c r="H408">
        <v>2334929688</v>
      </c>
      <c r="I408">
        <v>2139665389</v>
      </c>
      <c r="J408">
        <v>1729344717</v>
      </c>
      <c r="K408">
        <v>1753094611</v>
      </c>
      <c r="L408">
        <v>1261936364</v>
      </c>
      <c r="M408">
        <v>894508081</v>
      </c>
      <c r="N408">
        <v>1143146189</v>
      </c>
      <c r="O408">
        <v>835472049</v>
      </c>
      <c r="P408">
        <v>2781</v>
      </c>
      <c r="Q408" t="s">
        <v>981</v>
      </c>
    </row>
    <row r="409" spans="1:17" x14ac:dyDescent="0.3">
      <c r="A409" t="s">
        <v>17</v>
      </c>
      <c r="B409" t="str">
        <f>"600694"</f>
        <v>600694</v>
      </c>
      <c r="C409" t="s">
        <v>982</v>
      </c>
      <c r="D409" t="s">
        <v>359</v>
      </c>
      <c r="E409">
        <v>4726086313</v>
      </c>
      <c r="F409">
        <v>5530502132</v>
      </c>
      <c r="G409">
        <v>4245714938</v>
      </c>
      <c r="H409">
        <v>6545656471</v>
      </c>
      <c r="I409">
        <v>7476271941</v>
      </c>
      <c r="J409">
        <v>8147558671</v>
      </c>
      <c r="K409">
        <v>9040084682</v>
      </c>
      <c r="L409">
        <v>9765133949</v>
      </c>
      <c r="M409">
        <v>10527525749</v>
      </c>
      <c r="N409">
        <v>10873006370</v>
      </c>
      <c r="O409">
        <v>9980906583</v>
      </c>
      <c r="P409">
        <v>543</v>
      </c>
      <c r="Q409" t="s">
        <v>983</v>
      </c>
    </row>
    <row r="410" spans="1:17" x14ac:dyDescent="0.3">
      <c r="A410" t="s">
        <v>75</v>
      </c>
      <c r="B410" t="str">
        <f>"000422"</f>
        <v>000422</v>
      </c>
      <c r="C410" t="s">
        <v>984</v>
      </c>
      <c r="D410" t="s">
        <v>311</v>
      </c>
      <c r="E410">
        <v>4701037395</v>
      </c>
      <c r="F410">
        <v>2719831832</v>
      </c>
      <c r="G410">
        <v>2590001998</v>
      </c>
      <c r="H410">
        <v>3511449594</v>
      </c>
      <c r="I410">
        <v>3107112366</v>
      </c>
      <c r="J410">
        <v>4265955130</v>
      </c>
      <c r="K410">
        <v>4783985359</v>
      </c>
      <c r="L410">
        <v>4843571568</v>
      </c>
      <c r="M410">
        <v>5023230960</v>
      </c>
      <c r="N410">
        <v>4018938204</v>
      </c>
      <c r="O410">
        <v>5239509562</v>
      </c>
      <c r="P410">
        <v>257</v>
      </c>
      <c r="Q410" t="s">
        <v>985</v>
      </c>
    </row>
    <row r="411" spans="1:17" x14ac:dyDescent="0.3">
      <c r="A411" t="s">
        <v>17</v>
      </c>
      <c r="B411" t="str">
        <f>"603113"</f>
        <v>603113</v>
      </c>
      <c r="C411" t="s">
        <v>986</v>
      </c>
      <c r="D411" t="s">
        <v>837</v>
      </c>
      <c r="E411">
        <v>4700198188</v>
      </c>
      <c r="F411">
        <v>1837622971</v>
      </c>
      <c r="G411">
        <v>1506782661</v>
      </c>
      <c r="H411">
        <v>1762631732</v>
      </c>
      <c r="I411">
        <v>1297789030</v>
      </c>
      <c r="J411">
        <v>1023415624</v>
      </c>
      <c r="K411">
        <v>425449866</v>
      </c>
      <c r="P411">
        <v>302</v>
      </c>
      <c r="Q411" t="s">
        <v>987</v>
      </c>
    </row>
    <row r="412" spans="1:17" x14ac:dyDescent="0.3">
      <c r="A412" t="s">
        <v>75</v>
      </c>
      <c r="B412" t="str">
        <f>"002230"</f>
        <v>002230</v>
      </c>
      <c r="C412" t="s">
        <v>988</v>
      </c>
      <c r="D412" t="s">
        <v>989</v>
      </c>
      <c r="E412">
        <v>4697116036</v>
      </c>
      <c r="F412">
        <v>2673533186</v>
      </c>
      <c r="G412">
        <v>1786115190</v>
      </c>
      <c r="H412">
        <v>1729961324</v>
      </c>
      <c r="I412">
        <v>1239071808</v>
      </c>
      <c r="J412">
        <v>602491825</v>
      </c>
      <c r="K412">
        <v>490143646</v>
      </c>
      <c r="L412">
        <v>349489768</v>
      </c>
      <c r="M412">
        <v>254496146</v>
      </c>
      <c r="N412">
        <v>115364113</v>
      </c>
      <c r="O412">
        <v>77741378</v>
      </c>
      <c r="P412">
        <v>3020</v>
      </c>
      <c r="Q412" t="s">
        <v>990</v>
      </c>
    </row>
    <row r="413" spans="1:17" x14ac:dyDescent="0.3">
      <c r="A413" t="s">
        <v>17</v>
      </c>
      <c r="B413" t="str">
        <f>"600392"</f>
        <v>600392</v>
      </c>
      <c r="C413" t="s">
        <v>991</v>
      </c>
      <c r="D413" t="s">
        <v>531</v>
      </c>
      <c r="E413">
        <v>4659887446</v>
      </c>
      <c r="F413">
        <v>2367371316</v>
      </c>
      <c r="G413">
        <v>1381423730</v>
      </c>
      <c r="H413">
        <v>1399787570</v>
      </c>
      <c r="I413">
        <v>1406975821</v>
      </c>
      <c r="J413">
        <v>1067599403</v>
      </c>
      <c r="K413">
        <v>105577286</v>
      </c>
      <c r="L413">
        <v>399743711</v>
      </c>
      <c r="M413">
        <v>143284403</v>
      </c>
      <c r="N413">
        <v>82881518</v>
      </c>
      <c r="O413">
        <v>63014993</v>
      </c>
      <c r="P413">
        <v>439</v>
      </c>
      <c r="Q413" t="s">
        <v>992</v>
      </c>
    </row>
    <row r="414" spans="1:17" x14ac:dyDescent="0.3">
      <c r="A414" t="s">
        <v>17</v>
      </c>
      <c r="B414" t="str">
        <f>"600320"</f>
        <v>600320</v>
      </c>
      <c r="C414" t="s">
        <v>993</v>
      </c>
      <c r="D414" t="s">
        <v>786</v>
      </c>
      <c r="E414">
        <v>4650875983</v>
      </c>
      <c r="F414">
        <v>5234287028</v>
      </c>
      <c r="G414">
        <v>4257438513</v>
      </c>
      <c r="H414">
        <v>5315779747</v>
      </c>
      <c r="I414">
        <v>5442854066</v>
      </c>
      <c r="J414">
        <v>5905860294</v>
      </c>
      <c r="K414">
        <v>6343013694</v>
      </c>
      <c r="L414">
        <v>4764983700</v>
      </c>
      <c r="M414">
        <v>4455688812</v>
      </c>
      <c r="N414">
        <v>4230212628</v>
      </c>
      <c r="O414">
        <v>3995217488</v>
      </c>
      <c r="P414">
        <v>190</v>
      </c>
      <c r="Q414" t="s">
        <v>994</v>
      </c>
    </row>
    <row r="415" spans="1:17" x14ac:dyDescent="0.3">
      <c r="A415" t="s">
        <v>17</v>
      </c>
      <c r="B415" t="str">
        <f>"603260"</f>
        <v>603260</v>
      </c>
      <c r="C415" t="s">
        <v>995</v>
      </c>
      <c r="D415" t="s">
        <v>996</v>
      </c>
      <c r="E415">
        <v>4646285836</v>
      </c>
      <c r="F415">
        <v>1912722035</v>
      </c>
      <c r="G415">
        <v>1135313242</v>
      </c>
      <c r="H415">
        <v>1668209818</v>
      </c>
      <c r="I415">
        <v>1568222721</v>
      </c>
      <c r="J415">
        <v>1021170297</v>
      </c>
      <c r="P415">
        <v>700</v>
      </c>
      <c r="Q415" t="s">
        <v>997</v>
      </c>
    </row>
    <row r="416" spans="1:17" x14ac:dyDescent="0.3">
      <c r="A416" t="s">
        <v>75</v>
      </c>
      <c r="B416" t="str">
        <f>"002589"</f>
        <v>002589</v>
      </c>
      <c r="C416" t="s">
        <v>998</v>
      </c>
      <c r="D416" t="s">
        <v>123</v>
      </c>
      <c r="E416">
        <v>4638545073</v>
      </c>
      <c r="F416">
        <v>6127981675</v>
      </c>
      <c r="G416">
        <v>5909093373</v>
      </c>
      <c r="H416">
        <v>5200791830</v>
      </c>
      <c r="I416">
        <v>6898337000</v>
      </c>
      <c r="J416">
        <v>4548958534</v>
      </c>
      <c r="K416">
        <v>2934884537</v>
      </c>
      <c r="L416">
        <v>1986302388</v>
      </c>
      <c r="M416">
        <v>1664238083</v>
      </c>
      <c r="N416">
        <v>1393195296</v>
      </c>
      <c r="O416">
        <v>947202405</v>
      </c>
      <c r="P416">
        <v>460</v>
      </c>
      <c r="Q416" t="s">
        <v>999</v>
      </c>
    </row>
    <row r="417" spans="1:17" x14ac:dyDescent="0.3">
      <c r="A417" t="s">
        <v>75</v>
      </c>
      <c r="B417" t="str">
        <f>"002841"</f>
        <v>002841</v>
      </c>
      <c r="C417" t="s">
        <v>1000</v>
      </c>
      <c r="D417" t="s">
        <v>1001</v>
      </c>
      <c r="E417">
        <v>4631842606</v>
      </c>
      <c r="F417">
        <v>4609623899</v>
      </c>
      <c r="G417">
        <v>2812955332</v>
      </c>
      <c r="H417">
        <v>3529918088</v>
      </c>
      <c r="I417">
        <v>3071023219</v>
      </c>
      <c r="J417">
        <v>1757043333</v>
      </c>
      <c r="K417">
        <v>1704089637</v>
      </c>
      <c r="P417">
        <v>3102</v>
      </c>
      <c r="Q417" t="s">
        <v>1002</v>
      </c>
    </row>
    <row r="418" spans="1:17" x14ac:dyDescent="0.3">
      <c r="A418" t="s">
        <v>17</v>
      </c>
      <c r="B418" t="str">
        <f>"603833"</f>
        <v>603833</v>
      </c>
      <c r="C418" t="s">
        <v>1003</v>
      </c>
      <c r="D418" t="s">
        <v>1004</v>
      </c>
      <c r="E418">
        <v>4631293410</v>
      </c>
      <c r="F418">
        <v>3600933084</v>
      </c>
      <c r="G418">
        <v>1327627365</v>
      </c>
      <c r="H418">
        <v>2194396506</v>
      </c>
      <c r="I418">
        <v>1866708462</v>
      </c>
      <c r="J418">
        <v>1504227484</v>
      </c>
      <c r="K418">
        <v>1421939577</v>
      </c>
      <c r="P418">
        <v>2566</v>
      </c>
      <c r="Q418" t="s">
        <v>1005</v>
      </c>
    </row>
    <row r="419" spans="1:17" x14ac:dyDescent="0.3">
      <c r="A419" t="s">
        <v>75</v>
      </c>
      <c r="B419" t="str">
        <f>"300979"</f>
        <v>300979</v>
      </c>
      <c r="C419" t="s">
        <v>1006</v>
      </c>
      <c r="D419" t="s">
        <v>1007</v>
      </c>
      <c r="E419">
        <v>4615975826</v>
      </c>
      <c r="F419">
        <v>3543465323</v>
      </c>
      <c r="G419">
        <v>3972682325</v>
      </c>
      <c r="P419">
        <v>95</v>
      </c>
      <c r="Q419" t="s">
        <v>1008</v>
      </c>
    </row>
    <row r="420" spans="1:17" x14ac:dyDescent="0.3">
      <c r="A420" t="s">
        <v>17</v>
      </c>
      <c r="B420" t="str">
        <f>"600380"</f>
        <v>600380</v>
      </c>
      <c r="C420" t="s">
        <v>1009</v>
      </c>
      <c r="D420" t="s">
        <v>543</v>
      </c>
      <c r="E420">
        <v>4614758575</v>
      </c>
      <c r="F420">
        <v>3878119048</v>
      </c>
      <c r="G420">
        <v>3059841701</v>
      </c>
      <c r="H420">
        <v>3129824132</v>
      </c>
      <c r="I420">
        <v>3121650573</v>
      </c>
      <c r="J420">
        <v>2696623799</v>
      </c>
      <c r="K420">
        <v>2350967726</v>
      </c>
      <c r="L420">
        <v>2035147536</v>
      </c>
      <c r="M420">
        <v>1725418811</v>
      </c>
      <c r="N420">
        <v>1336008213</v>
      </c>
      <c r="O420">
        <v>1197557784</v>
      </c>
      <c r="P420">
        <v>966</v>
      </c>
      <c r="Q420" t="s">
        <v>1010</v>
      </c>
    </row>
    <row r="421" spans="1:17" x14ac:dyDescent="0.3">
      <c r="A421" t="s">
        <v>17</v>
      </c>
      <c r="B421" t="str">
        <f>"600276"</f>
        <v>600276</v>
      </c>
      <c r="C421" t="s">
        <v>1011</v>
      </c>
      <c r="D421" t="s">
        <v>543</v>
      </c>
      <c r="E421">
        <v>4593457361</v>
      </c>
      <c r="F421">
        <v>7066411386</v>
      </c>
      <c r="G421">
        <v>5749684743</v>
      </c>
      <c r="H421">
        <v>4446317246</v>
      </c>
      <c r="I421">
        <v>3674041898</v>
      </c>
      <c r="J421">
        <v>3731337989</v>
      </c>
      <c r="K421">
        <v>3215814267</v>
      </c>
      <c r="L421">
        <v>2313006558</v>
      </c>
      <c r="M421">
        <v>1838127141</v>
      </c>
      <c r="N421">
        <v>1729424835</v>
      </c>
      <c r="O421">
        <v>1416525865</v>
      </c>
      <c r="P421">
        <v>70860</v>
      </c>
      <c r="Q421" t="s">
        <v>1012</v>
      </c>
    </row>
    <row r="422" spans="1:17" x14ac:dyDescent="0.3">
      <c r="A422" t="s">
        <v>75</v>
      </c>
      <c r="B422" t="str">
        <f>"002788"</f>
        <v>002788</v>
      </c>
      <c r="C422" t="s">
        <v>1013</v>
      </c>
      <c r="D422" t="s">
        <v>123</v>
      </c>
      <c r="E422">
        <v>4568589232</v>
      </c>
      <c r="F422">
        <v>4394362835</v>
      </c>
      <c r="G422">
        <v>3596479335</v>
      </c>
      <c r="H422">
        <v>3479480030</v>
      </c>
      <c r="I422">
        <v>2553461276</v>
      </c>
      <c r="J422">
        <v>2048995535</v>
      </c>
      <c r="K422">
        <v>1591049114</v>
      </c>
      <c r="L422">
        <v>1480000134</v>
      </c>
      <c r="P422">
        <v>162</v>
      </c>
      <c r="Q422" t="s">
        <v>1014</v>
      </c>
    </row>
    <row r="423" spans="1:17" x14ac:dyDescent="0.3">
      <c r="A423" t="s">
        <v>17</v>
      </c>
      <c r="B423" t="str">
        <f>"600079"</f>
        <v>600079</v>
      </c>
      <c r="C423" t="s">
        <v>1015</v>
      </c>
      <c r="D423" t="s">
        <v>543</v>
      </c>
      <c r="E423">
        <v>4544409059</v>
      </c>
      <c r="F423">
        <v>4169375512</v>
      </c>
      <c r="G423">
        <v>4431477139</v>
      </c>
      <c r="H423">
        <v>5036242144</v>
      </c>
      <c r="I423">
        <v>4223259380</v>
      </c>
      <c r="J423">
        <v>3350610859</v>
      </c>
      <c r="K423">
        <v>2732931904</v>
      </c>
      <c r="L423">
        <v>2356528335</v>
      </c>
      <c r="M423">
        <v>1642967021</v>
      </c>
      <c r="N423">
        <v>1311584017</v>
      </c>
      <c r="O423">
        <v>1067257460</v>
      </c>
      <c r="P423">
        <v>941</v>
      </c>
      <c r="Q423" t="s">
        <v>1016</v>
      </c>
    </row>
    <row r="424" spans="1:17" x14ac:dyDescent="0.3">
      <c r="A424" t="s">
        <v>75</v>
      </c>
      <c r="B424" t="str">
        <f>"002460"</f>
        <v>002460</v>
      </c>
      <c r="C424" t="s">
        <v>1017</v>
      </c>
      <c r="D424" t="s">
        <v>876</v>
      </c>
      <c r="E424">
        <v>4542136092</v>
      </c>
      <c r="F424">
        <v>1698849526</v>
      </c>
      <c r="G424">
        <v>1082098652</v>
      </c>
      <c r="H424">
        <v>1436874763</v>
      </c>
      <c r="I424">
        <v>801169174</v>
      </c>
      <c r="J424">
        <v>767272070</v>
      </c>
      <c r="K424">
        <v>890888354</v>
      </c>
      <c r="L424">
        <v>266370447</v>
      </c>
      <c r="M424">
        <v>199511353</v>
      </c>
      <c r="N424">
        <v>166689338</v>
      </c>
      <c r="O424">
        <v>141879305</v>
      </c>
      <c r="P424">
        <v>2486</v>
      </c>
      <c r="Q424" t="s">
        <v>1018</v>
      </c>
    </row>
    <row r="425" spans="1:17" x14ac:dyDescent="0.3">
      <c r="A425" t="s">
        <v>17</v>
      </c>
      <c r="B425" t="str">
        <f>"688298"</f>
        <v>688298</v>
      </c>
      <c r="C425" t="s">
        <v>1019</v>
      </c>
      <c r="D425" t="s">
        <v>967</v>
      </c>
      <c r="E425">
        <v>4531483652</v>
      </c>
      <c r="F425">
        <v>2183953382</v>
      </c>
      <c r="G425">
        <v>261052173</v>
      </c>
      <c r="H425">
        <v>69071281</v>
      </c>
      <c r="P425">
        <v>477</v>
      </c>
      <c r="Q425" t="s">
        <v>1020</v>
      </c>
    </row>
    <row r="426" spans="1:17" x14ac:dyDescent="0.3">
      <c r="A426" t="s">
        <v>17</v>
      </c>
      <c r="B426" t="str">
        <f>"600961"</f>
        <v>600961</v>
      </c>
      <c r="C426" t="s">
        <v>1021</v>
      </c>
      <c r="D426" t="s">
        <v>375</v>
      </c>
      <c r="E426">
        <v>4522131308</v>
      </c>
      <c r="F426">
        <v>4416477549</v>
      </c>
      <c r="G426">
        <v>3803653143</v>
      </c>
      <c r="H426">
        <v>2789001121</v>
      </c>
      <c r="I426">
        <v>3377667047</v>
      </c>
      <c r="J426">
        <v>3736398344</v>
      </c>
      <c r="K426">
        <v>3062892521</v>
      </c>
      <c r="L426">
        <v>3612551409</v>
      </c>
      <c r="M426">
        <v>4241117488</v>
      </c>
      <c r="N426">
        <v>3243923310</v>
      </c>
      <c r="O426">
        <v>2376568786</v>
      </c>
      <c r="P426">
        <v>127</v>
      </c>
      <c r="Q426" t="s">
        <v>1022</v>
      </c>
    </row>
    <row r="427" spans="1:17" x14ac:dyDescent="0.3">
      <c r="A427" t="s">
        <v>75</v>
      </c>
      <c r="B427" t="str">
        <f>"000600"</f>
        <v>000600</v>
      </c>
      <c r="C427" t="s">
        <v>1023</v>
      </c>
      <c r="D427" t="s">
        <v>88</v>
      </c>
      <c r="E427">
        <v>4503723748</v>
      </c>
      <c r="F427">
        <v>4765650988</v>
      </c>
      <c r="G427">
        <v>3659141811</v>
      </c>
      <c r="H427">
        <v>4183150005</v>
      </c>
      <c r="I427">
        <v>4127590814</v>
      </c>
      <c r="J427">
        <v>2612629451</v>
      </c>
      <c r="K427">
        <v>2647944451</v>
      </c>
      <c r="L427">
        <v>2309295243</v>
      </c>
      <c r="M427">
        <v>2697964783</v>
      </c>
      <c r="N427">
        <v>1953795439</v>
      </c>
      <c r="O427">
        <v>1644856696</v>
      </c>
      <c r="P427">
        <v>312</v>
      </c>
      <c r="Q427" t="s">
        <v>1024</v>
      </c>
    </row>
    <row r="428" spans="1:17" x14ac:dyDescent="0.3">
      <c r="A428" t="s">
        <v>75</v>
      </c>
      <c r="B428" t="str">
        <f>"000401"</f>
        <v>000401</v>
      </c>
      <c r="C428" t="s">
        <v>1025</v>
      </c>
      <c r="D428" t="s">
        <v>191</v>
      </c>
      <c r="E428">
        <v>4501245961</v>
      </c>
      <c r="F428">
        <v>5485612640</v>
      </c>
      <c r="G428">
        <v>3447873342</v>
      </c>
      <c r="H428">
        <v>4438918520</v>
      </c>
      <c r="I428">
        <v>1752779317</v>
      </c>
      <c r="J428">
        <v>1487247775</v>
      </c>
      <c r="K428">
        <v>1976536388</v>
      </c>
      <c r="L428">
        <v>1597071332</v>
      </c>
      <c r="M428">
        <v>1977685656</v>
      </c>
      <c r="N428">
        <v>1678175137</v>
      </c>
      <c r="O428">
        <v>1853275152</v>
      </c>
      <c r="P428">
        <v>826</v>
      </c>
      <c r="Q428" t="s">
        <v>1026</v>
      </c>
    </row>
    <row r="429" spans="1:17" x14ac:dyDescent="0.3">
      <c r="A429" t="s">
        <v>17</v>
      </c>
      <c r="B429" t="str">
        <f>"600496"</f>
        <v>600496</v>
      </c>
      <c r="C429" t="s">
        <v>1027</v>
      </c>
      <c r="D429" t="s">
        <v>1028</v>
      </c>
      <c r="E429">
        <v>4494463642</v>
      </c>
      <c r="F429">
        <v>3595361558</v>
      </c>
      <c r="G429">
        <v>2748728422</v>
      </c>
      <c r="H429">
        <v>2715264482</v>
      </c>
      <c r="I429">
        <v>2546531629</v>
      </c>
      <c r="J429">
        <v>1748436255</v>
      </c>
      <c r="K429">
        <v>1624968788</v>
      </c>
      <c r="L429">
        <v>2041780500</v>
      </c>
      <c r="M429">
        <v>1730879498</v>
      </c>
      <c r="N429">
        <v>1396177930</v>
      </c>
      <c r="O429">
        <v>1266317734</v>
      </c>
      <c r="P429">
        <v>249</v>
      </c>
      <c r="Q429" t="s">
        <v>1029</v>
      </c>
    </row>
    <row r="430" spans="1:17" x14ac:dyDescent="0.3">
      <c r="A430" t="s">
        <v>75</v>
      </c>
      <c r="B430" t="str">
        <f>"002075"</f>
        <v>002075</v>
      </c>
      <c r="C430" t="s">
        <v>1030</v>
      </c>
      <c r="D430" t="s">
        <v>238</v>
      </c>
      <c r="E430">
        <v>4457023819</v>
      </c>
      <c r="F430">
        <v>4057914829</v>
      </c>
      <c r="G430">
        <v>2247783247</v>
      </c>
      <c r="H430">
        <v>1756376160</v>
      </c>
      <c r="I430">
        <v>2855729971</v>
      </c>
      <c r="J430">
        <v>2236943774</v>
      </c>
      <c r="K430">
        <v>1390993654</v>
      </c>
      <c r="L430">
        <v>1484177819</v>
      </c>
      <c r="M430">
        <v>1646693245</v>
      </c>
      <c r="N430">
        <v>1997744039</v>
      </c>
      <c r="O430">
        <v>3724588841</v>
      </c>
      <c r="P430">
        <v>281</v>
      </c>
      <c r="Q430" t="s">
        <v>1031</v>
      </c>
    </row>
    <row r="431" spans="1:17" x14ac:dyDescent="0.3">
      <c r="A431" t="s">
        <v>75</v>
      </c>
      <c r="B431" t="str">
        <f>"000559"</f>
        <v>000559</v>
      </c>
      <c r="C431" t="s">
        <v>1032</v>
      </c>
      <c r="D431" t="s">
        <v>172</v>
      </c>
      <c r="E431">
        <v>4455570724</v>
      </c>
      <c r="F431">
        <v>3727017224</v>
      </c>
      <c r="G431">
        <v>2334872677</v>
      </c>
      <c r="H431">
        <v>3080356665</v>
      </c>
      <c r="I431">
        <v>3312516672</v>
      </c>
      <c r="J431">
        <v>3683420168</v>
      </c>
      <c r="K431">
        <v>3252951484</v>
      </c>
      <c r="L431">
        <v>3180374392</v>
      </c>
      <c r="M431">
        <v>2523061052</v>
      </c>
      <c r="N431">
        <v>2320895734</v>
      </c>
      <c r="O431">
        <v>2111720957</v>
      </c>
      <c r="P431">
        <v>414</v>
      </c>
      <c r="Q431" t="s">
        <v>1033</v>
      </c>
    </row>
    <row r="432" spans="1:17" x14ac:dyDescent="0.3">
      <c r="A432" t="s">
        <v>17</v>
      </c>
      <c r="B432" t="str">
        <f>"600691"</f>
        <v>600691</v>
      </c>
      <c r="C432" t="s">
        <v>1034</v>
      </c>
      <c r="D432" t="s">
        <v>1035</v>
      </c>
      <c r="E432">
        <v>4449280427</v>
      </c>
      <c r="F432">
        <v>4098110687</v>
      </c>
      <c r="G432">
        <v>4023112396</v>
      </c>
      <c r="H432">
        <v>4778238083</v>
      </c>
      <c r="I432">
        <v>4402046369</v>
      </c>
      <c r="J432">
        <v>4233500672</v>
      </c>
      <c r="K432">
        <v>4281120383</v>
      </c>
      <c r="L432">
        <v>5856983734</v>
      </c>
      <c r="M432">
        <v>6183427465</v>
      </c>
      <c r="N432">
        <v>5246667568</v>
      </c>
      <c r="O432">
        <v>4742531</v>
      </c>
      <c r="P432">
        <v>130</v>
      </c>
      <c r="Q432" t="s">
        <v>1036</v>
      </c>
    </row>
    <row r="433" spans="1:17" x14ac:dyDescent="0.3">
      <c r="A433" t="s">
        <v>75</v>
      </c>
      <c r="B433" t="str">
        <f>"002048"</f>
        <v>002048</v>
      </c>
      <c r="C433" t="s">
        <v>1037</v>
      </c>
      <c r="D433" t="s">
        <v>194</v>
      </c>
      <c r="E433">
        <v>4447778856</v>
      </c>
      <c r="F433">
        <v>4206227897</v>
      </c>
      <c r="G433">
        <v>3758138551</v>
      </c>
      <c r="H433">
        <v>3836793817</v>
      </c>
      <c r="I433">
        <v>3234589799</v>
      </c>
      <c r="J433">
        <v>3623716720</v>
      </c>
      <c r="K433">
        <v>2409266890</v>
      </c>
      <c r="L433">
        <v>2060634629</v>
      </c>
      <c r="M433">
        <v>1865794722</v>
      </c>
      <c r="N433">
        <v>1158687079</v>
      </c>
      <c r="O433">
        <v>886261118</v>
      </c>
      <c r="P433">
        <v>645</v>
      </c>
      <c r="Q433" t="s">
        <v>1038</v>
      </c>
    </row>
    <row r="434" spans="1:17" x14ac:dyDescent="0.3">
      <c r="A434" t="s">
        <v>17</v>
      </c>
      <c r="B434" t="str">
        <f>"601058"</f>
        <v>601058</v>
      </c>
      <c r="C434" t="s">
        <v>1039</v>
      </c>
      <c r="D434" t="s">
        <v>904</v>
      </c>
      <c r="E434">
        <v>4441848862</v>
      </c>
      <c r="F434">
        <v>3951585166</v>
      </c>
      <c r="G434">
        <v>2900866598</v>
      </c>
      <c r="H434">
        <v>3316739465</v>
      </c>
      <c r="I434">
        <v>2981860303</v>
      </c>
      <c r="J434">
        <v>2883259895</v>
      </c>
      <c r="K434">
        <v>2223108003</v>
      </c>
      <c r="L434">
        <v>2397807838</v>
      </c>
      <c r="M434">
        <v>2563666697</v>
      </c>
      <c r="N434">
        <v>1872204890</v>
      </c>
      <c r="O434">
        <v>1470316139</v>
      </c>
      <c r="P434">
        <v>589</v>
      </c>
      <c r="Q434" t="s">
        <v>1040</v>
      </c>
    </row>
    <row r="435" spans="1:17" x14ac:dyDescent="0.3">
      <c r="A435" t="s">
        <v>75</v>
      </c>
      <c r="B435" t="str">
        <f>"201872"</f>
        <v>201872</v>
      </c>
      <c r="C435" t="s">
        <v>1041</v>
      </c>
      <c r="E435">
        <v>4441624150.882</v>
      </c>
      <c r="F435">
        <v>3866882110.7950001</v>
      </c>
      <c r="G435">
        <v>2893964306.9816999</v>
      </c>
      <c r="H435">
        <v>3095204898.4928999</v>
      </c>
      <c r="I435">
        <v>648587131.12</v>
      </c>
      <c r="J435">
        <v>580864773.33459997</v>
      </c>
      <c r="K435">
        <v>459664931.05790001</v>
      </c>
      <c r="L435">
        <v>489677008.75</v>
      </c>
      <c r="M435">
        <v>530366958.9756</v>
      </c>
      <c r="N435">
        <v>483918184.45020002</v>
      </c>
      <c r="O435">
        <v>486804834.65700001</v>
      </c>
      <c r="P435">
        <v>90</v>
      </c>
      <c r="Q435" t="s">
        <v>1042</v>
      </c>
    </row>
    <row r="436" spans="1:17" x14ac:dyDescent="0.3">
      <c r="A436" t="s">
        <v>75</v>
      </c>
      <c r="B436" t="str">
        <f>"002745"</f>
        <v>002745</v>
      </c>
      <c r="C436" t="s">
        <v>1043</v>
      </c>
      <c r="D436" t="s">
        <v>1044</v>
      </c>
      <c r="E436">
        <v>4413212314</v>
      </c>
      <c r="F436">
        <v>4867878184</v>
      </c>
      <c r="G436">
        <v>4954181504</v>
      </c>
      <c r="H436">
        <v>4692138582</v>
      </c>
      <c r="I436">
        <v>1210289692</v>
      </c>
      <c r="J436">
        <v>1204820216</v>
      </c>
      <c r="K436">
        <v>794150095</v>
      </c>
      <c r="L436">
        <v>558031770</v>
      </c>
      <c r="M436">
        <v>463369072</v>
      </c>
      <c r="P436">
        <v>324</v>
      </c>
      <c r="Q436" t="s">
        <v>1045</v>
      </c>
    </row>
    <row r="437" spans="1:17" x14ac:dyDescent="0.3">
      <c r="A437" t="s">
        <v>75</v>
      </c>
      <c r="B437" t="str">
        <f>"002999"</f>
        <v>002999</v>
      </c>
      <c r="C437" t="s">
        <v>1046</v>
      </c>
      <c r="D437" t="s">
        <v>1047</v>
      </c>
      <c r="E437">
        <v>4411722803</v>
      </c>
      <c r="F437">
        <v>2953754652</v>
      </c>
      <c r="G437">
        <v>2101360310</v>
      </c>
      <c r="P437">
        <v>45</v>
      </c>
      <c r="Q437" t="s">
        <v>1048</v>
      </c>
    </row>
    <row r="438" spans="1:17" x14ac:dyDescent="0.3">
      <c r="A438" t="s">
        <v>75</v>
      </c>
      <c r="B438" t="str">
        <f>"002042"</f>
        <v>002042</v>
      </c>
      <c r="C438" t="s">
        <v>1049</v>
      </c>
      <c r="D438" t="s">
        <v>1050</v>
      </c>
      <c r="E438">
        <v>4376875627</v>
      </c>
      <c r="F438">
        <v>4407996478</v>
      </c>
      <c r="G438">
        <v>2448966166</v>
      </c>
      <c r="H438">
        <v>3883089479</v>
      </c>
      <c r="I438">
        <v>3092439627</v>
      </c>
      <c r="J438">
        <v>2759109187</v>
      </c>
      <c r="K438">
        <v>1690309721</v>
      </c>
      <c r="L438">
        <v>1468611265</v>
      </c>
      <c r="M438">
        <v>1436855944</v>
      </c>
      <c r="N438">
        <v>1444121121</v>
      </c>
      <c r="O438">
        <v>1164922526</v>
      </c>
      <c r="P438">
        <v>196</v>
      </c>
      <c r="Q438" t="s">
        <v>1051</v>
      </c>
    </row>
    <row r="439" spans="1:17" x14ac:dyDescent="0.3">
      <c r="A439" t="s">
        <v>17</v>
      </c>
      <c r="B439" t="str">
        <f>"600085"</f>
        <v>600085</v>
      </c>
      <c r="C439" t="s">
        <v>1052</v>
      </c>
      <c r="D439" t="s">
        <v>321</v>
      </c>
      <c r="E439">
        <v>4367140335</v>
      </c>
      <c r="F439">
        <v>3979075287</v>
      </c>
      <c r="G439">
        <v>3276820618</v>
      </c>
      <c r="H439">
        <v>3351232086</v>
      </c>
      <c r="I439">
        <v>3404658617</v>
      </c>
      <c r="J439">
        <v>3152566803</v>
      </c>
      <c r="K439">
        <v>3030456421</v>
      </c>
      <c r="L439">
        <v>2704680397</v>
      </c>
      <c r="M439">
        <v>2477409136</v>
      </c>
      <c r="N439">
        <v>2367363617</v>
      </c>
      <c r="O439">
        <v>2149987908</v>
      </c>
      <c r="P439">
        <v>2030</v>
      </c>
      <c r="Q439" t="s">
        <v>1053</v>
      </c>
    </row>
    <row r="440" spans="1:17" x14ac:dyDescent="0.3">
      <c r="A440" t="s">
        <v>75</v>
      </c>
      <c r="B440" t="str">
        <f>"300919"</f>
        <v>300919</v>
      </c>
      <c r="C440" t="s">
        <v>1054</v>
      </c>
      <c r="D440" t="s">
        <v>834</v>
      </c>
      <c r="E440">
        <v>4361826316</v>
      </c>
      <c r="F440">
        <v>2262062332</v>
      </c>
      <c r="G440">
        <v>1205541481</v>
      </c>
      <c r="P440">
        <v>175</v>
      </c>
      <c r="Q440" t="s">
        <v>1055</v>
      </c>
    </row>
    <row r="441" spans="1:17" x14ac:dyDescent="0.3">
      <c r="A441" t="s">
        <v>75</v>
      </c>
      <c r="B441" t="str">
        <f>"000902"</f>
        <v>000902</v>
      </c>
      <c r="C441" t="s">
        <v>1056</v>
      </c>
      <c r="D441" t="s">
        <v>1047</v>
      </c>
      <c r="E441">
        <v>4356375793</v>
      </c>
      <c r="F441">
        <v>2364938175</v>
      </c>
      <c r="G441">
        <v>1966511128</v>
      </c>
      <c r="H441">
        <v>2019071604</v>
      </c>
      <c r="I441">
        <v>1500629696</v>
      </c>
      <c r="J441">
        <v>1240960248</v>
      </c>
      <c r="K441">
        <v>1398301816</v>
      </c>
      <c r="L441">
        <v>1893790618</v>
      </c>
      <c r="M441">
        <v>1698389846</v>
      </c>
      <c r="N441">
        <v>388804717</v>
      </c>
      <c r="O441">
        <v>428662647</v>
      </c>
      <c r="P441">
        <v>406</v>
      </c>
      <c r="Q441" t="s">
        <v>1057</v>
      </c>
    </row>
    <row r="442" spans="1:17" x14ac:dyDescent="0.3">
      <c r="A442" t="s">
        <v>17</v>
      </c>
      <c r="B442" t="str">
        <f>"600581"</f>
        <v>600581</v>
      </c>
      <c r="C442" t="s">
        <v>1058</v>
      </c>
      <c r="D442" t="s">
        <v>68</v>
      </c>
      <c r="E442">
        <v>4341206709</v>
      </c>
      <c r="F442">
        <v>3989576347</v>
      </c>
      <c r="G442">
        <v>3484976864</v>
      </c>
      <c r="H442">
        <v>4564557074</v>
      </c>
      <c r="I442">
        <v>2913525988</v>
      </c>
      <c r="J442">
        <v>2494354745</v>
      </c>
      <c r="K442">
        <v>826789743</v>
      </c>
      <c r="L442">
        <v>1389440545</v>
      </c>
      <c r="M442">
        <v>1079949732</v>
      </c>
      <c r="N442">
        <v>3551774959</v>
      </c>
      <c r="O442">
        <v>2948613472</v>
      </c>
      <c r="P442">
        <v>265</v>
      </c>
      <c r="Q442" t="s">
        <v>1059</v>
      </c>
    </row>
    <row r="443" spans="1:17" x14ac:dyDescent="0.3">
      <c r="A443" t="s">
        <v>17</v>
      </c>
      <c r="B443" t="str">
        <f>"600100"</f>
        <v>600100</v>
      </c>
      <c r="C443" t="s">
        <v>1060</v>
      </c>
      <c r="D443" t="s">
        <v>508</v>
      </c>
      <c r="E443">
        <v>4336440030</v>
      </c>
      <c r="F443">
        <v>6205100176</v>
      </c>
      <c r="G443">
        <v>3772751100</v>
      </c>
      <c r="H443">
        <v>4407988253</v>
      </c>
      <c r="I443">
        <v>4831850370</v>
      </c>
      <c r="J443">
        <v>4438191128</v>
      </c>
      <c r="K443">
        <v>5132220893</v>
      </c>
      <c r="L443">
        <v>5204147735</v>
      </c>
      <c r="M443">
        <v>4223655168</v>
      </c>
      <c r="N443">
        <v>4006719002</v>
      </c>
      <c r="O443">
        <v>3966100180</v>
      </c>
      <c r="P443">
        <v>321</v>
      </c>
      <c r="Q443" t="s">
        <v>1061</v>
      </c>
    </row>
    <row r="444" spans="1:17" x14ac:dyDescent="0.3">
      <c r="A444" t="s">
        <v>75</v>
      </c>
      <c r="B444" t="str">
        <f>"002050"</f>
        <v>002050</v>
      </c>
      <c r="C444" t="s">
        <v>1062</v>
      </c>
      <c r="D444" t="s">
        <v>1063</v>
      </c>
      <c r="E444">
        <v>4331284495</v>
      </c>
      <c r="F444">
        <v>3512747666</v>
      </c>
      <c r="G444">
        <v>2896489790</v>
      </c>
      <c r="H444">
        <v>2674130823</v>
      </c>
      <c r="I444">
        <v>2468592198</v>
      </c>
      <c r="J444">
        <v>1820973456</v>
      </c>
      <c r="K444">
        <v>1757723622</v>
      </c>
      <c r="L444">
        <v>1350767435</v>
      </c>
      <c r="M444">
        <v>1638703781</v>
      </c>
      <c r="N444">
        <v>1150609264</v>
      </c>
      <c r="O444">
        <v>997633691</v>
      </c>
      <c r="P444">
        <v>2043</v>
      </c>
      <c r="Q444" t="s">
        <v>1064</v>
      </c>
    </row>
    <row r="445" spans="1:17" x14ac:dyDescent="0.3">
      <c r="A445" t="s">
        <v>17</v>
      </c>
      <c r="B445" t="str">
        <f>"603363"</f>
        <v>603363</v>
      </c>
      <c r="C445" t="s">
        <v>1065</v>
      </c>
      <c r="D445" t="s">
        <v>824</v>
      </c>
      <c r="E445">
        <v>4324718561</v>
      </c>
      <c r="F445">
        <v>3969706643</v>
      </c>
      <c r="G445">
        <v>1793297541</v>
      </c>
      <c r="H445">
        <v>1235536992</v>
      </c>
      <c r="I445">
        <v>1127865688</v>
      </c>
      <c r="J445">
        <v>973380463</v>
      </c>
      <c r="P445">
        <v>310</v>
      </c>
      <c r="Q445" t="s">
        <v>1066</v>
      </c>
    </row>
    <row r="446" spans="1:17" x14ac:dyDescent="0.3">
      <c r="A446" t="s">
        <v>17</v>
      </c>
      <c r="B446" t="str">
        <f>"600577"</f>
        <v>600577</v>
      </c>
      <c r="C446" t="s">
        <v>1067</v>
      </c>
      <c r="D446" t="s">
        <v>562</v>
      </c>
      <c r="E446">
        <v>4322994414</v>
      </c>
      <c r="F446">
        <v>3707251944</v>
      </c>
      <c r="G446">
        <v>2361874536</v>
      </c>
      <c r="H446">
        <v>3149110589</v>
      </c>
      <c r="I446">
        <v>2792003225</v>
      </c>
      <c r="J446">
        <v>2428031100</v>
      </c>
      <c r="K446">
        <v>2269191117</v>
      </c>
      <c r="L446">
        <v>2150638040</v>
      </c>
      <c r="M446">
        <v>2469339879</v>
      </c>
      <c r="N446">
        <v>2470249306</v>
      </c>
      <c r="O446">
        <v>2246736919</v>
      </c>
      <c r="P446">
        <v>247</v>
      </c>
      <c r="Q446" t="s">
        <v>1068</v>
      </c>
    </row>
    <row r="447" spans="1:17" x14ac:dyDescent="0.3">
      <c r="A447" t="s">
        <v>75</v>
      </c>
      <c r="B447" t="str">
        <f>"200505"</f>
        <v>200505</v>
      </c>
      <c r="C447" t="s">
        <v>1069</v>
      </c>
      <c r="E447">
        <v>4307737863.2139997</v>
      </c>
      <c r="F447">
        <v>3225657363.9580002</v>
      </c>
      <c r="G447">
        <v>2056067203.8603001</v>
      </c>
      <c r="H447">
        <v>2330134626.9492002</v>
      </c>
      <c r="I447">
        <v>2720244877.8860002</v>
      </c>
      <c r="J447">
        <v>124955467.5052</v>
      </c>
      <c r="K447">
        <v>326607102.6663</v>
      </c>
      <c r="L447">
        <v>81748887.5</v>
      </c>
      <c r="M447">
        <v>90602737.362399995</v>
      </c>
      <c r="N447">
        <v>72028279.880999997</v>
      </c>
      <c r="O447">
        <v>52468257.123000003</v>
      </c>
      <c r="P447">
        <v>16</v>
      </c>
      <c r="Q447" t="s">
        <v>1070</v>
      </c>
    </row>
    <row r="448" spans="1:17" x14ac:dyDescent="0.3">
      <c r="A448" t="s">
        <v>17</v>
      </c>
      <c r="B448" t="str">
        <f>"603899"</f>
        <v>603899</v>
      </c>
      <c r="C448" t="s">
        <v>1071</v>
      </c>
      <c r="D448" t="s">
        <v>1072</v>
      </c>
      <c r="E448">
        <v>4296474098</v>
      </c>
      <c r="F448">
        <v>4078016625</v>
      </c>
      <c r="G448">
        <v>2145208938</v>
      </c>
      <c r="H448">
        <v>2579502269</v>
      </c>
      <c r="I448">
        <v>1942749038</v>
      </c>
      <c r="J448">
        <v>1510013962</v>
      </c>
      <c r="K448">
        <v>1217907117</v>
      </c>
      <c r="L448">
        <v>1050192686</v>
      </c>
      <c r="M448">
        <v>881185424</v>
      </c>
      <c r="P448">
        <v>25827</v>
      </c>
      <c r="Q448" t="s">
        <v>1073</v>
      </c>
    </row>
    <row r="449" spans="1:17" x14ac:dyDescent="0.3">
      <c r="A449" t="s">
        <v>17</v>
      </c>
      <c r="B449" t="str">
        <f>"600409"</f>
        <v>600409</v>
      </c>
      <c r="C449" t="s">
        <v>1074</v>
      </c>
      <c r="D449" t="s">
        <v>1075</v>
      </c>
      <c r="E449">
        <v>4274182201</v>
      </c>
      <c r="F449">
        <v>3843170816</v>
      </c>
      <c r="G449">
        <v>2679405071</v>
      </c>
      <c r="H449">
        <v>3378381390</v>
      </c>
      <c r="I449">
        <v>2909723248</v>
      </c>
      <c r="J449">
        <v>2646116336</v>
      </c>
      <c r="K449">
        <v>1922025162</v>
      </c>
      <c r="L449">
        <v>1430410727</v>
      </c>
      <c r="M449">
        <v>1503806913</v>
      </c>
      <c r="N449">
        <v>924670991</v>
      </c>
      <c r="O449">
        <v>766728331</v>
      </c>
      <c r="P449">
        <v>733</v>
      </c>
      <c r="Q449" t="s">
        <v>1076</v>
      </c>
    </row>
    <row r="450" spans="1:17" x14ac:dyDescent="0.3">
      <c r="A450" t="s">
        <v>17</v>
      </c>
      <c r="B450" t="str">
        <f>"600310"</f>
        <v>600310</v>
      </c>
      <c r="C450" t="s">
        <v>1077</v>
      </c>
      <c r="D450" t="s">
        <v>457</v>
      </c>
      <c r="E450">
        <v>4264579797</v>
      </c>
      <c r="F450">
        <v>6817026382</v>
      </c>
      <c r="G450">
        <v>4449771110</v>
      </c>
      <c r="H450">
        <v>3833082761</v>
      </c>
      <c r="I450">
        <v>3262228159</v>
      </c>
      <c r="J450">
        <v>2125663997</v>
      </c>
      <c r="K450">
        <v>1113165650</v>
      </c>
      <c r="L450">
        <v>738687235</v>
      </c>
      <c r="M450">
        <v>408321165</v>
      </c>
      <c r="N450">
        <v>731709052</v>
      </c>
      <c r="O450">
        <v>575834491</v>
      </c>
      <c r="P450">
        <v>115</v>
      </c>
      <c r="Q450" t="s">
        <v>1078</v>
      </c>
    </row>
    <row r="451" spans="1:17" x14ac:dyDescent="0.3">
      <c r="A451" t="s">
        <v>75</v>
      </c>
      <c r="B451" t="str">
        <f>"001896"</f>
        <v>001896</v>
      </c>
      <c r="C451" t="s">
        <v>1079</v>
      </c>
      <c r="D451" t="s">
        <v>88</v>
      </c>
      <c r="E451">
        <v>4260764579</v>
      </c>
      <c r="F451">
        <v>2958392997</v>
      </c>
      <c r="G451">
        <v>1878553928</v>
      </c>
      <c r="H451">
        <v>2103630482</v>
      </c>
      <c r="I451">
        <v>2191322353</v>
      </c>
      <c r="J451">
        <v>2112712769</v>
      </c>
      <c r="K451">
        <v>1044830045</v>
      </c>
      <c r="L451">
        <v>732624498</v>
      </c>
      <c r="M451">
        <v>1025650419</v>
      </c>
      <c r="N451">
        <v>931559605</v>
      </c>
      <c r="O451">
        <v>1120596117</v>
      </c>
      <c r="P451">
        <v>202</v>
      </c>
      <c r="Q451" t="s">
        <v>1080</v>
      </c>
    </row>
    <row r="452" spans="1:17" x14ac:dyDescent="0.3">
      <c r="A452" t="s">
        <v>75</v>
      </c>
      <c r="B452" t="str">
        <f>"002541"</f>
        <v>002541</v>
      </c>
      <c r="C452" t="s">
        <v>1081</v>
      </c>
      <c r="D452" t="s">
        <v>1028</v>
      </c>
      <c r="E452">
        <v>4260593814</v>
      </c>
      <c r="F452">
        <v>3624817251</v>
      </c>
      <c r="G452">
        <v>2089059823</v>
      </c>
      <c r="H452">
        <v>1800046008</v>
      </c>
      <c r="I452">
        <v>1647807570</v>
      </c>
      <c r="J452">
        <v>1040058638</v>
      </c>
      <c r="K452">
        <v>905714228</v>
      </c>
      <c r="L452">
        <v>907122447</v>
      </c>
      <c r="M452">
        <v>1054193191</v>
      </c>
      <c r="N452">
        <v>1001802645</v>
      </c>
      <c r="O452">
        <v>753443921</v>
      </c>
      <c r="P452">
        <v>443</v>
      </c>
      <c r="Q452" t="s">
        <v>1082</v>
      </c>
    </row>
    <row r="453" spans="1:17" x14ac:dyDescent="0.3">
      <c r="A453" t="s">
        <v>17</v>
      </c>
      <c r="B453" t="str">
        <f>"600271"</f>
        <v>600271</v>
      </c>
      <c r="C453" t="s">
        <v>1083</v>
      </c>
      <c r="D453" t="s">
        <v>224</v>
      </c>
      <c r="E453">
        <v>4248735525</v>
      </c>
      <c r="F453">
        <v>4123930737</v>
      </c>
      <c r="G453">
        <v>4309037063</v>
      </c>
      <c r="H453">
        <v>5429267563</v>
      </c>
      <c r="I453">
        <v>5909180402</v>
      </c>
      <c r="J453">
        <v>6853422546</v>
      </c>
      <c r="K453">
        <v>4396078907</v>
      </c>
      <c r="L453">
        <v>4003823433</v>
      </c>
      <c r="M453">
        <v>3344989359</v>
      </c>
      <c r="N453">
        <v>2975675537</v>
      </c>
      <c r="O453">
        <v>2859488755</v>
      </c>
      <c r="P453">
        <v>16700</v>
      </c>
      <c r="Q453" t="s">
        <v>1084</v>
      </c>
    </row>
    <row r="454" spans="1:17" x14ac:dyDescent="0.3">
      <c r="A454" t="s">
        <v>17</v>
      </c>
      <c r="B454" t="str">
        <f>"600183"</f>
        <v>600183</v>
      </c>
      <c r="C454" t="s">
        <v>1085</v>
      </c>
      <c r="D454" t="s">
        <v>567</v>
      </c>
      <c r="E454">
        <v>4209501132</v>
      </c>
      <c r="F454">
        <v>3823912715</v>
      </c>
      <c r="G454">
        <v>3072844989</v>
      </c>
      <c r="H454">
        <v>2829075740</v>
      </c>
      <c r="I454">
        <v>2520798943</v>
      </c>
      <c r="J454">
        <v>2209964738</v>
      </c>
      <c r="K454">
        <v>2217152425</v>
      </c>
      <c r="L454">
        <v>1967638549</v>
      </c>
      <c r="M454">
        <v>1820194581</v>
      </c>
      <c r="N454">
        <v>1565871231</v>
      </c>
      <c r="O454">
        <v>1512045937</v>
      </c>
      <c r="P454">
        <v>2338</v>
      </c>
      <c r="Q454" t="s">
        <v>1086</v>
      </c>
    </row>
    <row r="455" spans="1:17" x14ac:dyDescent="0.3">
      <c r="A455" t="s">
        <v>17</v>
      </c>
      <c r="B455" t="str">
        <f>"600565"</f>
        <v>600565</v>
      </c>
      <c r="C455" t="s">
        <v>1087</v>
      </c>
      <c r="D455" t="s">
        <v>65</v>
      </c>
      <c r="E455">
        <v>4207164914</v>
      </c>
      <c r="F455">
        <v>5411774182</v>
      </c>
      <c r="G455">
        <v>4234818441</v>
      </c>
      <c r="H455">
        <v>5356051727</v>
      </c>
      <c r="I455">
        <v>4712490318</v>
      </c>
      <c r="J455">
        <v>3260777710</v>
      </c>
      <c r="K455">
        <v>2771259382</v>
      </c>
      <c r="L455">
        <v>1558539770</v>
      </c>
      <c r="M455">
        <v>783710826</v>
      </c>
      <c r="N455">
        <v>470773037</v>
      </c>
      <c r="O455">
        <v>533984122</v>
      </c>
      <c r="P455">
        <v>468</v>
      </c>
      <c r="Q455" t="s">
        <v>1088</v>
      </c>
    </row>
    <row r="456" spans="1:17" x14ac:dyDescent="0.3">
      <c r="A456" t="s">
        <v>17</v>
      </c>
      <c r="B456" t="str">
        <f>"603939"</f>
        <v>603939</v>
      </c>
      <c r="C456" t="s">
        <v>1089</v>
      </c>
      <c r="D456" t="s">
        <v>936</v>
      </c>
      <c r="E456">
        <v>4200291794</v>
      </c>
      <c r="F456">
        <v>3765985702</v>
      </c>
      <c r="G456">
        <v>3302448421</v>
      </c>
      <c r="H456">
        <v>2648938013</v>
      </c>
      <c r="I456">
        <v>1767499187</v>
      </c>
      <c r="J456">
        <v>1217418469</v>
      </c>
      <c r="K456">
        <v>963828365</v>
      </c>
      <c r="L456">
        <v>741285867</v>
      </c>
      <c r="M456">
        <v>566219856</v>
      </c>
      <c r="P456">
        <v>1482</v>
      </c>
      <c r="Q456" t="s">
        <v>1090</v>
      </c>
    </row>
    <row r="457" spans="1:17" x14ac:dyDescent="0.3">
      <c r="A457" t="s">
        <v>17</v>
      </c>
      <c r="B457" t="str">
        <f>"603876"</f>
        <v>603876</v>
      </c>
      <c r="C457" t="s">
        <v>1091</v>
      </c>
      <c r="D457" t="s">
        <v>96</v>
      </c>
      <c r="E457">
        <v>4193694152</v>
      </c>
      <c r="F457">
        <v>1893665200</v>
      </c>
      <c r="G457">
        <v>1679104078</v>
      </c>
      <c r="H457">
        <v>1379505699</v>
      </c>
      <c r="I457">
        <v>1156735809</v>
      </c>
      <c r="J457">
        <v>1026796783</v>
      </c>
      <c r="P457">
        <v>143</v>
      </c>
      <c r="Q457" t="s">
        <v>1092</v>
      </c>
    </row>
    <row r="458" spans="1:17" x14ac:dyDescent="0.3">
      <c r="A458" t="s">
        <v>17</v>
      </c>
      <c r="B458" t="str">
        <f>"601808"</f>
        <v>601808</v>
      </c>
      <c r="C458" t="s">
        <v>1093</v>
      </c>
      <c r="D458" t="s">
        <v>462</v>
      </c>
      <c r="E458">
        <v>4186108548</v>
      </c>
      <c r="F458">
        <v>5737992079</v>
      </c>
      <c r="G458">
        <v>8129676850</v>
      </c>
      <c r="H458">
        <v>5468709058</v>
      </c>
      <c r="I458">
        <v>3537801738</v>
      </c>
      <c r="J458">
        <v>4558881979</v>
      </c>
      <c r="K458">
        <v>5931212000</v>
      </c>
      <c r="L458">
        <v>7880859823</v>
      </c>
      <c r="M458">
        <v>6645349600</v>
      </c>
      <c r="N458">
        <v>5042131028</v>
      </c>
      <c r="O458">
        <v>5270094560</v>
      </c>
      <c r="P458">
        <v>411</v>
      </c>
      <c r="Q458" t="s">
        <v>1094</v>
      </c>
    </row>
    <row r="459" spans="1:17" x14ac:dyDescent="0.3">
      <c r="A459" t="s">
        <v>75</v>
      </c>
      <c r="B459" t="str">
        <f>"002056"</f>
        <v>002056</v>
      </c>
      <c r="C459" t="s">
        <v>1095</v>
      </c>
      <c r="D459" t="s">
        <v>1096</v>
      </c>
      <c r="E459">
        <v>4184642026</v>
      </c>
      <c r="F459">
        <v>2680663379</v>
      </c>
      <c r="G459">
        <v>1567685067</v>
      </c>
      <c r="H459">
        <v>1658591641</v>
      </c>
      <c r="I459">
        <v>1591185160</v>
      </c>
      <c r="J459">
        <v>1244325897</v>
      </c>
      <c r="K459">
        <v>1285666527</v>
      </c>
      <c r="L459">
        <v>1027617856</v>
      </c>
      <c r="M459">
        <v>946817657</v>
      </c>
      <c r="N459">
        <v>698021621</v>
      </c>
      <c r="O459">
        <v>818420510</v>
      </c>
      <c r="P459">
        <v>783</v>
      </c>
      <c r="Q459" t="s">
        <v>1097</v>
      </c>
    </row>
    <row r="460" spans="1:17" x14ac:dyDescent="0.3">
      <c r="A460" t="s">
        <v>17</v>
      </c>
      <c r="B460" t="str">
        <f>"601689"</f>
        <v>601689</v>
      </c>
      <c r="C460" t="s">
        <v>1098</v>
      </c>
      <c r="D460" t="s">
        <v>172</v>
      </c>
      <c r="E460">
        <v>4178322400</v>
      </c>
      <c r="F460">
        <v>2445577071</v>
      </c>
      <c r="G460">
        <v>1292313465</v>
      </c>
      <c r="H460">
        <v>1395951353</v>
      </c>
      <c r="I460">
        <v>1321437909</v>
      </c>
      <c r="J460">
        <v>762956694</v>
      </c>
      <c r="K460">
        <v>857161885</v>
      </c>
      <c r="L460">
        <v>687761996</v>
      </c>
      <c r="M460">
        <v>528558614</v>
      </c>
      <c r="P460">
        <v>664</v>
      </c>
      <c r="Q460" t="s">
        <v>1099</v>
      </c>
    </row>
    <row r="461" spans="1:17" x14ac:dyDescent="0.3">
      <c r="A461" t="s">
        <v>17</v>
      </c>
      <c r="B461" t="str">
        <f>"603612"</f>
        <v>603612</v>
      </c>
      <c r="C461" t="s">
        <v>1100</v>
      </c>
      <c r="D461" t="s">
        <v>996</v>
      </c>
      <c r="E461">
        <v>4173689095</v>
      </c>
      <c r="F461">
        <v>1552965005</v>
      </c>
      <c r="G461">
        <v>1187651331</v>
      </c>
      <c r="H461">
        <v>583880324</v>
      </c>
      <c r="I461">
        <v>825150758</v>
      </c>
      <c r="J461">
        <v>636481824</v>
      </c>
      <c r="P461">
        <v>162</v>
      </c>
      <c r="Q461" t="s">
        <v>1101</v>
      </c>
    </row>
    <row r="462" spans="1:17" x14ac:dyDescent="0.3">
      <c r="A462" t="s">
        <v>75</v>
      </c>
      <c r="B462" t="str">
        <f>"000009"</f>
        <v>000009</v>
      </c>
      <c r="C462" t="s">
        <v>1102</v>
      </c>
      <c r="D462" t="s">
        <v>834</v>
      </c>
      <c r="E462">
        <v>4172909055</v>
      </c>
      <c r="F462">
        <v>2755272221</v>
      </c>
      <c r="G462">
        <v>1713480516</v>
      </c>
      <c r="H462">
        <v>2723255279</v>
      </c>
      <c r="I462">
        <v>1802654989</v>
      </c>
      <c r="J462">
        <v>1430710380</v>
      </c>
      <c r="K462">
        <v>1348500204</v>
      </c>
      <c r="L462">
        <v>1051996731</v>
      </c>
      <c r="M462">
        <v>929469262</v>
      </c>
      <c r="N462">
        <v>942963272</v>
      </c>
      <c r="O462">
        <v>719487005</v>
      </c>
      <c r="P462">
        <v>468</v>
      </c>
      <c r="Q462" t="s">
        <v>1103</v>
      </c>
    </row>
    <row r="463" spans="1:17" x14ac:dyDescent="0.3">
      <c r="A463" t="s">
        <v>17</v>
      </c>
      <c r="B463" t="str">
        <f>"600491"</f>
        <v>600491</v>
      </c>
      <c r="C463" t="s">
        <v>1104</v>
      </c>
      <c r="D463" t="s">
        <v>24</v>
      </c>
      <c r="E463">
        <v>4158477686</v>
      </c>
      <c r="F463">
        <v>5341554346</v>
      </c>
      <c r="G463">
        <v>4482771177</v>
      </c>
      <c r="H463">
        <v>4157767547</v>
      </c>
      <c r="I463">
        <v>2913092743</v>
      </c>
      <c r="J463">
        <v>4419114090</v>
      </c>
      <c r="K463">
        <v>4154057674</v>
      </c>
      <c r="L463">
        <v>4168147386</v>
      </c>
      <c r="M463">
        <v>3679961285</v>
      </c>
      <c r="N463">
        <v>3518832694</v>
      </c>
      <c r="O463">
        <v>3051720986</v>
      </c>
      <c r="P463">
        <v>116</v>
      </c>
      <c r="Q463" t="s">
        <v>1105</v>
      </c>
    </row>
    <row r="464" spans="1:17" x14ac:dyDescent="0.3">
      <c r="A464" t="s">
        <v>17</v>
      </c>
      <c r="B464" t="str">
        <f>"600008"</f>
        <v>600008</v>
      </c>
      <c r="C464" t="s">
        <v>1106</v>
      </c>
      <c r="D464" t="s">
        <v>1107</v>
      </c>
      <c r="E464">
        <v>4139733633</v>
      </c>
      <c r="F464">
        <v>4369965406</v>
      </c>
      <c r="G464">
        <v>4234557181</v>
      </c>
      <c r="H464">
        <v>3337381763</v>
      </c>
      <c r="I464">
        <v>2354653487</v>
      </c>
      <c r="J464">
        <v>1924375972</v>
      </c>
      <c r="K464">
        <v>1771618223</v>
      </c>
      <c r="L464">
        <v>689864106</v>
      </c>
      <c r="M464">
        <v>580996278</v>
      </c>
      <c r="N464">
        <v>612370320</v>
      </c>
      <c r="O464">
        <v>486428977</v>
      </c>
      <c r="P464">
        <v>445</v>
      </c>
      <c r="Q464" t="s">
        <v>1108</v>
      </c>
    </row>
    <row r="465" spans="1:17" x14ac:dyDescent="0.3">
      <c r="A465" t="s">
        <v>17</v>
      </c>
      <c r="B465" t="str">
        <f>"600595"</f>
        <v>600595</v>
      </c>
      <c r="C465" t="s">
        <v>1109</v>
      </c>
      <c r="D465" t="s">
        <v>96</v>
      </c>
      <c r="E465">
        <v>4131089280</v>
      </c>
      <c r="F465">
        <v>2207142343</v>
      </c>
      <c r="G465">
        <v>1101653692</v>
      </c>
      <c r="H465">
        <v>1696519928</v>
      </c>
      <c r="I465">
        <v>2324939628</v>
      </c>
      <c r="J465">
        <v>2506681536</v>
      </c>
      <c r="K465">
        <v>2970999513</v>
      </c>
      <c r="L465">
        <v>2024686428</v>
      </c>
      <c r="M465">
        <v>2535323643</v>
      </c>
      <c r="N465">
        <v>2493738465</v>
      </c>
      <c r="O465">
        <v>2762634244</v>
      </c>
      <c r="P465">
        <v>68</v>
      </c>
      <c r="Q465" t="s">
        <v>1110</v>
      </c>
    </row>
    <row r="466" spans="1:17" x14ac:dyDescent="0.3">
      <c r="A466" t="s">
        <v>17</v>
      </c>
      <c r="B466" t="str">
        <f>"600596"</f>
        <v>600596</v>
      </c>
      <c r="C466" t="s">
        <v>1111</v>
      </c>
      <c r="D466" t="s">
        <v>1112</v>
      </c>
      <c r="E466">
        <v>4130467382</v>
      </c>
      <c r="F466">
        <v>2323741928</v>
      </c>
      <c r="G466">
        <v>1350387235</v>
      </c>
      <c r="H466">
        <v>1661306702</v>
      </c>
      <c r="I466">
        <v>1606691134</v>
      </c>
      <c r="J466">
        <v>1791005706</v>
      </c>
      <c r="K466">
        <v>1932975957</v>
      </c>
      <c r="L466">
        <v>1986589377</v>
      </c>
      <c r="M466">
        <v>1998016862</v>
      </c>
      <c r="N466">
        <v>1846144211</v>
      </c>
      <c r="O466">
        <v>1480641133</v>
      </c>
      <c r="P466">
        <v>481</v>
      </c>
      <c r="Q466" t="s">
        <v>1113</v>
      </c>
    </row>
    <row r="467" spans="1:17" x14ac:dyDescent="0.3">
      <c r="A467" t="s">
        <v>17</v>
      </c>
      <c r="B467" t="str">
        <f>"600697"</f>
        <v>600697</v>
      </c>
      <c r="C467" t="s">
        <v>1114</v>
      </c>
      <c r="D467" t="s">
        <v>359</v>
      </c>
      <c r="E467">
        <v>4127116872</v>
      </c>
      <c r="F467">
        <v>4373220836</v>
      </c>
      <c r="G467">
        <v>3708597776</v>
      </c>
      <c r="H467">
        <v>4963576213</v>
      </c>
      <c r="I467">
        <v>4450946482</v>
      </c>
      <c r="J467">
        <v>3824563395</v>
      </c>
      <c r="K467">
        <v>3585315768</v>
      </c>
      <c r="L467">
        <v>3125309496</v>
      </c>
      <c r="M467">
        <v>2902409934</v>
      </c>
      <c r="N467">
        <v>2874489291</v>
      </c>
      <c r="O467">
        <v>2170046833</v>
      </c>
      <c r="P467">
        <v>275</v>
      </c>
      <c r="Q467" t="s">
        <v>1115</v>
      </c>
    </row>
    <row r="468" spans="1:17" x14ac:dyDescent="0.3">
      <c r="A468" t="s">
        <v>17</v>
      </c>
      <c r="B468" t="str">
        <f>"600884"</f>
        <v>600884</v>
      </c>
      <c r="C468" t="s">
        <v>1116</v>
      </c>
      <c r="D468" t="s">
        <v>834</v>
      </c>
      <c r="E468">
        <v>4126657929</v>
      </c>
      <c r="F468">
        <v>2066495326</v>
      </c>
      <c r="G468">
        <v>1336495120</v>
      </c>
      <c r="H468">
        <v>1652115910</v>
      </c>
      <c r="I468">
        <v>1882075875</v>
      </c>
      <c r="J468">
        <v>1173060580</v>
      </c>
      <c r="K468">
        <v>966825985</v>
      </c>
      <c r="L468">
        <v>832142116</v>
      </c>
      <c r="M468">
        <v>723009462</v>
      </c>
      <c r="N468">
        <v>830853705</v>
      </c>
      <c r="O468">
        <v>705286579</v>
      </c>
      <c r="P468">
        <v>758</v>
      </c>
      <c r="Q468" t="s">
        <v>1117</v>
      </c>
    </row>
    <row r="469" spans="1:17" x14ac:dyDescent="0.3">
      <c r="A469" t="s">
        <v>75</v>
      </c>
      <c r="B469" t="str">
        <f>"000759"</f>
        <v>000759</v>
      </c>
      <c r="C469" t="s">
        <v>1118</v>
      </c>
      <c r="D469" t="s">
        <v>208</v>
      </c>
      <c r="E469">
        <v>4122996943</v>
      </c>
      <c r="F469">
        <v>4151164176</v>
      </c>
      <c r="G469">
        <v>4886842603</v>
      </c>
      <c r="H469">
        <v>5385887863</v>
      </c>
      <c r="I469">
        <v>5328427159</v>
      </c>
      <c r="J469">
        <v>5182715358</v>
      </c>
      <c r="K469">
        <v>5569346297</v>
      </c>
      <c r="L469">
        <v>5810555070</v>
      </c>
      <c r="M469">
        <v>5915833645</v>
      </c>
      <c r="N469">
        <v>5583506843</v>
      </c>
      <c r="O469">
        <v>5409186216</v>
      </c>
      <c r="P469">
        <v>153</v>
      </c>
      <c r="Q469" t="s">
        <v>1119</v>
      </c>
    </row>
    <row r="470" spans="1:17" x14ac:dyDescent="0.3">
      <c r="A470" t="s">
        <v>17</v>
      </c>
      <c r="B470" t="str">
        <f>"600657"</f>
        <v>600657</v>
      </c>
      <c r="C470" t="s">
        <v>1120</v>
      </c>
      <c r="D470" t="s">
        <v>65</v>
      </c>
      <c r="E470">
        <v>4118810932</v>
      </c>
      <c r="F470">
        <v>4417302948</v>
      </c>
      <c r="G470">
        <v>2320830884</v>
      </c>
      <c r="H470">
        <v>3295774925</v>
      </c>
      <c r="I470">
        <v>3180929928</v>
      </c>
      <c r="J470">
        <v>2675942766</v>
      </c>
      <c r="K470">
        <v>2282790635</v>
      </c>
      <c r="L470">
        <v>1380460965</v>
      </c>
      <c r="M470">
        <v>863293756</v>
      </c>
      <c r="N470">
        <v>901882145</v>
      </c>
      <c r="O470">
        <v>298481004</v>
      </c>
      <c r="P470">
        <v>423</v>
      </c>
      <c r="Q470" t="s">
        <v>1121</v>
      </c>
    </row>
    <row r="471" spans="1:17" x14ac:dyDescent="0.3">
      <c r="A471" t="s">
        <v>17</v>
      </c>
      <c r="B471" t="str">
        <f>"603816"</f>
        <v>603816</v>
      </c>
      <c r="C471" t="s">
        <v>1122</v>
      </c>
      <c r="D471" t="s">
        <v>1123</v>
      </c>
      <c r="E471">
        <v>4108089988</v>
      </c>
      <c r="F471">
        <v>3996578177</v>
      </c>
      <c r="G471">
        <v>2084460359</v>
      </c>
      <c r="H471">
        <v>2672861820</v>
      </c>
      <c r="I471">
        <v>1742346863</v>
      </c>
      <c r="J471">
        <v>1406688207</v>
      </c>
      <c r="K471">
        <v>972331171</v>
      </c>
      <c r="P471">
        <v>1965</v>
      </c>
      <c r="Q471" t="s">
        <v>1124</v>
      </c>
    </row>
    <row r="472" spans="1:17" x14ac:dyDescent="0.3">
      <c r="A472" t="s">
        <v>17</v>
      </c>
      <c r="B472" t="str">
        <f>"600598"</f>
        <v>600598</v>
      </c>
      <c r="C472" t="s">
        <v>1125</v>
      </c>
      <c r="D472" t="s">
        <v>1126</v>
      </c>
      <c r="E472">
        <v>4101213053</v>
      </c>
      <c r="F472">
        <v>3135879212</v>
      </c>
      <c r="G472">
        <v>2685959891</v>
      </c>
      <c r="H472">
        <v>2487655028</v>
      </c>
      <c r="I472">
        <v>2283107730</v>
      </c>
      <c r="J472">
        <v>1796777219</v>
      </c>
      <c r="K472">
        <v>1684946146</v>
      </c>
      <c r="L472">
        <v>1439353284</v>
      </c>
      <c r="M472">
        <v>2859899555</v>
      </c>
      <c r="N472">
        <v>2573187218</v>
      </c>
      <c r="O472">
        <v>6198189592</v>
      </c>
      <c r="P472">
        <v>1086</v>
      </c>
      <c r="Q472" t="s">
        <v>1127</v>
      </c>
    </row>
    <row r="473" spans="1:17" x14ac:dyDescent="0.3">
      <c r="A473" t="s">
        <v>75</v>
      </c>
      <c r="B473" t="str">
        <f>"300015"</f>
        <v>300015</v>
      </c>
      <c r="C473" t="s">
        <v>1128</v>
      </c>
      <c r="D473" t="s">
        <v>1129</v>
      </c>
      <c r="E473">
        <v>4088028239</v>
      </c>
      <c r="F473">
        <v>3413792000</v>
      </c>
      <c r="G473">
        <v>1685143780</v>
      </c>
      <c r="H473">
        <v>2121666351</v>
      </c>
      <c r="I473">
        <v>1597204033</v>
      </c>
      <c r="J473">
        <v>1147046551</v>
      </c>
      <c r="K473">
        <v>875068292</v>
      </c>
      <c r="L473">
        <v>664762795</v>
      </c>
      <c r="M473">
        <v>525832035</v>
      </c>
      <c r="N473">
        <v>417541787</v>
      </c>
      <c r="O473">
        <v>350750732</v>
      </c>
      <c r="P473">
        <v>11096</v>
      </c>
      <c r="Q473" t="s">
        <v>1130</v>
      </c>
    </row>
    <row r="474" spans="1:17" x14ac:dyDescent="0.3">
      <c r="A474" t="s">
        <v>17</v>
      </c>
      <c r="B474" t="str">
        <f>"601298"</f>
        <v>601298</v>
      </c>
      <c r="C474" t="s">
        <v>1131</v>
      </c>
      <c r="D474" t="s">
        <v>383</v>
      </c>
      <c r="E474">
        <v>4082183841</v>
      </c>
      <c r="F474">
        <v>2940054340</v>
      </c>
      <c r="G474">
        <v>2839002492</v>
      </c>
      <c r="H474">
        <v>3039000015</v>
      </c>
      <c r="I474">
        <v>2851347658</v>
      </c>
      <c r="P474">
        <v>431</v>
      </c>
      <c r="Q474" t="s">
        <v>1132</v>
      </c>
    </row>
    <row r="475" spans="1:17" x14ac:dyDescent="0.3">
      <c r="A475" t="s">
        <v>17</v>
      </c>
      <c r="B475" t="str">
        <f>"600708"</f>
        <v>600708</v>
      </c>
      <c r="C475" t="s">
        <v>1133</v>
      </c>
      <c r="D475" t="s">
        <v>65</v>
      </c>
      <c r="E475">
        <v>4050457034</v>
      </c>
      <c r="F475">
        <v>5350892556</v>
      </c>
      <c r="G475">
        <v>2698337823</v>
      </c>
      <c r="H475">
        <v>3411311797</v>
      </c>
      <c r="I475">
        <v>4471696957</v>
      </c>
      <c r="J475">
        <v>4820304064</v>
      </c>
      <c r="K475">
        <v>4470134298</v>
      </c>
      <c r="L475">
        <v>1177359691</v>
      </c>
      <c r="M475">
        <v>791747144</v>
      </c>
      <c r="N475">
        <v>570877056</v>
      </c>
      <c r="O475">
        <v>532990840</v>
      </c>
      <c r="P475">
        <v>677</v>
      </c>
      <c r="Q475" t="s">
        <v>1134</v>
      </c>
    </row>
    <row r="476" spans="1:17" x14ac:dyDescent="0.3">
      <c r="A476" t="s">
        <v>17</v>
      </c>
      <c r="B476" t="str">
        <f>"601886"</f>
        <v>601886</v>
      </c>
      <c r="C476" t="s">
        <v>1135</v>
      </c>
      <c r="D476" t="s">
        <v>707</v>
      </c>
      <c r="E476">
        <v>4046888667</v>
      </c>
      <c r="F476">
        <v>4109485001</v>
      </c>
      <c r="G476">
        <v>3843074704</v>
      </c>
      <c r="H476">
        <v>3784175686</v>
      </c>
      <c r="I476">
        <v>4119318086</v>
      </c>
      <c r="J476">
        <v>3693812009</v>
      </c>
      <c r="K476">
        <v>3342535480</v>
      </c>
      <c r="L476">
        <v>3975093697</v>
      </c>
      <c r="M476">
        <v>3979628266</v>
      </c>
      <c r="N476">
        <v>2363847578</v>
      </c>
      <c r="O476">
        <v>1224139277</v>
      </c>
      <c r="P476">
        <v>177</v>
      </c>
      <c r="Q476" t="s">
        <v>1136</v>
      </c>
    </row>
    <row r="477" spans="1:17" x14ac:dyDescent="0.3">
      <c r="A477" t="s">
        <v>17</v>
      </c>
      <c r="B477" t="str">
        <f>"603486"</f>
        <v>603486</v>
      </c>
      <c r="C477" t="s">
        <v>1137</v>
      </c>
      <c r="D477" t="s">
        <v>1138</v>
      </c>
      <c r="E477">
        <v>4037977030</v>
      </c>
      <c r="F477">
        <v>2527014507</v>
      </c>
      <c r="G477">
        <v>1271046917</v>
      </c>
      <c r="H477">
        <v>1531126638</v>
      </c>
      <c r="I477">
        <v>1458889625</v>
      </c>
      <c r="J477">
        <v>0</v>
      </c>
      <c r="P477">
        <v>833</v>
      </c>
      <c r="Q477" t="s">
        <v>1139</v>
      </c>
    </row>
    <row r="478" spans="1:17" x14ac:dyDescent="0.3">
      <c r="A478" t="s">
        <v>17</v>
      </c>
      <c r="B478" t="str">
        <f>"601216"</f>
        <v>601216</v>
      </c>
      <c r="C478" t="s">
        <v>1140</v>
      </c>
      <c r="D478" t="s">
        <v>311</v>
      </c>
      <c r="E478">
        <v>4034195359</v>
      </c>
      <c r="F478">
        <v>2336170781</v>
      </c>
      <c r="G478">
        <v>2484776445</v>
      </c>
      <c r="H478">
        <v>1235363717</v>
      </c>
      <c r="I478">
        <v>1090851068</v>
      </c>
      <c r="J478">
        <v>593061829</v>
      </c>
      <c r="K478">
        <v>1359221613</v>
      </c>
      <c r="L478">
        <v>567876810</v>
      </c>
      <c r="M478">
        <v>461285181</v>
      </c>
      <c r="N478">
        <v>391517931</v>
      </c>
      <c r="O478">
        <v>429826047</v>
      </c>
      <c r="P478">
        <v>958</v>
      </c>
      <c r="Q478" t="s">
        <v>1141</v>
      </c>
    </row>
    <row r="479" spans="1:17" x14ac:dyDescent="0.3">
      <c r="A479" t="s">
        <v>75</v>
      </c>
      <c r="B479" t="str">
        <f>"000999"</f>
        <v>000999</v>
      </c>
      <c r="C479" t="s">
        <v>1142</v>
      </c>
      <c r="D479" t="s">
        <v>321</v>
      </c>
      <c r="E479">
        <v>4032305629</v>
      </c>
      <c r="F479">
        <v>3837453507</v>
      </c>
      <c r="G479">
        <v>3809207466</v>
      </c>
      <c r="H479">
        <v>3693475221</v>
      </c>
      <c r="I479">
        <v>3373091478</v>
      </c>
      <c r="J479">
        <v>2321501948</v>
      </c>
      <c r="K479">
        <v>2070581258</v>
      </c>
      <c r="L479">
        <v>1793470637</v>
      </c>
      <c r="M479">
        <v>1627958215</v>
      </c>
      <c r="N479">
        <v>1582406819</v>
      </c>
      <c r="O479">
        <v>1291656613</v>
      </c>
      <c r="P479">
        <v>5773</v>
      </c>
      <c r="Q479" t="s">
        <v>1143</v>
      </c>
    </row>
    <row r="480" spans="1:17" x14ac:dyDescent="0.3">
      <c r="A480" t="s">
        <v>75</v>
      </c>
      <c r="B480" t="str">
        <f>"000767"</f>
        <v>000767</v>
      </c>
      <c r="C480" t="s">
        <v>1144</v>
      </c>
      <c r="D480" t="s">
        <v>88</v>
      </c>
      <c r="E480">
        <v>4025719354</v>
      </c>
      <c r="F480">
        <v>3121898677</v>
      </c>
      <c r="G480">
        <v>2403809533</v>
      </c>
      <c r="H480">
        <v>3096398745</v>
      </c>
      <c r="I480">
        <v>2649400604</v>
      </c>
      <c r="J480">
        <v>1874621045</v>
      </c>
      <c r="K480">
        <v>1437979995</v>
      </c>
      <c r="L480">
        <v>2244419688</v>
      </c>
      <c r="M480">
        <v>2304329794</v>
      </c>
      <c r="N480">
        <v>2183303893</v>
      </c>
      <c r="O480">
        <v>1047756504</v>
      </c>
      <c r="P480">
        <v>173</v>
      </c>
      <c r="Q480" t="s">
        <v>1145</v>
      </c>
    </row>
    <row r="481" spans="1:17" x14ac:dyDescent="0.3">
      <c r="A481" t="s">
        <v>17</v>
      </c>
      <c r="B481" t="str">
        <f>"600686"</f>
        <v>600686</v>
      </c>
      <c r="C481" t="s">
        <v>1146</v>
      </c>
      <c r="D481" t="s">
        <v>972</v>
      </c>
      <c r="E481">
        <v>4025323103</v>
      </c>
      <c r="F481">
        <v>4668873806</v>
      </c>
      <c r="G481">
        <v>3881616710</v>
      </c>
      <c r="H481">
        <v>4037970963</v>
      </c>
      <c r="I481">
        <v>3210119735</v>
      </c>
      <c r="J481">
        <v>4694847470</v>
      </c>
      <c r="K481">
        <v>3476893697</v>
      </c>
      <c r="L481">
        <v>3590344587</v>
      </c>
      <c r="M481">
        <v>3145505836</v>
      </c>
      <c r="N481">
        <v>3177541659</v>
      </c>
      <c r="O481">
        <v>3113026137</v>
      </c>
      <c r="P481">
        <v>177</v>
      </c>
      <c r="Q481" t="s">
        <v>1147</v>
      </c>
    </row>
    <row r="482" spans="1:17" x14ac:dyDescent="0.3">
      <c r="A482" t="s">
        <v>17</v>
      </c>
      <c r="B482" t="str">
        <f>"600308"</f>
        <v>600308</v>
      </c>
      <c r="C482" t="s">
        <v>1148</v>
      </c>
      <c r="D482" t="s">
        <v>540</v>
      </c>
      <c r="E482">
        <v>4023739085</v>
      </c>
      <c r="F482">
        <v>3432735293</v>
      </c>
      <c r="G482">
        <v>2974398983</v>
      </c>
      <c r="H482">
        <v>3449490745</v>
      </c>
      <c r="I482">
        <v>4062711391</v>
      </c>
      <c r="J482">
        <v>3402312054</v>
      </c>
      <c r="K482">
        <v>2272990541</v>
      </c>
      <c r="L482">
        <v>2346069127</v>
      </c>
      <c r="M482">
        <v>2542306435</v>
      </c>
      <c r="N482">
        <v>2498738898</v>
      </c>
      <c r="O482">
        <v>2228792220</v>
      </c>
      <c r="P482">
        <v>644</v>
      </c>
      <c r="Q482" t="s">
        <v>1149</v>
      </c>
    </row>
    <row r="483" spans="1:17" x14ac:dyDescent="0.3">
      <c r="A483" t="s">
        <v>75</v>
      </c>
      <c r="B483" t="str">
        <f>"000966"</f>
        <v>000966</v>
      </c>
      <c r="C483" t="s">
        <v>1150</v>
      </c>
      <c r="D483" t="s">
        <v>88</v>
      </c>
      <c r="E483">
        <v>4013967528</v>
      </c>
      <c r="F483">
        <v>2246483526</v>
      </c>
      <c r="G483">
        <v>1504920497</v>
      </c>
      <c r="H483">
        <v>2344969962</v>
      </c>
      <c r="I483">
        <v>1765509683</v>
      </c>
      <c r="J483">
        <v>1941056261</v>
      </c>
      <c r="K483">
        <v>1895192691</v>
      </c>
      <c r="L483">
        <v>1703610971</v>
      </c>
      <c r="M483">
        <v>2046869208</v>
      </c>
      <c r="N483">
        <v>2436380820</v>
      </c>
      <c r="O483">
        <v>2250944370</v>
      </c>
      <c r="P483">
        <v>398</v>
      </c>
      <c r="Q483" t="s">
        <v>1151</v>
      </c>
    </row>
    <row r="484" spans="1:17" x14ac:dyDescent="0.3">
      <c r="A484" t="s">
        <v>17</v>
      </c>
      <c r="B484" t="str">
        <f>"600986"</f>
        <v>600986</v>
      </c>
      <c r="C484" t="s">
        <v>1152</v>
      </c>
      <c r="D484" t="s">
        <v>622</v>
      </c>
      <c r="E484">
        <v>4010428968</v>
      </c>
      <c r="F484">
        <v>2724032133</v>
      </c>
      <c r="G484">
        <v>3420391997</v>
      </c>
      <c r="H484">
        <v>4012963162</v>
      </c>
      <c r="I484">
        <v>2579309871</v>
      </c>
      <c r="J484">
        <v>1409588976</v>
      </c>
      <c r="K484">
        <v>1105499696</v>
      </c>
      <c r="L484">
        <v>443897815</v>
      </c>
      <c r="M484">
        <v>368428824</v>
      </c>
      <c r="N484">
        <v>183747202</v>
      </c>
      <c r="O484">
        <v>199379142</v>
      </c>
      <c r="P484">
        <v>239</v>
      </c>
      <c r="Q484" t="s">
        <v>1153</v>
      </c>
    </row>
    <row r="485" spans="1:17" x14ac:dyDescent="0.3">
      <c r="A485" t="s">
        <v>75</v>
      </c>
      <c r="B485" t="str">
        <f>"002739"</f>
        <v>002739</v>
      </c>
      <c r="C485" t="s">
        <v>1154</v>
      </c>
      <c r="D485" t="s">
        <v>1155</v>
      </c>
      <c r="E485">
        <v>3990059661</v>
      </c>
      <c r="F485">
        <v>4433353333</v>
      </c>
      <c r="G485">
        <v>2014348465</v>
      </c>
      <c r="H485">
        <v>4288046950</v>
      </c>
      <c r="I485">
        <v>4074142967</v>
      </c>
      <c r="J485">
        <v>3704095200</v>
      </c>
      <c r="K485">
        <v>3299911528</v>
      </c>
      <c r="L485">
        <v>1701935890</v>
      </c>
      <c r="M485">
        <v>1275142758</v>
      </c>
      <c r="P485">
        <v>911</v>
      </c>
      <c r="Q485" t="s">
        <v>1156</v>
      </c>
    </row>
    <row r="486" spans="1:17" x14ac:dyDescent="0.3">
      <c r="A486" t="s">
        <v>75</v>
      </c>
      <c r="B486" t="str">
        <f>"002726"</f>
        <v>002726</v>
      </c>
      <c r="C486" t="s">
        <v>1157</v>
      </c>
      <c r="D486" t="s">
        <v>399</v>
      </c>
      <c r="E486">
        <v>3970388119</v>
      </c>
      <c r="F486">
        <v>6296751779</v>
      </c>
      <c r="G486">
        <v>7324788860</v>
      </c>
      <c r="H486">
        <v>3458572894</v>
      </c>
      <c r="I486">
        <v>2073857404</v>
      </c>
      <c r="J486">
        <v>1671367626</v>
      </c>
      <c r="K486">
        <v>1326423618</v>
      </c>
      <c r="L486">
        <v>989281731</v>
      </c>
      <c r="M486">
        <v>868717769</v>
      </c>
      <c r="P486">
        <v>1021</v>
      </c>
      <c r="Q486" t="s">
        <v>1158</v>
      </c>
    </row>
    <row r="487" spans="1:17" x14ac:dyDescent="0.3">
      <c r="A487" t="s">
        <v>17</v>
      </c>
      <c r="B487" t="str">
        <f>"600352"</f>
        <v>600352</v>
      </c>
      <c r="C487" t="s">
        <v>1159</v>
      </c>
      <c r="D487" t="s">
        <v>1160</v>
      </c>
      <c r="E487">
        <v>3948964970</v>
      </c>
      <c r="F487">
        <v>3550572009</v>
      </c>
      <c r="G487">
        <v>4024848678</v>
      </c>
      <c r="H487">
        <v>3992479943</v>
      </c>
      <c r="I487">
        <v>3456597610</v>
      </c>
      <c r="J487">
        <v>4454226442</v>
      </c>
      <c r="K487">
        <v>3527793349</v>
      </c>
      <c r="L487">
        <v>4001401710</v>
      </c>
      <c r="M487">
        <v>4247178323</v>
      </c>
      <c r="N487">
        <v>3677106808</v>
      </c>
      <c r="O487">
        <v>2290751470</v>
      </c>
      <c r="P487">
        <v>1666</v>
      </c>
      <c r="Q487" t="s">
        <v>1161</v>
      </c>
    </row>
    <row r="488" spans="1:17" x14ac:dyDescent="0.3">
      <c r="A488" t="s">
        <v>75</v>
      </c>
      <c r="B488" t="str">
        <f>"000066"</f>
        <v>000066</v>
      </c>
      <c r="C488" t="s">
        <v>1162</v>
      </c>
      <c r="D488" t="s">
        <v>508</v>
      </c>
      <c r="E488">
        <v>3947514510</v>
      </c>
      <c r="F488">
        <v>4252719016</v>
      </c>
      <c r="G488">
        <v>1870203323</v>
      </c>
      <c r="H488">
        <v>2224342573</v>
      </c>
      <c r="I488">
        <v>2222141045</v>
      </c>
      <c r="J488">
        <v>2090669711</v>
      </c>
      <c r="K488">
        <v>17251835090</v>
      </c>
      <c r="L488">
        <v>18029123785</v>
      </c>
      <c r="M488">
        <v>17871045773</v>
      </c>
      <c r="N488">
        <v>17953592305</v>
      </c>
      <c r="O488">
        <v>16399785512</v>
      </c>
      <c r="P488">
        <v>712</v>
      </c>
      <c r="Q488" t="s">
        <v>1163</v>
      </c>
    </row>
    <row r="489" spans="1:17" x14ac:dyDescent="0.3">
      <c r="A489" t="s">
        <v>75</v>
      </c>
      <c r="B489" t="str">
        <f>"002555"</f>
        <v>002555</v>
      </c>
      <c r="C489" t="s">
        <v>1164</v>
      </c>
      <c r="D489" t="s">
        <v>1165</v>
      </c>
      <c r="E489">
        <v>3915490768</v>
      </c>
      <c r="F489">
        <v>3545268550</v>
      </c>
      <c r="G489">
        <v>4330824504</v>
      </c>
      <c r="H489">
        <v>3088865575</v>
      </c>
      <c r="I489">
        <v>1701014698</v>
      </c>
      <c r="J489">
        <v>1748182974</v>
      </c>
      <c r="K489">
        <v>1212773882</v>
      </c>
      <c r="L489">
        <v>992537623</v>
      </c>
      <c r="M489">
        <v>87603522</v>
      </c>
      <c r="N489">
        <v>77700604</v>
      </c>
      <c r="O489">
        <v>53135576</v>
      </c>
      <c r="P489">
        <v>2918</v>
      </c>
      <c r="Q489" t="s">
        <v>1166</v>
      </c>
    </row>
    <row r="490" spans="1:17" x14ac:dyDescent="0.3">
      <c r="A490" t="s">
        <v>75</v>
      </c>
      <c r="B490" t="str">
        <f>"000521"</f>
        <v>000521</v>
      </c>
      <c r="C490" t="s">
        <v>1167</v>
      </c>
      <c r="D490" t="s">
        <v>110</v>
      </c>
      <c r="E490">
        <v>3914069916</v>
      </c>
      <c r="F490">
        <v>3373434107</v>
      </c>
      <c r="G490">
        <v>2514448245</v>
      </c>
      <c r="H490">
        <v>3904690858</v>
      </c>
      <c r="I490">
        <v>3116283649</v>
      </c>
      <c r="J490">
        <v>3620133972</v>
      </c>
      <c r="K490">
        <v>2763169372</v>
      </c>
      <c r="L490">
        <v>1817683475</v>
      </c>
      <c r="M490">
        <v>1607319295</v>
      </c>
      <c r="N490">
        <v>1570128786</v>
      </c>
      <c r="O490">
        <v>1390920733</v>
      </c>
      <c r="P490">
        <v>181</v>
      </c>
      <c r="Q490" t="s">
        <v>1168</v>
      </c>
    </row>
    <row r="491" spans="1:17" x14ac:dyDescent="0.3">
      <c r="A491" t="s">
        <v>17</v>
      </c>
      <c r="B491" t="str">
        <f>"600075"</f>
        <v>600075</v>
      </c>
      <c r="C491" t="s">
        <v>1169</v>
      </c>
      <c r="D491" t="s">
        <v>311</v>
      </c>
      <c r="E491">
        <v>3911412251</v>
      </c>
      <c r="F491">
        <v>2552593292</v>
      </c>
      <c r="G491">
        <v>1011109106</v>
      </c>
      <c r="H491">
        <v>1164842416</v>
      </c>
      <c r="I491">
        <v>1325742799</v>
      </c>
      <c r="J491">
        <v>1169279329</v>
      </c>
      <c r="K491">
        <v>482541036</v>
      </c>
      <c r="L491">
        <v>685805027</v>
      </c>
      <c r="M491">
        <v>897907604</v>
      </c>
      <c r="N491">
        <v>1256474792</v>
      </c>
      <c r="O491">
        <v>1019583507</v>
      </c>
      <c r="P491">
        <v>194</v>
      </c>
      <c r="Q491" t="s">
        <v>1170</v>
      </c>
    </row>
    <row r="492" spans="1:17" x14ac:dyDescent="0.3">
      <c r="A492" t="s">
        <v>17</v>
      </c>
      <c r="B492" t="str">
        <f>"601718"</f>
        <v>601718</v>
      </c>
      <c r="C492" t="s">
        <v>1171</v>
      </c>
      <c r="D492" t="s">
        <v>814</v>
      </c>
      <c r="E492">
        <v>3906602445</v>
      </c>
      <c r="F492">
        <v>4712585825</v>
      </c>
      <c r="G492">
        <v>2843069780</v>
      </c>
      <c r="H492">
        <v>4261779581</v>
      </c>
      <c r="I492">
        <v>5313596480</v>
      </c>
      <c r="J492">
        <v>5707793995</v>
      </c>
      <c r="K492">
        <v>4820597004</v>
      </c>
      <c r="L492">
        <v>4589599549</v>
      </c>
      <c r="M492">
        <v>6354493266</v>
      </c>
      <c r="N492">
        <v>6727385440</v>
      </c>
      <c r="O492">
        <v>5321209372</v>
      </c>
      <c r="P492">
        <v>180</v>
      </c>
      <c r="Q492" t="s">
        <v>1172</v>
      </c>
    </row>
    <row r="493" spans="1:17" x14ac:dyDescent="0.3">
      <c r="A493" t="s">
        <v>75</v>
      </c>
      <c r="B493" t="str">
        <f>"002470"</f>
        <v>002470</v>
      </c>
      <c r="C493" t="s">
        <v>1173</v>
      </c>
      <c r="D493" t="s">
        <v>1047</v>
      </c>
      <c r="E493">
        <v>3901159569</v>
      </c>
      <c r="F493">
        <v>2612574244</v>
      </c>
      <c r="G493">
        <v>2830197402</v>
      </c>
      <c r="H493">
        <v>4150074564</v>
      </c>
      <c r="I493">
        <v>6740474494</v>
      </c>
      <c r="J493">
        <v>5511642888</v>
      </c>
      <c r="K493">
        <v>5292440208</v>
      </c>
      <c r="L493">
        <v>4297407778</v>
      </c>
      <c r="M493">
        <v>2450897362</v>
      </c>
      <c r="N493">
        <v>2910397976</v>
      </c>
      <c r="O493">
        <v>2434438434</v>
      </c>
      <c r="P493">
        <v>4918</v>
      </c>
      <c r="Q493" t="s">
        <v>1174</v>
      </c>
    </row>
    <row r="494" spans="1:17" x14ac:dyDescent="0.3">
      <c r="A494" t="s">
        <v>75</v>
      </c>
      <c r="B494" t="str">
        <f>"002831"</f>
        <v>002831</v>
      </c>
      <c r="C494" t="s">
        <v>1175</v>
      </c>
      <c r="D494" t="s">
        <v>1176</v>
      </c>
      <c r="E494">
        <v>3862958966</v>
      </c>
      <c r="F494">
        <v>3548649229</v>
      </c>
      <c r="G494">
        <v>2807459211</v>
      </c>
      <c r="H494">
        <v>2941145237</v>
      </c>
      <c r="I494">
        <v>1993699736</v>
      </c>
      <c r="J494">
        <v>1972910942</v>
      </c>
      <c r="K494">
        <v>1297663680</v>
      </c>
      <c r="P494">
        <v>663</v>
      </c>
      <c r="Q494" t="s">
        <v>1177</v>
      </c>
    </row>
    <row r="495" spans="1:17" x14ac:dyDescent="0.3">
      <c r="A495" t="s">
        <v>75</v>
      </c>
      <c r="B495" t="str">
        <f>"002228"</f>
        <v>002228</v>
      </c>
      <c r="C495" t="s">
        <v>1178</v>
      </c>
      <c r="D495" t="s">
        <v>1176</v>
      </c>
      <c r="E495">
        <v>3858264351</v>
      </c>
      <c r="F495">
        <v>3538479593</v>
      </c>
      <c r="G495">
        <v>2043536542</v>
      </c>
      <c r="H495">
        <v>2433356723</v>
      </c>
      <c r="I495">
        <v>1295154736</v>
      </c>
      <c r="J495">
        <v>762518231</v>
      </c>
      <c r="K495">
        <v>493534217</v>
      </c>
      <c r="L495">
        <v>430257637</v>
      </c>
      <c r="M495">
        <v>411291536</v>
      </c>
      <c r="N495">
        <v>414435285</v>
      </c>
      <c r="O495">
        <v>325128360</v>
      </c>
      <c r="P495">
        <v>290</v>
      </c>
      <c r="Q495" t="s">
        <v>1179</v>
      </c>
    </row>
    <row r="496" spans="1:17" x14ac:dyDescent="0.3">
      <c r="A496" t="s">
        <v>75</v>
      </c>
      <c r="B496" t="str">
        <f>"002156"</f>
        <v>002156</v>
      </c>
      <c r="C496" t="s">
        <v>1180</v>
      </c>
      <c r="D496" t="s">
        <v>613</v>
      </c>
      <c r="E496">
        <v>3847940661</v>
      </c>
      <c r="F496">
        <v>2067438746</v>
      </c>
      <c r="G496">
        <v>2201759900</v>
      </c>
      <c r="H496">
        <v>1595701347</v>
      </c>
      <c r="I496">
        <v>1519814258</v>
      </c>
      <c r="J496">
        <v>1386591233</v>
      </c>
      <c r="K496">
        <v>521115108</v>
      </c>
      <c r="L496">
        <v>478343354</v>
      </c>
      <c r="M496">
        <v>375677790</v>
      </c>
      <c r="N496">
        <v>342548973</v>
      </c>
      <c r="O496">
        <v>279169570</v>
      </c>
      <c r="P496">
        <v>770</v>
      </c>
      <c r="Q496" t="s">
        <v>1181</v>
      </c>
    </row>
    <row r="497" spans="1:17" x14ac:dyDescent="0.3">
      <c r="A497" t="s">
        <v>17</v>
      </c>
      <c r="B497" t="str">
        <f>"600739"</f>
        <v>600739</v>
      </c>
      <c r="C497" t="s">
        <v>1182</v>
      </c>
      <c r="D497" t="s">
        <v>928</v>
      </c>
      <c r="E497">
        <v>3845759150</v>
      </c>
      <c r="F497">
        <v>3113450352</v>
      </c>
      <c r="G497">
        <v>3023105144</v>
      </c>
      <c r="H497">
        <v>3283741824</v>
      </c>
      <c r="I497">
        <v>3821563398</v>
      </c>
      <c r="J497">
        <v>3157711803</v>
      </c>
      <c r="K497">
        <v>1678152531</v>
      </c>
      <c r="L497">
        <v>1380513963</v>
      </c>
      <c r="M497">
        <v>2360597473</v>
      </c>
      <c r="N497">
        <v>1986092416</v>
      </c>
      <c r="O497">
        <v>1896508301</v>
      </c>
      <c r="P497">
        <v>338</v>
      </c>
      <c r="Q497" t="s">
        <v>1183</v>
      </c>
    </row>
    <row r="498" spans="1:17" x14ac:dyDescent="0.3">
      <c r="A498" t="s">
        <v>75</v>
      </c>
      <c r="B498" t="str">
        <f>"002400"</f>
        <v>002400</v>
      </c>
      <c r="C498" t="s">
        <v>1184</v>
      </c>
      <c r="D498" t="s">
        <v>622</v>
      </c>
      <c r="E498">
        <v>3836833607</v>
      </c>
      <c r="F498">
        <v>3998075302</v>
      </c>
      <c r="G498">
        <v>2231023435</v>
      </c>
      <c r="H498">
        <v>2396014238</v>
      </c>
      <c r="I498">
        <v>2663976402</v>
      </c>
      <c r="J498">
        <v>1880283717</v>
      </c>
      <c r="K498">
        <v>2315398208</v>
      </c>
      <c r="L498">
        <v>2149566936</v>
      </c>
      <c r="M498">
        <v>1338439417</v>
      </c>
      <c r="N498">
        <v>1183632567</v>
      </c>
      <c r="O498">
        <v>712746071</v>
      </c>
      <c r="P498">
        <v>328</v>
      </c>
      <c r="Q498" t="s">
        <v>1185</v>
      </c>
    </row>
    <row r="499" spans="1:17" x14ac:dyDescent="0.3">
      <c r="A499" t="s">
        <v>75</v>
      </c>
      <c r="B499" t="str">
        <f>"002266"</f>
        <v>002266</v>
      </c>
      <c r="C499" t="s">
        <v>1186</v>
      </c>
      <c r="D499" t="s">
        <v>1187</v>
      </c>
      <c r="E499">
        <v>3831682999</v>
      </c>
      <c r="F499">
        <v>3322607140</v>
      </c>
      <c r="G499">
        <v>165661638</v>
      </c>
      <c r="H499">
        <v>277955045</v>
      </c>
      <c r="I499">
        <v>139092369</v>
      </c>
      <c r="J499">
        <v>347756717</v>
      </c>
      <c r="K499">
        <v>178118657</v>
      </c>
      <c r="L499">
        <v>295033543</v>
      </c>
      <c r="M499">
        <v>140316321</v>
      </c>
      <c r="N499">
        <v>145170933</v>
      </c>
      <c r="O499">
        <v>245197642</v>
      </c>
      <c r="P499">
        <v>297</v>
      </c>
      <c r="Q499" t="s">
        <v>1188</v>
      </c>
    </row>
    <row r="500" spans="1:17" x14ac:dyDescent="0.3">
      <c r="A500" t="s">
        <v>17</v>
      </c>
      <c r="B500" t="str">
        <f>"605599"</f>
        <v>605599</v>
      </c>
      <c r="C500" t="s">
        <v>1189</v>
      </c>
      <c r="D500" t="s">
        <v>314</v>
      </c>
      <c r="E500">
        <v>3819025227</v>
      </c>
      <c r="P500">
        <v>21</v>
      </c>
      <c r="Q500" t="s">
        <v>1190</v>
      </c>
    </row>
    <row r="501" spans="1:17" x14ac:dyDescent="0.3">
      <c r="A501" t="s">
        <v>17</v>
      </c>
      <c r="B501" t="str">
        <f>"603195"</f>
        <v>603195</v>
      </c>
      <c r="C501" t="s">
        <v>1191</v>
      </c>
      <c r="D501" t="s">
        <v>1192</v>
      </c>
      <c r="E501">
        <v>3812810205</v>
      </c>
      <c r="F501">
        <v>3106510189</v>
      </c>
      <c r="G501">
        <v>1870952229</v>
      </c>
      <c r="H501">
        <v>3307619140</v>
      </c>
      <c r="P501">
        <v>1473</v>
      </c>
      <c r="Q501" t="s">
        <v>1193</v>
      </c>
    </row>
    <row r="502" spans="1:17" x14ac:dyDescent="0.3">
      <c r="A502" t="s">
        <v>17</v>
      </c>
      <c r="B502" t="str">
        <f>"600662"</f>
        <v>600662</v>
      </c>
      <c r="C502" t="s">
        <v>1194</v>
      </c>
      <c r="D502" t="s">
        <v>1195</v>
      </c>
      <c r="E502">
        <v>3803021660</v>
      </c>
      <c r="F502">
        <v>662631072</v>
      </c>
      <c r="G502">
        <v>668346750</v>
      </c>
      <c r="H502">
        <v>994110692</v>
      </c>
      <c r="I502">
        <v>1022702338</v>
      </c>
      <c r="J502">
        <v>928338282</v>
      </c>
      <c r="K502">
        <v>1324132758</v>
      </c>
      <c r="L502">
        <v>1069056421</v>
      </c>
      <c r="M502">
        <v>1060186418</v>
      </c>
      <c r="N502">
        <v>1048043078</v>
      </c>
      <c r="O502">
        <v>869552486</v>
      </c>
      <c r="P502">
        <v>130</v>
      </c>
      <c r="Q502" t="s">
        <v>1196</v>
      </c>
    </row>
    <row r="503" spans="1:17" x14ac:dyDescent="0.3">
      <c r="A503" t="s">
        <v>17</v>
      </c>
      <c r="B503" t="str">
        <f>"600132"</f>
        <v>600132</v>
      </c>
      <c r="C503" t="s">
        <v>1197</v>
      </c>
      <c r="D503" t="s">
        <v>671</v>
      </c>
      <c r="E503">
        <v>3798467663</v>
      </c>
      <c r="F503">
        <v>3536401621</v>
      </c>
      <c r="G503">
        <v>624391844</v>
      </c>
      <c r="H503">
        <v>882355485</v>
      </c>
      <c r="I503">
        <v>810812813</v>
      </c>
      <c r="J503">
        <v>832879965</v>
      </c>
      <c r="K503">
        <v>840471915</v>
      </c>
      <c r="L503">
        <v>799790004</v>
      </c>
      <c r="M503">
        <v>720667908</v>
      </c>
      <c r="N503">
        <v>754688637</v>
      </c>
      <c r="O503">
        <v>627838221</v>
      </c>
      <c r="P503">
        <v>2098</v>
      </c>
      <c r="Q503" t="s">
        <v>1198</v>
      </c>
    </row>
    <row r="504" spans="1:17" x14ac:dyDescent="0.3">
      <c r="A504" t="s">
        <v>75</v>
      </c>
      <c r="B504" t="str">
        <f>"002299"</f>
        <v>002299</v>
      </c>
      <c r="C504" t="s">
        <v>1199</v>
      </c>
      <c r="D504" t="s">
        <v>1200</v>
      </c>
      <c r="E504">
        <v>3780730984</v>
      </c>
      <c r="F504">
        <v>3270624635</v>
      </c>
      <c r="G504">
        <v>3234166682</v>
      </c>
      <c r="H504">
        <v>3143606216</v>
      </c>
      <c r="I504">
        <v>2280921977</v>
      </c>
      <c r="J504">
        <v>1888303183</v>
      </c>
      <c r="K504">
        <v>1747074609</v>
      </c>
      <c r="L504">
        <v>1352831725</v>
      </c>
      <c r="M504">
        <v>1297026250</v>
      </c>
      <c r="N504">
        <v>934925274</v>
      </c>
      <c r="O504">
        <v>990686131</v>
      </c>
      <c r="P504">
        <v>1371</v>
      </c>
      <c r="Q504" t="s">
        <v>1201</v>
      </c>
    </row>
    <row r="505" spans="1:17" x14ac:dyDescent="0.3">
      <c r="A505" t="s">
        <v>17</v>
      </c>
      <c r="B505" t="str">
        <f>"603368"</f>
        <v>603368</v>
      </c>
      <c r="C505" t="s">
        <v>1202</v>
      </c>
      <c r="D505" t="s">
        <v>123</v>
      </c>
      <c r="E505">
        <v>3780131796</v>
      </c>
      <c r="F505">
        <v>2798460579</v>
      </c>
      <c r="G505">
        <v>3059815503</v>
      </c>
      <c r="H505">
        <v>2753451562</v>
      </c>
      <c r="I505">
        <v>1750090776</v>
      </c>
      <c r="J505">
        <v>1602261019</v>
      </c>
      <c r="K505">
        <v>1109898016</v>
      </c>
      <c r="L505">
        <v>1065228339</v>
      </c>
      <c r="M505">
        <v>908792597</v>
      </c>
      <c r="P505">
        <v>532</v>
      </c>
      <c r="Q505" t="s">
        <v>1203</v>
      </c>
    </row>
    <row r="506" spans="1:17" x14ac:dyDescent="0.3">
      <c r="A506" t="s">
        <v>17</v>
      </c>
      <c r="B506" t="str">
        <f>"605222"</f>
        <v>605222</v>
      </c>
      <c r="C506" t="s">
        <v>1204</v>
      </c>
      <c r="D506" t="s">
        <v>562</v>
      </c>
      <c r="E506">
        <v>3771964158</v>
      </c>
      <c r="F506">
        <v>2550381665</v>
      </c>
      <c r="G506">
        <v>932969328</v>
      </c>
      <c r="H506">
        <v>1204463931</v>
      </c>
      <c r="P506">
        <v>110</v>
      </c>
      <c r="Q506" t="s">
        <v>1205</v>
      </c>
    </row>
    <row r="507" spans="1:17" x14ac:dyDescent="0.3">
      <c r="A507" t="s">
        <v>17</v>
      </c>
      <c r="B507" t="str">
        <f>"601816"</f>
        <v>601816</v>
      </c>
      <c r="C507" t="s">
        <v>1206</v>
      </c>
      <c r="D507" t="s">
        <v>486</v>
      </c>
      <c r="E507">
        <v>3763679498</v>
      </c>
      <c r="F507">
        <v>4700379164</v>
      </c>
      <c r="G507">
        <v>5459064193</v>
      </c>
      <c r="H507">
        <v>6849308924</v>
      </c>
      <c r="P507">
        <v>977</v>
      </c>
      <c r="Q507" t="s">
        <v>1207</v>
      </c>
    </row>
    <row r="508" spans="1:17" x14ac:dyDescent="0.3">
      <c r="A508" t="s">
        <v>17</v>
      </c>
      <c r="B508" t="str">
        <f>"603825"</f>
        <v>603825</v>
      </c>
      <c r="C508" t="s">
        <v>1208</v>
      </c>
      <c r="D508" t="s">
        <v>622</v>
      </c>
      <c r="E508">
        <v>3763199497</v>
      </c>
      <c r="F508">
        <v>3312993266</v>
      </c>
      <c r="G508">
        <v>2321739411</v>
      </c>
      <c r="H508">
        <v>2001874935</v>
      </c>
      <c r="I508">
        <v>1964646249</v>
      </c>
      <c r="J508">
        <v>1734548920</v>
      </c>
      <c r="K508">
        <v>0</v>
      </c>
      <c r="P508">
        <v>158</v>
      </c>
      <c r="Q508" t="s">
        <v>1209</v>
      </c>
    </row>
    <row r="509" spans="1:17" x14ac:dyDescent="0.3">
      <c r="A509" t="s">
        <v>75</v>
      </c>
      <c r="B509" t="str">
        <f>"000560"</f>
        <v>000560</v>
      </c>
      <c r="C509" t="s">
        <v>1210</v>
      </c>
      <c r="D509" t="s">
        <v>1211</v>
      </c>
      <c r="E509">
        <v>3751846445</v>
      </c>
      <c r="F509">
        <v>3063408014</v>
      </c>
      <c r="G509">
        <v>1217295022</v>
      </c>
      <c r="H509">
        <v>2435651446</v>
      </c>
      <c r="I509">
        <v>2448581760</v>
      </c>
      <c r="J509">
        <v>352043339</v>
      </c>
      <c r="K509">
        <v>400837468</v>
      </c>
      <c r="L509">
        <v>472386403</v>
      </c>
      <c r="M509">
        <v>498126021</v>
      </c>
      <c r="N509">
        <v>535531765</v>
      </c>
      <c r="O509">
        <v>466535846</v>
      </c>
      <c r="P509">
        <v>206</v>
      </c>
      <c r="Q509" t="s">
        <v>1212</v>
      </c>
    </row>
    <row r="510" spans="1:17" x14ac:dyDescent="0.3">
      <c r="A510" t="s">
        <v>17</v>
      </c>
      <c r="B510" t="str">
        <f>"601966"</f>
        <v>601966</v>
      </c>
      <c r="C510" t="s">
        <v>1213</v>
      </c>
      <c r="D510" t="s">
        <v>904</v>
      </c>
      <c r="E510">
        <v>3733978225</v>
      </c>
      <c r="F510">
        <v>3889299546</v>
      </c>
      <c r="G510">
        <v>3622628317</v>
      </c>
      <c r="H510">
        <v>3554815130</v>
      </c>
      <c r="I510">
        <v>2634321828</v>
      </c>
      <c r="J510">
        <v>2730520303</v>
      </c>
      <c r="K510">
        <v>1883411081</v>
      </c>
      <c r="L510">
        <v>0</v>
      </c>
      <c r="P510">
        <v>927</v>
      </c>
      <c r="Q510" t="s">
        <v>1214</v>
      </c>
    </row>
    <row r="511" spans="1:17" x14ac:dyDescent="0.3">
      <c r="A511" t="s">
        <v>75</v>
      </c>
      <c r="B511" t="str">
        <f>"300115"</f>
        <v>300115</v>
      </c>
      <c r="C511" t="s">
        <v>1215</v>
      </c>
      <c r="D511" t="s">
        <v>55</v>
      </c>
      <c r="E511">
        <v>3727005680</v>
      </c>
      <c r="F511">
        <v>2784801382</v>
      </c>
      <c r="G511">
        <v>2715415779</v>
      </c>
      <c r="H511">
        <v>2022320761</v>
      </c>
      <c r="I511">
        <v>2168447183</v>
      </c>
      <c r="J511">
        <v>2474036806</v>
      </c>
      <c r="K511">
        <v>1316893689</v>
      </c>
      <c r="L511">
        <v>829408760</v>
      </c>
      <c r="M511">
        <v>459765351</v>
      </c>
      <c r="N511">
        <v>428712147</v>
      </c>
      <c r="O511">
        <v>243465241</v>
      </c>
      <c r="P511">
        <v>870</v>
      </c>
      <c r="Q511" t="s">
        <v>1216</v>
      </c>
    </row>
    <row r="512" spans="1:17" x14ac:dyDescent="0.3">
      <c r="A512" t="s">
        <v>75</v>
      </c>
      <c r="B512" t="str">
        <f>"002539"</f>
        <v>002539</v>
      </c>
      <c r="C512" t="s">
        <v>1217</v>
      </c>
      <c r="D512" t="s">
        <v>1047</v>
      </c>
      <c r="E512">
        <v>3718457741</v>
      </c>
      <c r="F512">
        <v>1796471367</v>
      </c>
      <c r="G512">
        <v>1348369628</v>
      </c>
      <c r="H512">
        <v>1202371972</v>
      </c>
      <c r="I512">
        <v>754943010</v>
      </c>
      <c r="J512">
        <v>1070964569</v>
      </c>
      <c r="K512">
        <v>1136345901</v>
      </c>
      <c r="L512">
        <v>999088852</v>
      </c>
      <c r="M512">
        <v>576325661</v>
      </c>
      <c r="N512">
        <v>692102354</v>
      </c>
      <c r="O512">
        <v>743813913</v>
      </c>
      <c r="P512">
        <v>240</v>
      </c>
      <c r="Q512" t="s">
        <v>1218</v>
      </c>
    </row>
    <row r="513" spans="1:17" x14ac:dyDescent="0.3">
      <c r="A513" t="s">
        <v>75</v>
      </c>
      <c r="B513" t="str">
        <f>"002563"</f>
        <v>002563</v>
      </c>
      <c r="C513" t="s">
        <v>1219</v>
      </c>
      <c r="D513" t="s">
        <v>814</v>
      </c>
      <c r="E513">
        <v>3709817318</v>
      </c>
      <c r="F513">
        <v>3792607121</v>
      </c>
      <c r="G513">
        <v>4044400558</v>
      </c>
      <c r="H513">
        <v>5315752779</v>
      </c>
      <c r="I513">
        <v>4076102663</v>
      </c>
      <c r="J513">
        <v>2943398146</v>
      </c>
      <c r="K513">
        <v>2801940489</v>
      </c>
      <c r="L513">
        <v>2600145200</v>
      </c>
      <c r="M513">
        <v>1996452100</v>
      </c>
      <c r="N513">
        <v>2094704641</v>
      </c>
      <c r="O513">
        <v>1858158069</v>
      </c>
      <c r="P513">
        <v>904</v>
      </c>
      <c r="Q513" t="s">
        <v>1220</v>
      </c>
    </row>
    <row r="514" spans="1:17" x14ac:dyDescent="0.3">
      <c r="A514" t="s">
        <v>17</v>
      </c>
      <c r="B514" t="str">
        <f>"601001"</f>
        <v>601001</v>
      </c>
      <c r="C514" t="s">
        <v>1221</v>
      </c>
      <c r="D514" t="s">
        <v>71</v>
      </c>
      <c r="E514">
        <v>3700114787</v>
      </c>
      <c r="F514">
        <v>4502141678</v>
      </c>
      <c r="G514">
        <v>3076970877</v>
      </c>
      <c r="H514">
        <v>3007270203</v>
      </c>
      <c r="I514">
        <v>3159664121</v>
      </c>
      <c r="J514">
        <v>3361853845</v>
      </c>
      <c r="K514">
        <v>1213305083</v>
      </c>
      <c r="L514">
        <v>1345429897</v>
      </c>
      <c r="M514">
        <v>1945679160</v>
      </c>
      <c r="N514">
        <v>10111700483</v>
      </c>
      <c r="O514">
        <v>3204239643</v>
      </c>
      <c r="P514">
        <v>289</v>
      </c>
      <c r="Q514" t="s">
        <v>1222</v>
      </c>
    </row>
    <row r="515" spans="1:17" x14ac:dyDescent="0.3">
      <c r="A515" t="s">
        <v>75</v>
      </c>
      <c r="B515" t="str">
        <f>"000021"</f>
        <v>000021</v>
      </c>
      <c r="C515" t="s">
        <v>1223</v>
      </c>
      <c r="D515" t="s">
        <v>55</v>
      </c>
      <c r="E515">
        <v>3699852844</v>
      </c>
      <c r="F515">
        <v>3433157717</v>
      </c>
      <c r="G515">
        <v>3085116761</v>
      </c>
      <c r="H515">
        <v>3915691215</v>
      </c>
      <c r="I515">
        <v>4449255651</v>
      </c>
      <c r="J515">
        <v>3757015589</v>
      </c>
      <c r="K515">
        <v>2919650898</v>
      </c>
      <c r="L515">
        <v>3529716027</v>
      </c>
      <c r="M515">
        <v>2870330278</v>
      </c>
      <c r="N515">
        <v>2903439565</v>
      </c>
      <c r="O515">
        <v>3743770343</v>
      </c>
      <c r="P515">
        <v>442</v>
      </c>
      <c r="Q515" t="s">
        <v>1224</v>
      </c>
    </row>
    <row r="516" spans="1:17" x14ac:dyDescent="0.3">
      <c r="A516" t="s">
        <v>75</v>
      </c>
      <c r="B516" t="str">
        <f>"000723"</f>
        <v>000723</v>
      </c>
      <c r="C516" t="s">
        <v>1225</v>
      </c>
      <c r="D516" t="s">
        <v>837</v>
      </c>
      <c r="E516">
        <v>3694108449</v>
      </c>
      <c r="F516">
        <v>1870169245</v>
      </c>
      <c r="G516">
        <v>887194789</v>
      </c>
      <c r="H516">
        <v>1750597716</v>
      </c>
      <c r="I516">
        <v>865508902</v>
      </c>
      <c r="J516">
        <v>729602257</v>
      </c>
      <c r="K516">
        <v>581274883</v>
      </c>
      <c r="L516">
        <v>40055808</v>
      </c>
      <c r="M516">
        <v>126266802</v>
      </c>
      <c r="N516">
        <v>47302062</v>
      </c>
      <c r="O516">
        <v>69728234</v>
      </c>
      <c r="P516">
        <v>673</v>
      </c>
      <c r="Q516" t="s">
        <v>1226</v>
      </c>
    </row>
    <row r="517" spans="1:17" x14ac:dyDescent="0.3">
      <c r="A517" t="s">
        <v>17</v>
      </c>
      <c r="B517" t="str">
        <f>"603883"</f>
        <v>603883</v>
      </c>
      <c r="C517" t="s">
        <v>1227</v>
      </c>
      <c r="D517" t="s">
        <v>936</v>
      </c>
      <c r="E517">
        <v>3674888551</v>
      </c>
      <c r="F517">
        <v>4070664535</v>
      </c>
      <c r="G517">
        <v>3806963798</v>
      </c>
      <c r="H517">
        <v>3016975770</v>
      </c>
      <c r="I517">
        <v>2012623972</v>
      </c>
      <c r="J517">
        <v>1970187510</v>
      </c>
      <c r="K517">
        <v>1547080687</v>
      </c>
      <c r="L517">
        <v>1220739195</v>
      </c>
      <c r="M517">
        <v>1078540443</v>
      </c>
      <c r="P517">
        <v>868</v>
      </c>
      <c r="Q517" t="s">
        <v>1228</v>
      </c>
    </row>
    <row r="518" spans="1:17" x14ac:dyDescent="0.3">
      <c r="A518" t="s">
        <v>75</v>
      </c>
      <c r="B518" t="str">
        <f>"002217"</f>
        <v>002217</v>
      </c>
      <c r="C518" t="s">
        <v>1229</v>
      </c>
      <c r="D518" t="s">
        <v>128</v>
      </c>
      <c r="E518">
        <v>3671472740</v>
      </c>
      <c r="F518">
        <v>3554214709</v>
      </c>
      <c r="G518">
        <v>3683405217</v>
      </c>
      <c r="H518">
        <v>3611984327</v>
      </c>
      <c r="I518">
        <v>3105297165</v>
      </c>
      <c r="J518">
        <v>2448715940</v>
      </c>
      <c r="K518">
        <v>1611001438</v>
      </c>
      <c r="L518">
        <v>670120550</v>
      </c>
      <c r="M518">
        <v>186076631</v>
      </c>
      <c r="N518">
        <v>316726993</v>
      </c>
      <c r="O518">
        <v>402707502</v>
      </c>
      <c r="P518">
        <v>490</v>
      </c>
      <c r="Q518" t="s">
        <v>1230</v>
      </c>
    </row>
    <row r="519" spans="1:17" x14ac:dyDescent="0.3">
      <c r="A519" t="s">
        <v>75</v>
      </c>
      <c r="B519" t="str">
        <f>"200012"</f>
        <v>200012</v>
      </c>
      <c r="C519" t="s">
        <v>1231</v>
      </c>
      <c r="E519">
        <v>3671390446.1339998</v>
      </c>
      <c r="F519">
        <v>3540474119.8319998</v>
      </c>
      <c r="G519">
        <v>1949004010.5611999</v>
      </c>
      <c r="H519">
        <v>2651908304.3706002</v>
      </c>
      <c r="I519">
        <v>3233474839.0365</v>
      </c>
      <c r="J519">
        <v>2678802563.4668002</v>
      </c>
      <c r="K519">
        <v>2678135143.7845998</v>
      </c>
      <c r="L519">
        <v>2047930375</v>
      </c>
      <c r="M519">
        <v>2125157480.8540001</v>
      </c>
      <c r="N519">
        <v>2235031778.9394002</v>
      </c>
      <c r="O519">
        <v>2150499189.375</v>
      </c>
      <c r="P519">
        <v>85</v>
      </c>
      <c r="Q519" t="s">
        <v>1232</v>
      </c>
    </row>
    <row r="520" spans="1:17" x14ac:dyDescent="0.3">
      <c r="A520" t="s">
        <v>17</v>
      </c>
      <c r="B520" t="str">
        <f>"600206"</f>
        <v>600206</v>
      </c>
      <c r="C520" t="s">
        <v>1233</v>
      </c>
      <c r="D520" t="s">
        <v>489</v>
      </c>
      <c r="E520">
        <v>3670819014</v>
      </c>
      <c r="F520">
        <v>3694185209</v>
      </c>
      <c r="G520">
        <v>2389210364</v>
      </c>
      <c r="H520">
        <v>1657151982</v>
      </c>
      <c r="I520">
        <v>1032154215</v>
      </c>
      <c r="J520">
        <v>1009069164</v>
      </c>
      <c r="K520">
        <v>613344123</v>
      </c>
      <c r="L520">
        <v>725772411</v>
      </c>
      <c r="M520">
        <v>523162133</v>
      </c>
      <c r="N520">
        <v>95983112</v>
      </c>
      <c r="O520">
        <v>97930650</v>
      </c>
      <c r="P520">
        <v>421</v>
      </c>
      <c r="Q520" t="s">
        <v>1234</v>
      </c>
    </row>
    <row r="521" spans="1:17" x14ac:dyDescent="0.3">
      <c r="A521" t="s">
        <v>75</v>
      </c>
      <c r="B521" t="str">
        <f>"002280"</f>
        <v>002280</v>
      </c>
      <c r="C521" t="s">
        <v>1235</v>
      </c>
      <c r="D521" t="s">
        <v>1236</v>
      </c>
      <c r="E521">
        <v>3670284484</v>
      </c>
      <c r="F521">
        <v>4401414999</v>
      </c>
      <c r="G521">
        <v>2737814703</v>
      </c>
      <c r="H521">
        <v>4259068266</v>
      </c>
      <c r="I521">
        <v>4902457074</v>
      </c>
      <c r="J521">
        <v>327721470</v>
      </c>
      <c r="K521">
        <v>179306110</v>
      </c>
      <c r="L521">
        <v>28693207</v>
      </c>
      <c r="M521">
        <v>39331983</v>
      </c>
      <c r="N521">
        <v>36977013</v>
      </c>
      <c r="O521">
        <v>38816641</v>
      </c>
      <c r="P521">
        <v>179</v>
      </c>
      <c r="Q521" t="s">
        <v>1237</v>
      </c>
    </row>
    <row r="522" spans="1:17" x14ac:dyDescent="0.3">
      <c r="A522" t="s">
        <v>17</v>
      </c>
      <c r="B522" t="str">
        <f>"600810"</f>
        <v>600810</v>
      </c>
      <c r="C522" t="s">
        <v>1238</v>
      </c>
      <c r="D522" t="s">
        <v>1239</v>
      </c>
      <c r="E522">
        <v>3630248907</v>
      </c>
      <c r="F522">
        <v>2460641233</v>
      </c>
      <c r="G522">
        <v>2029529256</v>
      </c>
      <c r="H522">
        <v>2709129872</v>
      </c>
      <c r="I522">
        <v>1697077618</v>
      </c>
      <c r="J522">
        <v>1883595280</v>
      </c>
      <c r="K522">
        <v>2234783041</v>
      </c>
      <c r="L522">
        <v>1048635696</v>
      </c>
      <c r="M522">
        <v>1209298930</v>
      </c>
      <c r="N522">
        <v>1284005656</v>
      </c>
      <c r="O522">
        <v>2629489616</v>
      </c>
      <c r="P522">
        <v>354</v>
      </c>
      <c r="Q522" t="s">
        <v>1240</v>
      </c>
    </row>
    <row r="523" spans="1:17" x14ac:dyDescent="0.3">
      <c r="A523" t="s">
        <v>75</v>
      </c>
      <c r="B523" t="str">
        <f>"002001"</f>
        <v>002001</v>
      </c>
      <c r="C523" t="s">
        <v>1241</v>
      </c>
      <c r="D523" t="s">
        <v>1242</v>
      </c>
      <c r="E523">
        <v>3613716217</v>
      </c>
      <c r="F523">
        <v>3214829499</v>
      </c>
      <c r="G523">
        <v>2160149081</v>
      </c>
      <c r="H523">
        <v>1752710949</v>
      </c>
      <c r="I523">
        <v>1962384491</v>
      </c>
      <c r="J523">
        <v>1216457515</v>
      </c>
      <c r="K523">
        <v>1030729700</v>
      </c>
      <c r="L523">
        <v>914829644</v>
      </c>
      <c r="M523">
        <v>1033387711</v>
      </c>
      <c r="N523">
        <v>984759537</v>
      </c>
      <c r="O523">
        <v>885753775</v>
      </c>
      <c r="P523">
        <v>1984</v>
      </c>
      <c r="Q523" t="s">
        <v>1243</v>
      </c>
    </row>
    <row r="524" spans="1:17" x14ac:dyDescent="0.3">
      <c r="A524" t="s">
        <v>75</v>
      </c>
      <c r="B524" t="str">
        <f>"002027"</f>
        <v>002027</v>
      </c>
      <c r="C524" t="s">
        <v>1244</v>
      </c>
      <c r="D524" t="s">
        <v>1245</v>
      </c>
      <c r="E524">
        <v>3612253035</v>
      </c>
      <c r="F524">
        <v>3703840850</v>
      </c>
      <c r="G524">
        <v>2493288965</v>
      </c>
      <c r="H524">
        <v>3528598349</v>
      </c>
      <c r="I524">
        <v>3000588790</v>
      </c>
      <c r="J524">
        <v>2815921174</v>
      </c>
      <c r="K524">
        <v>2344929951</v>
      </c>
      <c r="L524">
        <v>119925749</v>
      </c>
      <c r="M524">
        <v>104970337</v>
      </c>
      <c r="N524">
        <v>356346756</v>
      </c>
      <c r="O524">
        <v>280119600</v>
      </c>
      <c r="P524">
        <v>5236</v>
      </c>
      <c r="Q524" t="s">
        <v>1246</v>
      </c>
    </row>
    <row r="525" spans="1:17" x14ac:dyDescent="0.3">
      <c r="A525" t="s">
        <v>75</v>
      </c>
      <c r="B525" t="str">
        <f>"000900"</f>
        <v>000900</v>
      </c>
      <c r="C525" t="s">
        <v>1247</v>
      </c>
      <c r="D525" t="s">
        <v>1248</v>
      </c>
      <c r="E525">
        <v>3611711344</v>
      </c>
      <c r="F525">
        <v>6404825475</v>
      </c>
      <c r="G525">
        <v>3014158708</v>
      </c>
      <c r="H525">
        <v>2794714032</v>
      </c>
      <c r="I525">
        <v>2367494835</v>
      </c>
      <c r="J525">
        <v>2807043952</v>
      </c>
      <c r="K525">
        <v>1411954843</v>
      </c>
      <c r="L525">
        <v>1279326593</v>
      </c>
      <c r="M525">
        <v>507689281</v>
      </c>
      <c r="N525">
        <v>378605218</v>
      </c>
      <c r="O525">
        <v>296304626</v>
      </c>
      <c r="P525">
        <v>570</v>
      </c>
      <c r="Q525" t="s">
        <v>1249</v>
      </c>
    </row>
    <row r="526" spans="1:17" x14ac:dyDescent="0.3">
      <c r="A526" t="s">
        <v>17</v>
      </c>
      <c r="B526" t="str">
        <f>"601918"</f>
        <v>601918</v>
      </c>
      <c r="C526" t="s">
        <v>1250</v>
      </c>
      <c r="D526" t="s">
        <v>71</v>
      </c>
      <c r="E526">
        <v>3600819339</v>
      </c>
      <c r="F526">
        <v>3274367433</v>
      </c>
      <c r="G526">
        <v>2027838174</v>
      </c>
      <c r="H526">
        <v>2820053592</v>
      </c>
      <c r="I526">
        <v>2566032624</v>
      </c>
      <c r="J526">
        <v>1774929553</v>
      </c>
      <c r="K526">
        <v>1277839873</v>
      </c>
      <c r="L526">
        <v>921246927</v>
      </c>
      <c r="M526">
        <v>1453888033</v>
      </c>
      <c r="N526">
        <v>1991453201</v>
      </c>
      <c r="O526">
        <v>2320206411</v>
      </c>
      <c r="P526">
        <v>237</v>
      </c>
      <c r="Q526" t="s">
        <v>1251</v>
      </c>
    </row>
    <row r="527" spans="1:17" x14ac:dyDescent="0.3">
      <c r="A527" t="s">
        <v>75</v>
      </c>
      <c r="B527" t="str">
        <f>"001872"</f>
        <v>001872</v>
      </c>
      <c r="C527" t="s">
        <v>1252</v>
      </c>
      <c r="D527" t="s">
        <v>383</v>
      </c>
      <c r="E527">
        <v>3599371273</v>
      </c>
      <c r="F527">
        <v>3264569110</v>
      </c>
      <c r="G527">
        <v>2647968073</v>
      </c>
      <c r="H527">
        <v>2647510819</v>
      </c>
      <c r="I527">
        <v>518662240</v>
      </c>
      <c r="J527">
        <v>514859753</v>
      </c>
      <c r="K527">
        <v>382639583</v>
      </c>
      <c r="L527">
        <v>391741607</v>
      </c>
      <c r="M527">
        <v>424837359</v>
      </c>
      <c r="N527">
        <v>387196499</v>
      </c>
      <c r="O527">
        <v>394813329</v>
      </c>
      <c r="P527">
        <v>254</v>
      </c>
      <c r="Q527" t="s">
        <v>1253</v>
      </c>
    </row>
    <row r="528" spans="1:17" x14ac:dyDescent="0.3">
      <c r="A528" t="s">
        <v>75</v>
      </c>
      <c r="B528" t="str">
        <f>"002251"</f>
        <v>002251</v>
      </c>
      <c r="C528" t="s">
        <v>1254</v>
      </c>
      <c r="D528" t="s">
        <v>208</v>
      </c>
      <c r="E528">
        <v>3597248287</v>
      </c>
      <c r="F528">
        <v>6224679938</v>
      </c>
      <c r="G528">
        <v>6272633728</v>
      </c>
      <c r="H528">
        <v>6234033905</v>
      </c>
      <c r="I528">
        <v>6192364348</v>
      </c>
      <c r="J528">
        <v>5657153215</v>
      </c>
      <c r="K528">
        <v>5348839295</v>
      </c>
      <c r="L528">
        <v>5126635446</v>
      </c>
      <c r="M528">
        <v>4180375775</v>
      </c>
      <c r="N528">
        <v>3725182105</v>
      </c>
      <c r="O528">
        <v>3240163787</v>
      </c>
      <c r="P528">
        <v>196</v>
      </c>
      <c r="Q528" t="s">
        <v>1255</v>
      </c>
    </row>
    <row r="529" spans="1:17" x14ac:dyDescent="0.3">
      <c r="A529" t="s">
        <v>75</v>
      </c>
      <c r="B529" t="str">
        <f>"000786"</f>
        <v>000786</v>
      </c>
      <c r="C529" t="s">
        <v>1256</v>
      </c>
      <c r="D529" t="s">
        <v>1257</v>
      </c>
      <c r="E529">
        <v>3592192014</v>
      </c>
      <c r="F529">
        <v>3944568218</v>
      </c>
      <c r="G529">
        <v>2079881020</v>
      </c>
      <c r="H529">
        <v>2364211377</v>
      </c>
      <c r="I529">
        <v>2553487682</v>
      </c>
      <c r="J529">
        <v>1828175563</v>
      </c>
      <c r="K529">
        <v>1373184265</v>
      </c>
      <c r="L529">
        <v>1320227758</v>
      </c>
      <c r="M529">
        <v>1380510357</v>
      </c>
      <c r="N529">
        <v>1115489261</v>
      </c>
      <c r="O529">
        <v>1084113333</v>
      </c>
      <c r="P529">
        <v>2486</v>
      </c>
      <c r="Q529" t="s">
        <v>1258</v>
      </c>
    </row>
    <row r="530" spans="1:17" x14ac:dyDescent="0.3">
      <c r="A530" t="s">
        <v>75</v>
      </c>
      <c r="B530" t="str">
        <f>"002129"</f>
        <v>002129</v>
      </c>
      <c r="C530" t="s">
        <v>1259</v>
      </c>
      <c r="D530" t="s">
        <v>252</v>
      </c>
      <c r="E530">
        <v>3587476124</v>
      </c>
      <c r="F530">
        <v>2199850428</v>
      </c>
      <c r="G530">
        <v>3238012279</v>
      </c>
      <c r="H530">
        <v>1774069535</v>
      </c>
      <c r="I530">
        <v>1821644346</v>
      </c>
      <c r="J530">
        <v>999332924</v>
      </c>
      <c r="K530">
        <v>724007998</v>
      </c>
      <c r="L530">
        <v>1541230138</v>
      </c>
      <c r="M530">
        <v>996734561</v>
      </c>
      <c r="N530">
        <v>745434734</v>
      </c>
      <c r="O530">
        <v>415633199</v>
      </c>
      <c r="P530">
        <v>1522</v>
      </c>
      <c r="Q530" t="s">
        <v>1260</v>
      </c>
    </row>
    <row r="531" spans="1:17" x14ac:dyDescent="0.3">
      <c r="A531" t="s">
        <v>75</v>
      </c>
      <c r="B531" t="str">
        <f>"000581"</f>
        <v>000581</v>
      </c>
      <c r="C531" t="s">
        <v>1261</v>
      </c>
      <c r="D531" t="s">
        <v>172</v>
      </c>
      <c r="E531">
        <v>3574186568</v>
      </c>
      <c r="F531">
        <v>3191959028</v>
      </c>
      <c r="G531">
        <v>2747435788</v>
      </c>
      <c r="H531">
        <v>1753285131</v>
      </c>
      <c r="I531">
        <v>2229870778</v>
      </c>
      <c r="J531">
        <v>1577421098</v>
      </c>
      <c r="K531">
        <v>1045759146</v>
      </c>
      <c r="L531">
        <v>1793896648</v>
      </c>
      <c r="M531">
        <v>1435402210</v>
      </c>
      <c r="N531">
        <v>1184664547</v>
      </c>
      <c r="O531">
        <v>1229403560</v>
      </c>
      <c r="P531">
        <v>1711</v>
      </c>
      <c r="Q531" t="s">
        <v>1262</v>
      </c>
    </row>
    <row r="532" spans="1:17" x14ac:dyDescent="0.3">
      <c r="A532" t="s">
        <v>75</v>
      </c>
      <c r="B532" t="str">
        <f>"000417"</f>
        <v>000417</v>
      </c>
      <c r="C532" t="s">
        <v>1263</v>
      </c>
      <c r="D532" t="s">
        <v>582</v>
      </c>
      <c r="E532">
        <v>3557944552</v>
      </c>
      <c r="F532">
        <v>3480265847</v>
      </c>
      <c r="G532">
        <v>2816408299</v>
      </c>
      <c r="H532">
        <v>4304711344</v>
      </c>
      <c r="I532">
        <v>3898298838</v>
      </c>
      <c r="J532">
        <v>3711456285</v>
      </c>
      <c r="K532">
        <v>3529679308</v>
      </c>
      <c r="L532">
        <v>3820757612</v>
      </c>
      <c r="M532">
        <v>3969718562</v>
      </c>
      <c r="N532">
        <v>3930339210</v>
      </c>
      <c r="O532">
        <v>3310910988</v>
      </c>
      <c r="P532">
        <v>145</v>
      </c>
      <c r="Q532" t="s">
        <v>1264</v>
      </c>
    </row>
    <row r="533" spans="1:17" x14ac:dyDescent="0.3">
      <c r="A533" t="s">
        <v>17</v>
      </c>
      <c r="B533" t="str">
        <f>"600486"</f>
        <v>600486</v>
      </c>
      <c r="C533" t="s">
        <v>1265</v>
      </c>
      <c r="D533" t="s">
        <v>811</v>
      </c>
      <c r="E533">
        <v>3551072306</v>
      </c>
      <c r="F533">
        <v>2352868814</v>
      </c>
      <c r="G533">
        <v>1915284414</v>
      </c>
      <c r="H533">
        <v>1159505693</v>
      </c>
      <c r="I533">
        <v>1341031682</v>
      </c>
      <c r="J533">
        <v>964756857</v>
      </c>
      <c r="K533">
        <v>672537442</v>
      </c>
      <c r="L533">
        <v>715056314</v>
      </c>
      <c r="M533">
        <v>666962465</v>
      </c>
      <c r="N533">
        <v>772725527</v>
      </c>
      <c r="O533">
        <v>536408818</v>
      </c>
      <c r="P533">
        <v>1252</v>
      </c>
      <c r="Q533" t="s">
        <v>1266</v>
      </c>
    </row>
    <row r="534" spans="1:17" x14ac:dyDescent="0.3">
      <c r="A534" t="s">
        <v>17</v>
      </c>
      <c r="B534" t="str">
        <f>"603719"</f>
        <v>603719</v>
      </c>
      <c r="C534" t="s">
        <v>1267</v>
      </c>
      <c r="D534" t="s">
        <v>1268</v>
      </c>
      <c r="E534">
        <v>3550358021</v>
      </c>
      <c r="F534">
        <v>2591061355</v>
      </c>
      <c r="G534">
        <v>1979908229</v>
      </c>
      <c r="H534">
        <v>2070087966</v>
      </c>
      <c r="P534">
        <v>715</v>
      </c>
      <c r="Q534" t="s">
        <v>1269</v>
      </c>
    </row>
    <row r="535" spans="1:17" x14ac:dyDescent="0.3">
      <c r="A535" t="s">
        <v>75</v>
      </c>
      <c r="B535" t="str">
        <f>"002916"</f>
        <v>002916</v>
      </c>
      <c r="C535" t="s">
        <v>1270</v>
      </c>
      <c r="D535" t="s">
        <v>567</v>
      </c>
      <c r="E535">
        <v>3539971451</v>
      </c>
      <c r="F535">
        <v>2822579513</v>
      </c>
      <c r="G535">
        <v>2596677789</v>
      </c>
      <c r="H535">
        <v>1890058059</v>
      </c>
      <c r="I535">
        <v>1170191936</v>
      </c>
      <c r="J535">
        <v>1013573049</v>
      </c>
      <c r="P535">
        <v>2552</v>
      </c>
      <c r="Q535" t="s">
        <v>1271</v>
      </c>
    </row>
    <row r="536" spans="1:17" x14ac:dyDescent="0.3">
      <c r="A536" t="s">
        <v>17</v>
      </c>
      <c r="B536" t="str">
        <f>"600582"</f>
        <v>600582</v>
      </c>
      <c r="C536" t="s">
        <v>1272</v>
      </c>
      <c r="D536" t="s">
        <v>786</v>
      </c>
      <c r="E536">
        <v>3532704275</v>
      </c>
      <c r="F536">
        <v>3140627546</v>
      </c>
      <c r="G536">
        <v>2611965663</v>
      </c>
      <c r="H536">
        <v>2998696897</v>
      </c>
      <c r="I536">
        <v>2462261730</v>
      </c>
      <c r="J536">
        <v>2207770408</v>
      </c>
      <c r="K536">
        <v>2057619985</v>
      </c>
      <c r="L536">
        <v>2061017957</v>
      </c>
      <c r="M536">
        <v>1497004836</v>
      </c>
      <c r="N536">
        <v>1804894116</v>
      </c>
      <c r="O536">
        <v>1961799475</v>
      </c>
      <c r="P536">
        <v>396</v>
      </c>
      <c r="Q536" t="s">
        <v>1273</v>
      </c>
    </row>
    <row r="537" spans="1:17" x14ac:dyDescent="0.3">
      <c r="A537" t="s">
        <v>75</v>
      </c>
      <c r="B537" t="str">
        <f>"000737"</f>
        <v>000737</v>
      </c>
      <c r="C537" t="s">
        <v>1274</v>
      </c>
      <c r="D537" t="s">
        <v>1275</v>
      </c>
      <c r="E537">
        <v>3518132337</v>
      </c>
      <c r="F537">
        <v>216362851</v>
      </c>
      <c r="G537">
        <v>164665726</v>
      </c>
      <c r="H537">
        <v>169967314</v>
      </c>
      <c r="I537">
        <v>451848719</v>
      </c>
      <c r="J537">
        <v>399910646</v>
      </c>
      <c r="K537">
        <v>433676190</v>
      </c>
      <c r="L537">
        <v>456960972</v>
      </c>
      <c r="M537">
        <v>619423204</v>
      </c>
      <c r="N537">
        <v>587781591</v>
      </c>
      <c r="O537">
        <v>705676400</v>
      </c>
      <c r="P537">
        <v>83</v>
      </c>
      <c r="Q537" t="s">
        <v>1276</v>
      </c>
    </row>
    <row r="538" spans="1:17" x14ac:dyDescent="0.3">
      <c r="A538" t="s">
        <v>17</v>
      </c>
      <c r="B538" t="str">
        <f>"600619"</f>
        <v>600619</v>
      </c>
      <c r="C538" t="s">
        <v>1277</v>
      </c>
      <c r="D538" t="s">
        <v>1063</v>
      </c>
      <c r="E538">
        <v>3500041207</v>
      </c>
      <c r="F538">
        <v>2874830240</v>
      </c>
      <c r="G538">
        <v>1997360098</v>
      </c>
      <c r="H538">
        <v>2102272242</v>
      </c>
      <c r="I538">
        <v>2264121450</v>
      </c>
      <c r="J538">
        <v>1957506681</v>
      </c>
      <c r="K538">
        <v>1742177970</v>
      </c>
      <c r="L538">
        <v>1817871871</v>
      </c>
      <c r="M538">
        <v>1509445754</v>
      </c>
      <c r="N538">
        <v>1568538654</v>
      </c>
      <c r="O538">
        <v>1950601440</v>
      </c>
      <c r="P538">
        <v>121</v>
      </c>
      <c r="Q538" t="s">
        <v>1278</v>
      </c>
    </row>
    <row r="539" spans="1:17" x14ac:dyDescent="0.3">
      <c r="A539" t="s">
        <v>75</v>
      </c>
      <c r="B539" t="str">
        <f>"002996"</f>
        <v>002996</v>
      </c>
      <c r="C539" t="s">
        <v>1279</v>
      </c>
      <c r="D539" t="s">
        <v>96</v>
      </c>
      <c r="E539">
        <v>3497102943</v>
      </c>
      <c r="F539">
        <v>1962838164</v>
      </c>
      <c r="G539">
        <v>937252412</v>
      </c>
      <c r="P539">
        <v>73</v>
      </c>
      <c r="Q539" t="s">
        <v>1280</v>
      </c>
    </row>
    <row r="540" spans="1:17" x14ac:dyDescent="0.3">
      <c r="A540" t="s">
        <v>75</v>
      </c>
      <c r="B540" t="str">
        <f>"000505"</f>
        <v>000505</v>
      </c>
      <c r="C540" t="s">
        <v>1281</v>
      </c>
      <c r="D540" t="s">
        <v>113</v>
      </c>
      <c r="E540">
        <v>3490873471</v>
      </c>
      <c r="F540">
        <v>2723222764</v>
      </c>
      <c r="G540">
        <v>1881294907</v>
      </c>
      <c r="H540">
        <v>1993101212</v>
      </c>
      <c r="I540">
        <v>2175325772</v>
      </c>
      <c r="J540">
        <v>110756486</v>
      </c>
      <c r="K540">
        <v>271878051</v>
      </c>
      <c r="L540">
        <v>65399110</v>
      </c>
      <c r="M540">
        <v>72575086</v>
      </c>
      <c r="N540">
        <v>57631845</v>
      </c>
      <c r="O540">
        <v>42553331</v>
      </c>
      <c r="P540">
        <v>193</v>
      </c>
      <c r="Q540" t="s">
        <v>1282</v>
      </c>
    </row>
    <row r="541" spans="1:17" x14ac:dyDescent="0.3">
      <c r="A541" t="s">
        <v>17</v>
      </c>
      <c r="B541" t="str">
        <f>"600881"</f>
        <v>600881</v>
      </c>
      <c r="C541" t="s">
        <v>1283</v>
      </c>
      <c r="D541" t="s">
        <v>1284</v>
      </c>
      <c r="E541">
        <v>3480670916</v>
      </c>
      <c r="F541">
        <v>4568864389</v>
      </c>
      <c r="G541">
        <v>2660572784</v>
      </c>
      <c r="H541">
        <v>2994440404</v>
      </c>
      <c r="I541">
        <v>3926657691</v>
      </c>
      <c r="J541">
        <v>3746629536</v>
      </c>
      <c r="K541">
        <v>2928196772</v>
      </c>
      <c r="L541">
        <v>2813958337</v>
      </c>
      <c r="M541">
        <v>2807391928</v>
      </c>
      <c r="N541">
        <v>2309736990</v>
      </c>
      <c r="O541">
        <v>2552213700</v>
      </c>
      <c r="P541">
        <v>144</v>
      </c>
      <c r="Q541" t="s">
        <v>1285</v>
      </c>
    </row>
    <row r="542" spans="1:17" x14ac:dyDescent="0.3">
      <c r="A542" t="s">
        <v>75</v>
      </c>
      <c r="B542" t="str">
        <f>"000090"</f>
        <v>000090</v>
      </c>
      <c r="C542" t="s">
        <v>1286</v>
      </c>
      <c r="D542" t="s">
        <v>65</v>
      </c>
      <c r="E542">
        <v>3465881698</v>
      </c>
      <c r="F542">
        <v>6690528439</v>
      </c>
      <c r="G542">
        <v>1337048195</v>
      </c>
      <c r="H542">
        <v>1722946047</v>
      </c>
      <c r="I542">
        <v>1546893963</v>
      </c>
      <c r="J542">
        <v>2296768963</v>
      </c>
      <c r="K542">
        <v>1216772514</v>
      </c>
      <c r="L542">
        <v>1116962932</v>
      </c>
      <c r="M542">
        <v>1273013974</v>
      </c>
      <c r="N542">
        <v>1142921324</v>
      </c>
      <c r="O542">
        <v>641577055</v>
      </c>
      <c r="P542">
        <v>424</v>
      </c>
      <c r="Q542" t="s">
        <v>1287</v>
      </c>
    </row>
    <row r="543" spans="1:17" x14ac:dyDescent="0.3">
      <c r="A543" t="s">
        <v>17</v>
      </c>
      <c r="B543" t="str">
        <f>"600006"</f>
        <v>600006</v>
      </c>
      <c r="C543" t="s">
        <v>1288</v>
      </c>
      <c r="D543" t="s">
        <v>494</v>
      </c>
      <c r="E543">
        <v>3463039817</v>
      </c>
      <c r="F543">
        <v>2041750178</v>
      </c>
      <c r="G543">
        <v>2397719447</v>
      </c>
      <c r="H543">
        <v>3377769861</v>
      </c>
      <c r="I543">
        <v>3083425987</v>
      </c>
      <c r="J543">
        <v>4176476184</v>
      </c>
      <c r="K543">
        <v>3432655723</v>
      </c>
      <c r="L543">
        <v>4006213837</v>
      </c>
      <c r="M543">
        <v>4324417172</v>
      </c>
      <c r="N543">
        <v>3484846936</v>
      </c>
      <c r="O543">
        <v>4431572297</v>
      </c>
      <c r="P543">
        <v>469</v>
      </c>
      <c r="Q543" t="s">
        <v>1289</v>
      </c>
    </row>
    <row r="544" spans="1:17" x14ac:dyDescent="0.3">
      <c r="A544" t="s">
        <v>17</v>
      </c>
      <c r="B544" t="str">
        <f>"600299"</f>
        <v>600299</v>
      </c>
      <c r="C544" t="s">
        <v>1290</v>
      </c>
      <c r="D544" t="s">
        <v>1291</v>
      </c>
      <c r="E544">
        <v>3407635541</v>
      </c>
      <c r="F544">
        <v>2814673369</v>
      </c>
      <c r="G544">
        <v>2658236931</v>
      </c>
      <c r="H544">
        <v>2700233750</v>
      </c>
      <c r="I544">
        <v>3112737186</v>
      </c>
      <c r="J544">
        <v>2591861695</v>
      </c>
      <c r="K544">
        <v>2866436236</v>
      </c>
      <c r="L544">
        <v>1382963362</v>
      </c>
      <c r="M544">
        <v>1718832623</v>
      </c>
      <c r="N544">
        <v>2289740753</v>
      </c>
      <c r="O544">
        <v>2527094310</v>
      </c>
      <c r="P544">
        <v>497</v>
      </c>
      <c r="Q544" t="s">
        <v>1292</v>
      </c>
    </row>
    <row r="545" spans="1:17" x14ac:dyDescent="0.3">
      <c r="A545" t="s">
        <v>75</v>
      </c>
      <c r="B545" t="str">
        <f>"002705"</f>
        <v>002705</v>
      </c>
      <c r="C545" t="s">
        <v>1293</v>
      </c>
      <c r="D545" t="s">
        <v>939</v>
      </c>
      <c r="E545">
        <v>3405375913</v>
      </c>
      <c r="F545">
        <v>3708692681</v>
      </c>
      <c r="G545">
        <v>2241715768</v>
      </c>
      <c r="H545">
        <v>2101801492</v>
      </c>
      <c r="I545">
        <v>1945221535</v>
      </c>
      <c r="J545">
        <v>1792804703</v>
      </c>
      <c r="K545">
        <v>1517146434</v>
      </c>
      <c r="L545">
        <v>1409908406</v>
      </c>
      <c r="M545">
        <v>1098858616</v>
      </c>
      <c r="N545">
        <v>1079681539</v>
      </c>
      <c r="P545">
        <v>1093</v>
      </c>
      <c r="Q545" t="s">
        <v>1294</v>
      </c>
    </row>
    <row r="546" spans="1:17" x14ac:dyDescent="0.3">
      <c r="A546" t="s">
        <v>75</v>
      </c>
      <c r="B546" t="str">
        <f>"002867"</f>
        <v>002867</v>
      </c>
      <c r="C546" t="s">
        <v>1295</v>
      </c>
      <c r="D546" t="s">
        <v>314</v>
      </c>
      <c r="E546">
        <v>3401091736</v>
      </c>
      <c r="F546">
        <v>1270052211</v>
      </c>
      <c r="G546">
        <v>667594596</v>
      </c>
      <c r="H546">
        <v>1138917646</v>
      </c>
      <c r="I546">
        <v>1030814543</v>
      </c>
      <c r="J546">
        <v>856620396</v>
      </c>
      <c r="K546">
        <v>777378733</v>
      </c>
      <c r="P546">
        <v>1635</v>
      </c>
      <c r="Q546" t="s">
        <v>1296</v>
      </c>
    </row>
    <row r="547" spans="1:17" x14ac:dyDescent="0.3">
      <c r="A547" t="s">
        <v>17</v>
      </c>
      <c r="B547" t="str">
        <f>"603858"</f>
        <v>603858</v>
      </c>
      <c r="C547" t="s">
        <v>1297</v>
      </c>
      <c r="D547" t="s">
        <v>321</v>
      </c>
      <c r="E547">
        <v>3397826622</v>
      </c>
      <c r="F547">
        <v>4406392414</v>
      </c>
      <c r="G547">
        <v>3220546540</v>
      </c>
      <c r="H547">
        <v>3943268050</v>
      </c>
      <c r="I547">
        <v>2943620725</v>
      </c>
      <c r="J547">
        <v>3473343256</v>
      </c>
      <c r="K547">
        <v>2858529658</v>
      </c>
      <c r="P547">
        <v>828</v>
      </c>
      <c r="Q547" t="s">
        <v>1298</v>
      </c>
    </row>
    <row r="548" spans="1:17" x14ac:dyDescent="0.3">
      <c r="A548" t="s">
        <v>17</v>
      </c>
      <c r="B548" t="str">
        <f>"600966"</f>
        <v>600966</v>
      </c>
      <c r="C548" t="s">
        <v>1299</v>
      </c>
      <c r="D548" t="s">
        <v>540</v>
      </c>
      <c r="E548">
        <v>3397767485</v>
      </c>
      <c r="F548">
        <v>4793720541</v>
      </c>
      <c r="G548">
        <v>2724236694</v>
      </c>
      <c r="H548">
        <v>1771955573</v>
      </c>
      <c r="I548">
        <v>1797619617</v>
      </c>
      <c r="J548">
        <v>2057593105</v>
      </c>
      <c r="K548">
        <v>1653766295</v>
      </c>
      <c r="L548">
        <v>1337010168</v>
      </c>
      <c r="M548">
        <v>1071890074</v>
      </c>
      <c r="N548">
        <v>839820043</v>
      </c>
      <c r="O548">
        <v>766525234</v>
      </c>
      <c r="P548">
        <v>396</v>
      </c>
      <c r="Q548" t="s">
        <v>1300</v>
      </c>
    </row>
    <row r="549" spans="1:17" x14ac:dyDescent="0.3">
      <c r="A549" t="s">
        <v>75</v>
      </c>
      <c r="B549" t="str">
        <f>"301236"</f>
        <v>301236</v>
      </c>
      <c r="C549" t="s">
        <v>1301</v>
      </c>
      <c r="E549">
        <v>3394380238</v>
      </c>
      <c r="P549">
        <v>4</v>
      </c>
      <c r="Q549" t="s">
        <v>1302</v>
      </c>
    </row>
    <row r="550" spans="1:17" x14ac:dyDescent="0.3">
      <c r="A550" t="s">
        <v>75</v>
      </c>
      <c r="B550" t="str">
        <f>"002727"</f>
        <v>002727</v>
      </c>
      <c r="C550" t="s">
        <v>1303</v>
      </c>
      <c r="D550" t="s">
        <v>936</v>
      </c>
      <c r="E550">
        <v>3390243930</v>
      </c>
      <c r="F550">
        <v>3294746728</v>
      </c>
      <c r="G550">
        <v>3002138638</v>
      </c>
      <c r="H550">
        <v>2495569507</v>
      </c>
      <c r="I550">
        <v>2228211907</v>
      </c>
      <c r="J550">
        <v>1913772024</v>
      </c>
      <c r="K550">
        <v>1505613919</v>
      </c>
      <c r="L550">
        <v>1215400357</v>
      </c>
      <c r="M550">
        <v>930791831</v>
      </c>
      <c r="P550">
        <v>1246</v>
      </c>
      <c r="Q550" t="s">
        <v>1304</v>
      </c>
    </row>
    <row r="551" spans="1:17" x14ac:dyDescent="0.3">
      <c r="A551" t="s">
        <v>17</v>
      </c>
      <c r="B551" t="str">
        <f>"600408"</f>
        <v>600408</v>
      </c>
      <c r="C551" t="s">
        <v>1305</v>
      </c>
      <c r="D551" t="s">
        <v>837</v>
      </c>
      <c r="E551">
        <v>3365779365</v>
      </c>
      <c r="F551">
        <v>3009586144</v>
      </c>
      <c r="G551">
        <v>1483921537</v>
      </c>
      <c r="H551">
        <v>1811563628</v>
      </c>
      <c r="I551">
        <v>2384471959</v>
      </c>
      <c r="J551">
        <v>1696262604</v>
      </c>
      <c r="K551">
        <v>379656954</v>
      </c>
      <c r="L551">
        <v>401269811</v>
      </c>
      <c r="M551">
        <v>1196456353</v>
      </c>
      <c r="N551">
        <v>1672692533</v>
      </c>
      <c r="O551">
        <v>1973404516</v>
      </c>
      <c r="P551">
        <v>93</v>
      </c>
      <c r="Q551" t="s">
        <v>1306</v>
      </c>
    </row>
    <row r="552" spans="1:17" x14ac:dyDescent="0.3">
      <c r="A552" t="s">
        <v>17</v>
      </c>
      <c r="B552" t="str">
        <f>"603236"</f>
        <v>603236</v>
      </c>
      <c r="C552" t="s">
        <v>1307</v>
      </c>
      <c r="D552" t="s">
        <v>556</v>
      </c>
      <c r="E552">
        <v>3362573253</v>
      </c>
      <c r="F552">
        <v>1663742908</v>
      </c>
      <c r="G552">
        <v>1047393875</v>
      </c>
      <c r="H552">
        <v>602510238</v>
      </c>
      <c r="I552">
        <v>0</v>
      </c>
      <c r="P552">
        <v>589</v>
      </c>
      <c r="Q552" t="s">
        <v>1308</v>
      </c>
    </row>
    <row r="553" spans="1:17" x14ac:dyDescent="0.3">
      <c r="A553" t="s">
        <v>75</v>
      </c>
      <c r="B553" t="str">
        <f>"000729"</f>
        <v>000729</v>
      </c>
      <c r="C553" t="s">
        <v>1309</v>
      </c>
      <c r="D553" t="s">
        <v>671</v>
      </c>
      <c r="E553">
        <v>3358280013</v>
      </c>
      <c r="F553">
        <v>3115530853</v>
      </c>
      <c r="G553">
        <v>2147784320</v>
      </c>
      <c r="H553">
        <v>3902901091</v>
      </c>
      <c r="I553">
        <v>3790618327</v>
      </c>
      <c r="J553">
        <v>3406346554</v>
      </c>
      <c r="K553">
        <v>3139520829</v>
      </c>
      <c r="L553">
        <v>4107487009</v>
      </c>
      <c r="M553">
        <v>3950156307</v>
      </c>
      <c r="N553">
        <v>4425053278</v>
      </c>
      <c r="O553">
        <v>3980417564</v>
      </c>
      <c r="P553">
        <v>607</v>
      </c>
      <c r="Q553" t="s">
        <v>1310</v>
      </c>
    </row>
    <row r="554" spans="1:17" x14ac:dyDescent="0.3">
      <c r="A554" t="s">
        <v>17</v>
      </c>
      <c r="B554" t="str">
        <f>"603345"</f>
        <v>603345</v>
      </c>
      <c r="C554" t="s">
        <v>1311</v>
      </c>
      <c r="D554" t="s">
        <v>1312</v>
      </c>
      <c r="E554">
        <v>3354763692</v>
      </c>
      <c r="F554">
        <v>2569243705</v>
      </c>
      <c r="G554">
        <v>1684752342</v>
      </c>
      <c r="H554">
        <v>1531780266</v>
      </c>
      <c r="I554">
        <v>1406380245</v>
      </c>
      <c r="J554">
        <v>1142847721</v>
      </c>
      <c r="K554">
        <v>1011085764</v>
      </c>
      <c r="P554">
        <v>1174</v>
      </c>
      <c r="Q554" t="s">
        <v>1313</v>
      </c>
    </row>
    <row r="555" spans="1:17" x14ac:dyDescent="0.3">
      <c r="A555" t="s">
        <v>75</v>
      </c>
      <c r="B555" t="str">
        <f>"002396"</f>
        <v>002396</v>
      </c>
      <c r="C555" t="s">
        <v>1314</v>
      </c>
      <c r="D555" t="s">
        <v>169</v>
      </c>
      <c r="E555">
        <v>3347120764</v>
      </c>
      <c r="F555">
        <v>2509300665</v>
      </c>
      <c r="G555">
        <v>1370871483</v>
      </c>
      <c r="H555">
        <v>1981531115</v>
      </c>
      <c r="I555">
        <v>1613709114</v>
      </c>
      <c r="J555">
        <v>1088392430</v>
      </c>
      <c r="K555">
        <v>959377263</v>
      </c>
      <c r="L555">
        <v>811290204</v>
      </c>
      <c r="M555">
        <v>727406623</v>
      </c>
      <c r="N555">
        <v>526015022</v>
      </c>
      <c r="O555">
        <v>542988670</v>
      </c>
      <c r="P555">
        <v>3694</v>
      </c>
      <c r="Q555" t="s">
        <v>1315</v>
      </c>
    </row>
    <row r="556" spans="1:17" x14ac:dyDescent="0.3">
      <c r="A556" t="s">
        <v>17</v>
      </c>
      <c r="B556" t="str">
        <f>"600971"</f>
        <v>600971</v>
      </c>
      <c r="C556" t="s">
        <v>1316</v>
      </c>
      <c r="D556" t="s">
        <v>71</v>
      </c>
      <c r="E556">
        <v>3346198981</v>
      </c>
      <c r="F556">
        <v>2205617459</v>
      </c>
      <c r="G556">
        <v>1892542731</v>
      </c>
      <c r="H556">
        <v>2317271081</v>
      </c>
      <c r="I556">
        <v>1990758334</v>
      </c>
      <c r="J556">
        <v>1637398919</v>
      </c>
      <c r="K556">
        <v>1254947035</v>
      </c>
      <c r="L556">
        <v>1594237575</v>
      </c>
      <c r="M556">
        <v>2040274541</v>
      </c>
      <c r="N556">
        <v>2084936723</v>
      </c>
      <c r="O556">
        <v>2846529022</v>
      </c>
      <c r="P556">
        <v>1522</v>
      </c>
      <c r="Q556" t="s">
        <v>1317</v>
      </c>
    </row>
    <row r="557" spans="1:17" x14ac:dyDescent="0.3">
      <c r="A557" t="s">
        <v>17</v>
      </c>
      <c r="B557" t="str">
        <f>"600740"</f>
        <v>600740</v>
      </c>
      <c r="C557" t="s">
        <v>1318</v>
      </c>
      <c r="D557" t="s">
        <v>837</v>
      </c>
      <c r="E557">
        <v>3328221807</v>
      </c>
      <c r="F557">
        <v>2498308613</v>
      </c>
      <c r="G557">
        <v>1254704083</v>
      </c>
      <c r="H557">
        <v>1389206420</v>
      </c>
      <c r="I557">
        <v>1288197154</v>
      </c>
      <c r="J557">
        <v>1107190694</v>
      </c>
      <c r="K557">
        <v>629936696</v>
      </c>
      <c r="L557">
        <v>730902648</v>
      </c>
      <c r="M557">
        <v>1051437655</v>
      </c>
      <c r="N557">
        <v>1347198511</v>
      </c>
      <c r="O557">
        <v>1301479322</v>
      </c>
      <c r="P557">
        <v>331</v>
      </c>
      <c r="Q557" t="s">
        <v>1319</v>
      </c>
    </row>
    <row r="558" spans="1:17" x14ac:dyDescent="0.3">
      <c r="A558" t="s">
        <v>75</v>
      </c>
      <c r="B558" t="str">
        <f>"000887"</f>
        <v>000887</v>
      </c>
      <c r="C558" t="s">
        <v>1320</v>
      </c>
      <c r="D558" t="s">
        <v>1321</v>
      </c>
      <c r="E558">
        <v>3326376086</v>
      </c>
      <c r="F558">
        <v>3089323160</v>
      </c>
      <c r="G558">
        <v>2488782452</v>
      </c>
      <c r="H558">
        <v>2593530159</v>
      </c>
      <c r="I558">
        <v>2773946867</v>
      </c>
      <c r="J558">
        <v>2166366515</v>
      </c>
      <c r="K558">
        <v>1529066757</v>
      </c>
      <c r="L558">
        <v>1318475374</v>
      </c>
      <c r="M558">
        <v>916011250</v>
      </c>
      <c r="N558">
        <v>758353204</v>
      </c>
      <c r="O558">
        <v>629979995</v>
      </c>
      <c r="P558">
        <v>7118</v>
      </c>
      <c r="Q558" t="s">
        <v>1322</v>
      </c>
    </row>
    <row r="559" spans="1:17" x14ac:dyDescent="0.3">
      <c r="A559" t="s">
        <v>17</v>
      </c>
      <c r="B559" t="str">
        <f>"600811"</f>
        <v>600811</v>
      </c>
      <c r="C559" t="s">
        <v>1323</v>
      </c>
      <c r="D559" t="s">
        <v>1284</v>
      </c>
      <c r="E559">
        <v>3319140798</v>
      </c>
      <c r="F559">
        <v>3090330015</v>
      </c>
      <c r="G559">
        <v>3293532288</v>
      </c>
      <c r="H559">
        <v>2712455933</v>
      </c>
      <c r="I559">
        <v>2483647079</v>
      </c>
      <c r="J559">
        <v>2084988862</v>
      </c>
      <c r="K559">
        <v>1444777614</v>
      </c>
      <c r="L559">
        <v>1680007719</v>
      </c>
      <c r="M559">
        <v>762718009</v>
      </c>
      <c r="N559">
        <v>2339100167</v>
      </c>
      <c r="O559">
        <v>1608676241</v>
      </c>
      <c r="P559">
        <v>205</v>
      </c>
      <c r="Q559" t="s">
        <v>1324</v>
      </c>
    </row>
    <row r="560" spans="1:17" x14ac:dyDescent="0.3">
      <c r="A560" t="s">
        <v>75</v>
      </c>
      <c r="B560" t="str">
        <f>"300755"</f>
        <v>300755</v>
      </c>
      <c r="C560" t="s">
        <v>1325</v>
      </c>
      <c r="D560" t="s">
        <v>241</v>
      </c>
      <c r="E560">
        <v>3314104497</v>
      </c>
      <c r="F560">
        <v>2352657254</v>
      </c>
      <c r="G560">
        <v>1244718116</v>
      </c>
      <c r="H560">
        <v>1219172900</v>
      </c>
      <c r="I560">
        <v>745218168</v>
      </c>
      <c r="P560">
        <v>246</v>
      </c>
      <c r="Q560" t="s">
        <v>1326</v>
      </c>
    </row>
    <row r="561" spans="1:17" x14ac:dyDescent="0.3">
      <c r="A561" t="s">
        <v>75</v>
      </c>
      <c r="B561" t="str">
        <f>"300068"</f>
        <v>300068</v>
      </c>
      <c r="C561" t="s">
        <v>1327</v>
      </c>
      <c r="D561" t="s">
        <v>605</v>
      </c>
      <c r="E561">
        <v>3307394517</v>
      </c>
      <c r="F561">
        <v>3074131343</v>
      </c>
      <c r="G561">
        <v>1253374198</v>
      </c>
      <c r="H561">
        <v>1646584640</v>
      </c>
      <c r="I561">
        <v>1846560496</v>
      </c>
      <c r="J561">
        <v>1985322161</v>
      </c>
      <c r="K561">
        <v>1404714870</v>
      </c>
      <c r="L561">
        <v>722448284</v>
      </c>
      <c r="M561">
        <v>868575290</v>
      </c>
      <c r="N561">
        <v>707606870</v>
      </c>
      <c r="O561">
        <v>678601607</v>
      </c>
      <c r="P561">
        <v>305</v>
      </c>
      <c r="Q561" t="s">
        <v>1328</v>
      </c>
    </row>
    <row r="562" spans="1:17" x14ac:dyDescent="0.3">
      <c r="A562" t="s">
        <v>75</v>
      </c>
      <c r="B562" t="str">
        <f>"002588"</f>
        <v>002588</v>
      </c>
      <c r="C562" t="s">
        <v>1329</v>
      </c>
      <c r="D562" t="s">
        <v>1047</v>
      </c>
      <c r="E562">
        <v>3302361499</v>
      </c>
      <c r="F562">
        <v>1800229489</v>
      </c>
      <c r="G562">
        <v>1890616025</v>
      </c>
      <c r="H562">
        <v>1631882985</v>
      </c>
      <c r="I562">
        <v>943335506</v>
      </c>
      <c r="J562">
        <v>1163307393</v>
      </c>
      <c r="K562">
        <v>1539630238</v>
      </c>
      <c r="L562">
        <v>1430962993</v>
      </c>
      <c r="M562">
        <v>1205150138</v>
      </c>
      <c r="N562">
        <v>1171628750</v>
      </c>
      <c r="O562">
        <v>1239006999</v>
      </c>
      <c r="P562">
        <v>164</v>
      </c>
      <c r="Q562" t="s">
        <v>1330</v>
      </c>
    </row>
    <row r="563" spans="1:17" x14ac:dyDescent="0.3">
      <c r="A563" t="s">
        <v>17</v>
      </c>
      <c r="B563" t="str">
        <f>"603967"</f>
        <v>603967</v>
      </c>
      <c r="C563" t="s">
        <v>1331</v>
      </c>
      <c r="D563" t="s">
        <v>229</v>
      </c>
      <c r="E563">
        <v>3299715641</v>
      </c>
      <c r="F563">
        <v>1825057564</v>
      </c>
      <c r="G563">
        <v>1042161672</v>
      </c>
      <c r="H563">
        <v>1034485214</v>
      </c>
      <c r="I563">
        <v>1021097497</v>
      </c>
      <c r="P563">
        <v>85</v>
      </c>
      <c r="Q563" t="s">
        <v>1332</v>
      </c>
    </row>
    <row r="564" spans="1:17" x14ac:dyDescent="0.3">
      <c r="A564" t="s">
        <v>17</v>
      </c>
      <c r="B564" t="str">
        <f>"601118"</f>
        <v>601118</v>
      </c>
      <c r="C564" t="s">
        <v>1333</v>
      </c>
      <c r="D564" t="s">
        <v>1334</v>
      </c>
      <c r="E564">
        <v>3299050632</v>
      </c>
      <c r="F564">
        <v>3453771524</v>
      </c>
      <c r="G564">
        <v>3257133653</v>
      </c>
      <c r="H564">
        <v>1660227365</v>
      </c>
      <c r="I564">
        <v>1220442274</v>
      </c>
      <c r="J564">
        <v>1579862775</v>
      </c>
      <c r="K564">
        <v>1348245724</v>
      </c>
      <c r="L564">
        <v>2025351029</v>
      </c>
      <c r="M564">
        <v>1859617749</v>
      </c>
      <c r="N564">
        <v>2814292596</v>
      </c>
      <c r="O564">
        <v>1899683091</v>
      </c>
      <c r="P564">
        <v>199</v>
      </c>
      <c r="Q564" t="s">
        <v>1335</v>
      </c>
    </row>
    <row r="565" spans="1:17" x14ac:dyDescent="0.3">
      <c r="A565" t="s">
        <v>17</v>
      </c>
      <c r="B565" t="str">
        <f>"600823"</f>
        <v>600823</v>
      </c>
      <c r="C565" t="s">
        <v>1336</v>
      </c>
      <c r="D565" t="s">
        <v>65</v>
      </c>
      <c r="E565">
        <v>3297914247</v>
      </c>
      <c r="F565">
        <v>6207955031</v>
      </c>
      <c r="G565">
        <v>2612786246</v>
      </c>
      <c r="H565">
        <v>2642993970</v>
      </c>
      <c r="I565">
        <v>4319867883</v>
      </c>
      <c r="J565">
        <v>2305126452</v>
      </c>
      <c r="K565">
        <v>2886347627</v>
      </c>
      <c r="L565">
        <v>1692279362</v>
      </c>
      <c r="M565">
        <v>1692260724</v>
      </c>
      <c r="N565">
        <v>1923143321</v>
      </c>
      <c r="O565">
        <v>1464864520</v>
      </c>
      <c r="P565">
        <v>1056</v>
      </c>
      <c r="Q565" t="s">
        <v>1337</v>
      </c>
    </row>
    <row r="566" spans="1:17" x14ac:dyDescent="0.3">
      <c r="A566" t="s">
        <v>75</v>
      </c>
      <c r="B566" t="str">
        <f>"000513"</f>
        <v>000513</v>
      </c>
      <c r="C566" t="s">
        <v>1338</v>
      </c>
      <c r="D566" t="s">
        <v>543</v>
      </c>
      <c r="E566">
        <v>3286409919</v>
      </c>
      <c r="F566">
        <v>3135230766</v>
      </c>
      <c r="G566">
        <v>2393907463</v>
      </c>
      <c r="H566">
        <v>2481118939</v>
      </c>
      <c r="I566">
        <v>2515185849</v>
      </c>
      <c r="J566">
        <v>2146546387</v>
      </c>
      <c r="K566">
        <v>1734553746</v>
      </c>
      <c r="L566">
        <v>1515490294</v>
      </c>
      <c r="M566">
        <v>1375047812</v>
      </c>
      <c r="N566">
        <v>987724095</v>
      </c>
      <c r="O566">
        <v>889352722</v>
      </c>
      <c r="P566">
        <v>1622</v>
      </c>
      <c r="Q566" t="s">
        <v>1339</v>
      </c>
    </row>
    <row r="567" spans="1:17" x14ac:dyDescent="0.3">
      <c r="A567" t="s">
        <v>17</v>
      </c>
      <c r="B567" t="str">
        <f>"600350"</f>
        <v>600350</v>
      </c>
      <c r="C567" t="s">
        <v>1340</v>
      </c>
      <c r="D567" t="s">
        <v>1248</v>
      </c>
      <c r="E567">
        <v>3243195038</v>
      </c>
      <c r="F567">
        <v>2859505909</v>
      </c>
      <c r="G567">
        <v>600681558</v>
      </c>
      <c r="H567">
        <v>2717153516</v>
      </c>
      <c r="I567">
        <v>771484031</v>
      </c>
      <c r="J567">
        <v>1686159097</v>
      </c>
      <c r="K567">
        <v>1717635982</v>
      </c>
      <c r="L567">
        <v>1197846672</v>
      </c>
      <c r="M567">
        <v>1677833586</v>
      </c>
      <c r="N567">
        <v>1116346429</v>
      </c>
      <c r="O567">
        <v>911133551</v>
      </c>
      <c r="P567">
        <v>1230</v>
      </c>
      <c r="Q567" t="s">
        <v>1341</v>
      </c>
    </row>
    <row r="568" spans="1:17" x14ac:dyDescent="0.3">
      <c r="A568" t="s">
        <v>75</v>
      </c>
      <c r="B568" t="str">
        <f>"002768"</f>
        <v>002768</v>
      </c>
      <c r="C568" t="s">
        <v>1342</v>
      </c>
      <c r="D568" t="s">
        <v>639</v>
      </c>
      <c r="E568">
        <v>3241267007</v>
      </c>
      <c r="F568">
        <v>1612804599</v>
      </c>
      <c r="G568">
        <v>1322277259</v>
      </c>
      <c r="H568">
        <v>661843981</v>
      </c>
      <c r="I568">
        <v>279942916</v>
      </c>
      <c r="J568">
        <v>161072729</v>
      </c>
      <c r="K568">
        <v>127016261</v>
      </c>
      <c r="L568">
        <v>0</v>
      </c>
      <c r="M568">
        <v>0</v>
      </c>
      <c r="P568">
        <v>595</v>
      </c>
      <c r="Q568" t="s">
        <v>1343</v>
      </c>
    </row>
    <row r="569" spans="1:17" x14ac:dyDescent="0.3">
      <c r="A569" t="s">
        <v>75</v>
      </c>
      <c r="B569" t="str">
        <f>"000990"</f>
        <v>000990</v>
      </c>
      <c r="C569" t="s">
        <v>1344</v>
      </c>
      <c r="D569" t="s">
        <v>589</v>
      </c>
      <c r="E569">
        <v>3239759633</v>
      </c>
      <c r="F569">
        <v>3172995829</v>
      </c>
      <c r="G569">
        <v>2473177642</v>
      </c>
      <c r="H569">
        <v>1528267175</v>
      </c>
      <c r="I569">
        <v>1498321432</v>
      </c>
      <c r="J569">
        <v>1675601083</v>
      </c>
      <c r="K569">
        <v>771621683</v>
      </c>
      <c r="L569">
        <v>798782633</v>
      </c>
      <c r="M569">
        <v>892268882</v>
      </c>
      <c r="N569">
        <v>1083186281</v>
      </c>
      <c r="O569">
        <v>1089939179</v>
      </c>
      <c r="P569">
        <v>194</v>
      </c>
      <c r="Q569" t="s">
        <v>1345</v>
      </c>
    </row>
    <row r="570" spans="1:17" x14ac:dyDescent="0.3">
      <c r="A570" t="s">
        <v>75</v>
      </c>
      <c r="B570" t="str">
        <f>"002701"</f>
        <v>002701</v>
      </c>
      <c r="C570" t="s">
        <v>1346</v>
      </c>
      <c r="D570" t="s">
        <v>1347</v>
      </c>
      <c r="E570">
        <v>3237150437</v>
      </c>
      <c r="F570">
        <v>3074448767</v>
      </c>
      <c r="G570">
        <v>2379535223</v>
      </c>
      <c r="H570">
        <v>1933969162</v>
      </c>
      <c r="I570">
        <v>1439051052</v>
      </c>
      <c r="J570">
        <v>1484790888</v>
      </c>
      <c r="K570">
        <v>1695038228</v>
      </c>
      <c r="L570">
        <v>1502441915</v>
      </c>
      <c r="M570">
        <v>1402017114</v>
      </c>
      <c r="N570">
        <v>1060540035</v>
      </c>
      <c r="O570">
        <v>911700144</v>
      </c>
      <c r="P570">
        <v>1656</v>
      </c>
      <c r="Q570" t="s">
        <v>1348</v>
      </c>
    </row>
    <row r="571" spans="1:17" x14ac:dyDescent="0.3">
      <c r="A571" t="s">
        <v>17</v>
      </c>
      <c r="B571" t="str">
        <f>"601366"</f>
        <v>601366</v>
      </c>
      <c r="C571" t="s">
        <v>1349</v>
      </c>
      <c r="D571" t="s">
        <v>359</v>
      </c>
      <c r="E571">
        <v>3234506162</v>
      </c>
      <c r="F571">
        <v>3373762918</v>
      </c>
      <c r="G571">
        <v>2703353779</v>
      </c>
      <c r="H571">
        <v>4065410660</v>
      </c>
      <c r="I571">
        <v>3489519293</v>
      </c>
      <c r="J571">
        <v>3391698470</v>
      </c>
      <c r="K571">
        <v>3396428830</v>
      </c>
      <c r="P571">
        <v>132</v>
      </c>
      <c r="Q571" t="s">
        <v>1350</v>
      </c>
    </row>
    <row r="572" spans="1:17" x14ac:dyDescent="0.3">
      <c r="A572" t="s">
        <v>75</v>
      </c>
      <c r="B572" t="str">
        <f>"300124"</f>
        <v>300124</v>
      </c>
      <c r="C572" t="s">
        <v>1351</v>
      </c>
      <c r="D572" t="s">
        <v>1352</v>
      </c>
      <c r="E572">
        <v>3229992990</v>
      </c>
      <c r="F572">
        <v>2653644314</v>
      </c>
      <c r="G572">
        <v>1728358640</v>
      </c>
      <c r="H572">
        <v>1234630217</v>
      </c>
      <c r="I572">
        <v>800799589</v>
      </c>
      <c r="J572">
        <v>636889056</v>
      </c>
      <c r="K572">
        <v>537669605</v>
      </c>
      <c r="L572">
        <v>556054604</v>
      </c>
      <c r="M572">
        <v>234885354</v>
      </c>
      <c r="N572">
        <v>241988203</v>
      </c>
      <c r="O572">
        <v>124711407</v>
      </c>
      <c r="P572">
        <v>2412</v>
      </c>
      <c r="Q572" t="s">
        <v>1353</v>
      </c>
    </row>
    <row r="573" spans="1:17" x14ac:dyDescent="0.3">
      <c r="A573" t="s">
        <v>75</v>
      </c>
      <c r="B573" t="str">
        <f>"002085"</f>
        <v>002085</v>
      </c>
      <c r="C573" t="s">
        <v>1354</v>
      </c>
      <c r="D573" t="s">
        <v>904</v>
      </c>
      <c r="E573">
        <v>3226673675</v>
      </c>
      <c r="F573">
        <v>3534412137</v>
      </c>
      <c r="G573">
        <v>2357156295</v>
      </c>
      <c r="H573">
        <v>2625405215</v>
      </c>
      <c r="I573">
        <v>2435654227</v>
      </c>
      <c r="J573">
        <v>2371023647</v>
      </c>
      <c r="K573">
        <v>2269755115</v>
      </c>
      <c r="L573">
        <v>1339486597</v>
      </c>
      <c r="M573">
        <v>1258018491</v>
      </c>
      <c r="N573">
        <v>975299767</v>
      </c>
      <c r="O573">
        <v>953643777</v>
      </c>
      <c r="P573">
        <v>1527</v>
      </c>
      <c r="Q573" t="s">
        <v>1355</v>
      </c>
    </row>
    <row r="574" spans="1:17" x14ac:dyDescent="0.3">
      <c r="A574" t="s">
        <v>75</v>
      </c>
      <c r="B574" t="str">
        <f>"002267"</f>
        <v>002267</v>
      </c>
      <c r="C574" t="s">
        <v>1356</v>
      </c>
      <c r="D574" t="s">
        <v>147</v>
      </c>
      <c r="E574">
        <v>3226202005</v>
      </c>
      <c r="F574">
        <v>2443635749</v>
      </c>
      <c r="G574">
        <v>3476789718</v>
      </c>
      <c r="H574">
        <v>4084866240</v>
      </c>
      <c r="I574">
        <v>3014807066</v>
      </c>
      <c r="J574">
        <v>2430155865</v>
      </c>
      <c r="K574">
        <v>2717418257</v>
      </c>
      <c r="L574">
        <v>2196267790</v>
      </c>
      <c r="M574">
        <v>1752146583</v>
      </c>
      <c r="N574">
        <v>1592136194</v>
      </c>
      <c r="O574">
        <v>1256754727</v>
      </c>
      <c r="P574">
        <v>202</v>
      </c>
      <c r="Q574" t="s">
        <v>1357</v>
      </c>
    </row>
    <row r="575" spans="1:17" x14ac:dyDescent="0.3">
      <c r="A575" t="s">
        <v>75</v>
      </c>
      <c r="B575" t="str">
        <f>"301116"</f>
        <v>301116</v>
      </c>
      <c r="C575" t="s">
        <v>1358</v>
      </c>
      <c r="D575" t="s">
        <v>1200</v>
      </c>
      <c r="E575">
        <v>3224676396</v>
      </c>
      <c r="P575">
        <v>11</v>
      </c>
      <c r="Q575" t="s">
        <v>1359</v>
      </c>
    </row>
    <row r="576" spans="1:17" x14ac:dyDescent="0.3">
      <c r="A576" t="s">
        <v>17</v>
      </c>
      <c r="B576" t="str">
        <f>"601179"</f>
        <v>601179</v>
      </c>
      <c r="C576" t="s">
        <v>1360</v>
      </c>
      <c r="D576" t="s">
        <v>347</v>
      </c>
      <c r="E576">
        <v>3218555343</v>
      </c>
      <c r="F576">
        <v>2820878376</v>
      </c>
      <c r="G576">
        <v>2781169322</v>
      </c>
      <c r="H576">
        <v>3275983641</v>
      </c>
      <c r="I576">
        <v>1652951938</v>
      </c>
      <c r="J576">
        <v>2841493662</v>
      </c>
      <c r="K576">
        <v>2110986671</v>
      </c>
      <c r="L576">
        <v>3571163238</v>
      </c>
      <c r="M576">
        <v>2578803351</v>
      </c>
      <c r="N576">
        <v>2427694887</v>
      </c>
      <c r="O576">
        <v>1876289757</v>
      </c>
      <c r="P576">
        <v>329</v>
      </c>
      <c r="Q576" t="s">
        <v>1361</v>
      </c>
    </row>
    <row r="577" spans="1:17" x14ac:dyDescent="0.3">
      <c r="A577" t="s">
        <v>75</v>
      </c>
      <c r="B577" t="str">
        <f>"300475"</f>
        <v>300475</v>
      </c>
      <c r="C577" t="s">
        <v>1362</v>
      </c>
      <c r="D577" t="s">
        <v>1063</v>
      </c>
      <c r="E577">
        <v>3210662020</v>
      </c>
      <c r="F577">
        <v>165550245</v>
      </c>
      <c r="G577">
        <v>97998423</v>
      </c>
      <c r="H577">
        <v>90397810</v>
      </c>
      <c r="I577">
        <v>101829407</v>
      </c>
      <c r="J577">
        <v>145136392</v>
      </c>
      <c r="K577">
        <v>93378821</v>
      </c>
      <c r="L577">
        <v>161626342</v>
      </c>
      <c r="M577">
        <v>73553843</v>
      </c>
      <c r="P577">
        <v>92</v>
      </c>
      <c r="Q577" t="s">
        <v>1363</v>
      </c>
    </row>
    <row r="578" spans="1:17" x14ac:dyDescent="0.3">
      <c r="A578" t="s">
        <v>17</v>
      </c>
      <c r="B578" t="str">
        <f>"603836"</f>
        <v>603836</v>
      </c>
      <c r="C578" t="s">
        <v>1364</v>
      </c>
      <c r="D578" t="s">
        <v>229</v>
      </c>
      <c r="E578">
        <v>3204817949</v>
      </c>
      <c r="F578">
        <v>1870167442</v>
      </c>
      <c r="G578">
        <v>532672026</v>
      </c>
      <c r="P578">
        <v>29</v>
      </c>
      <c r="Q578" t="s">
        <v>1365</v>
      </c>
    </row>
    <row r="579" spans="1:17" x14ac:dyDescent="0.3">
      <c r="A579" t="s">
        <v>17</v>
      </c>
      <c r="B579" t="str">
        <f>"600664"</f>
        <v>600664</v>
      </c>
      <c r="C579" t="s">
        <v>1366</v>
      </c>
      <c r="D579" t="s">
        <v>543</v>
      </c>
      <c r="E579">
        <v>3200077086</v>
      </c>
      <c r="F579">
        <v>2948993620</v>
      </c>
      <c r="G579">
        <v>3259735724</v>
      </c>
      <c r="H579">
        <v>2517728738</v>
      </c>
      <c r="I579">
        <v>2822059563</v>
      </c>
      <c r="J579">
        <v>3142817471</v>
      </c>
      <c r="K579">
        <v>4042202007</v>
      </c>
      <c r="L579">
        <v>3410143417</v>
      </c>
      <c r="M579">
        <v>3926301246</v>
      </c>
      <c r="N579">
        <v>3820916741</v>
      </c>
      <c r="O579">
        <v>4128021435</v>
      </c>
      <c r="P579">
        <v>499</v>
      </c>
      <c r="Q579" t="s">
        <v>1367</v>
      </c>
    </row>
    <row r="580" spans="1:17" x14ac:dyDescent="0.3">
      <c r="A580" t="s">
        <v>17</v>
      </c>
      <c r="B580" t="str">
        <f>"600284"</f>
        <v>600284</v>
      </c>
      <c r="C580" t="s">
        <v>1368</v>
      </c>
      <c r="D580" t="s">
        <v>27</v>
      </c>
      <c r="E580">
        <v>3192873895</v>
      </c>
      <c r="F580">
        <v>2532894908</v>
      </c>
      <c r="G580">
        <v>1362925658</v>
      </c>
      <c r="H580">
        <v>936383030</v>
      </c>
      <c r="I580">
        <v>1200342169</v>
      </c>
      <c r="J580">
        <v>997615301</v>
      </c>
      <c r="K580">
        <v>712188940</v>
      </c>
      <c r="L580">
        <v>999655446</v>
      </c>
      <c r="M580">
        <v>143677371</v>
      </c>
      <c r="N580">
        <v>184876489</v>
      </c>
      <c r="O580">
        <v>206843223</v>
      </c>
      <c r="P580">
        <v>172</v>
      </c>
      <c r="Q580" t="s">
        <v>1369</v>
      </c>
    </row>
    <row r="581" spans="1:17" x14ac:dyDescent="0.3">
      <c r="A581" t="s">
        <v>17</v>
      </c>
      <c r="B581" t="str">
        <f>"600726"</f>
        <v>600726</v>
      </c>
      <c r="C581" t="s">
        <v>1370</v>
      </c>
      <c r="D581" t="s">
        <v>88</v>
      </c>
      <c r="E581">
        <v>3192723940</v>
      </c>
      <c r="F581">
        <v>3119318788</v>
      </c>
      <c r="G581">
        <v>3375947169</v>
      </c>
      <c r="H581">
        <v>2852708569</v>
      </c>
      <c r="I581">
        <v>3010513491</v>
      </c>
      <c r="J581">
        <v>2698584847</v>
      </c>
      <c r="K581">
        <v>2415738394</v>
      </c>
      <c r="L581">
        <v>2866385624</v>
      </c>
      <c r="M581">
        <v>3121250362</v>
      </c>
      <c r="N581">
        <v>3346524509</v>
      </c>
      <c r="O581">
        <v>3196542242</v>
      </c>
      <c r="P581">
        <v>110</v>
      </c>
      <c r="Q581" t="s">
        <v>1371</v>
      </c>
    </row>
    <row r="582" spans="1:17" x14ac:dyDescent="0.3">
      <c r="A582" t="s">
        <v>75</v>
      </c>
      <c r="B582" t="str">
        <f>"002911"</f>
        <v>002911</v>
      </c>
      <c r="C582" t="s">
        <v>1372</v>
      </c>
      <c r="D582" t="s">
        <v>147</v>
      </c>
      <c r="E582">
        <v>3188545322</v>
      </c>
      <c r="F582">
        <v>2233931193</v>
      </c>
      <c r="G582">
        <v>1391346109</v>
      </c>
      <c r="H582">
        <v>1426296007</v>
      </c>
      <c r="I582">
        <v>1210259255</v>
      </c>
      <c r="J582">
        <v>1060777601</v>
      </c>
      <c r="P582">
        <v>183</v>
      </c>
      <c r="Q582" t="s">
        <v>1373</v>
      </c>
    </row>
    <row r="583" spans="1:17" x14ac:dyDescent="0.3">
      <c r="A583" t="s">
        <v>75</v>
      </c>
      <c r="B583" t="str">
        <f>"002242"</f>
        <v>002242</v>
      </c>
      <c r="C583" t="s">
        <v>1374</v>
      </c>
      <c r="D583" t="s">
        <v>939</v>
      </c>
      <c r="E583">
        <v>3185829510</v>
      </c>
      <c r="F583">
        <v>2575174677</v>
      </c>
      <c r="G583">
        <v>2316444862</v>
      </c>
      <c r="H583">
        <v>2362957241</v>
      </c>
      <c r="I583">
        <v>2381649846</v>
      </c>
      <c r="J583">
        <v>1925184985</v>
      </c>
      <c r="K583">
        <v>2004402984</v>
      </c>
      <c r="L583">
        <v>1921069874</v>
      </c>
      <c r="M583">
        <v>1576301146</v>
      </c>
      <c r="N583">
        <v>1520179488</v>
      </c>
      <c r="O583">
        <v>1393965667</v>
      </c>
      <c r="P583">
        <v>54902</v>
      </c>
      <c r="Q583" t="s">
        <v>1375</v>
      </c>
    </row>
    <row r="584" spans="1:17" x14ac:dyDescent="0.3">
      <c r="A584" t="s">
        <v>75</v>
      </c>
      <c r="B584" t="str">
        <f>"002505"</f>
        <v>002505</v>
      </c>
      <c r="C584" t="s">
        <v>1376</v>
      </c>
      <c r="D584" t="s">
        <v>1377</v>
      </c>
      <c r="E584">
        <v>3178383168</v>
      </c>
      <c r="F584">
        <v>2184301857</v>
      </c>
      <c r="G584">
        <v>1974857239</v>
      </c>
      <c r="H584">
        <v>2492940124</v>
      </c>
      <c r="I584">
        <v>2231715679</v>
      </c>
      <c r="J584">
        <v>3584235438</v>
      </c>
      <c r="K584">
        <v>1004048626</v>
      </c>
      <c r="L584">
        <v>147759237</v>
      </c>
      <c r="M584">
        <v>193507052</v>
      </c>
      <c r="N584">
        <v>198246702</v>
      </c>
      <c r="O584">
        <v>128821334</v>
      </c>
      <c r="P584">
        <v>209</v>
      </c>
      <c r="Q584" t="s">
        <v>1378</v>
      </c>
    </row>
    <row r="585" spans="1:17" x14ac:dyDescent="0.3">
      <c r="A585" t="s">
        <v>17</v>
      </c>
      <c r="B585" t="str">
        <f>"600744"</f>
        <v>600744</v>
      </c>
      <c r="C585" t="s">
        <v>1379</v>
      </c>
      <c r="D585" t="s">
        <v>88</v>
      </c>
      <c r="E585">
        <v>3172236695</v>
      </c>
      <c r="F585">
        <v>2176956360</v>
      </c>
      <c r="G585">
        <v>2508099274</v>
      </c>
      <c r="H585">
        <v>2904263452</v>
      </c>
      <c r="I585">
        <v>3410142078</v>
      </c>
      <c r="J585">
        <v>2086015136</v>
      </c>
      <c r="K585">
        <v>2028051182</v>
      </c>
      <c r="L585">
        <v>2011993406</v>
      </c>
      <c r="M585">
        <v>2020215669</v>
      </c>
      <c r="N585">
        <v>2480447689</v>
      </c>
      <c r="O585">
        <v>3101177027</v>
      </c>
      <c r="P585">
        <v>182</v>
      </c>
      <c r="Q585" t="s">
        <v>1380</v>
      </c>
    </row>
    <row r="586" spans="1:17" x14ac:dyDescent="0.3">
      <c r="A586" t="s">
        <v>75</v>
      </c>
      <c r="B586" t="str">
        <f>"002004"</f>
        <v>002004</v>
      </c>
      <c r="C586" t="s">
        <v>1381</v>
      </c>
      <c r="D586" t="s">
        <v>543</v>
      </c>
      <c r="E586">
        <v>3158826074</v>
      </c>
      <c r="F586">
        <v>2233972461</v>
      </c>
      <c r="G586">
        <v>2020687132</v>
      </c>
      <c r="H586">
        <v>2198968866</v>
      </c>
      <c r="I586">
        <v>2300997380</v>
      </c>
      <c r="J586">
        <v>1911847998</v>
      </c>
      <c r="K586">
        <v>1364834451</v>
      </c>
      <c r="L586">
        <v>1308664784</v>
      </c>
      <c r="M586">
        <v>1169610979</v>
      </c>
      <c r="N586">
        <v>1030764718</v>
      </c>
      <c r="O586">
        <v>886518549</v>
      </c>
      <c r="P586">
        <v>328</v>
      </c>
      <c r="Q586" t="s">
        <v>1382</v>
      </c>
    </row>
    <row r="587" spans="1:17" x14ac:dyDescent="0.3">
      <c r="A587" t="s">
        <v>75</v>
      </c>
      <c r="B587" t="str">
        <f>"000785"</f>
        <v>000785</v>
      </c>
      <c r="C587" t="s">
        <v>1383</v>
      </c>
      <c r="D587" t="s">
        <v>378</v>
      </c>
      <c r="E587">
        <v>3156879605</v>
      </c>
      <c r="F587">
        <v>2912286242</v>
      </c>
      <c r="G587">
        <v>1595532960</v>
      </c>
      <c r="H587">
        <v>1219571430</v>
      </c>
      <c r="I587">
        <v>1294345512</v>
      </c>
      <c r="J587">
        <v>1262086284</v>
      </c>
      <c r="K587">
        <v>1318819329</v>
      </c>
      <c r="L587">
        <v>1408764262</v>
      </c>
      <c r="M587">
        <v>1447573691</v>
      </c>
      <c r="N587">
        <v>1441687688</v>
      </c>
      <c r="O587">
        <v>1527316467</v>
      </c>
      <c r="P587">
        <v>333</v>
      </c>
      <c r="Q587" t="s">
        <v>1384</v>
      </c>
    </row>
    <row r="588" spans="1:17" x14ac:dyDescent="0.3">
      <c r="A588" t="s">
        <v>75</v>
      </c>
      <c r="B588" t="str">
        <f>"002100"</f>
        <v>002100</v>
      </c>
      <c r="C588" t="s">
        <v>1385</v>
      </c>
      <c r="D588" t="s">
        <v>824</v>
      </c>
      <c r="E588">
        <v>3148399563</v>
      </c>
      <c r="F588">
        <v>3460169195</v>
      </c>
      <c r="G588">
        <v>1948361985</v>
      </c>
      <c r="H588">
        <v>941136388</v>
      </c>
      <c r="I588">
        <v>819591899</v>
      </c>
      <c r="J588">
        <v>874146288</v>
      </c>
      <c r="K588">
        <v>846582846</v>
      </c>
      <c r="L588">
        <v>749079766</v>
      </c>
      <c r="M588">
        <v>731405450</v>
      </c>
      <c r="N588">
        <v>825950937</v>
      </c>
      <c r="O588">
        <v>647792353</v>
      </c>
      <c r="P588">
        <v>737</v>
      </c>
      <c r="Q588" t="s">
        <v>1386</v>
      </c>
    </row>
    <row r="589" spans="1:17" x14ac:dyDescent="0.3">
      <c r="A589" t="s">
        <v>75</v>
      </c>
      <c r="B589" t="str">
        <f>"300783"</f>
        <v>300783</v>
      </c>
      <c r="C589" t="s">
        <v>1387</v>
      </c>
      <c r="D589" t="s">
        <v>1268</v>
      </c>
      <c r="E589">
        <v>3125033015</v>
      </c>
      <c r="F589">
        <v>3716683321</v>
      </c>
      <c r="G589">
        <v>3882471497</v>
      </c>
      <c r="H589">
        <v>3388081953</v>
      </c>
      <c r="I589">
        <v>2634885609</v>
      </c>
      <c r="P589">
        <v>730</v>
      </c>
      <c r="Q589" t="s">
        <v>1388</v>
      </c>
    </row>
    <row r="590" spans="1:17" x14ac:dyDescent="0.3">
      <c r="A590" t="s">
        <v>17</v>
      </c>
      <c r="B590" t="str">
        <f>"603565"</f>
        <v>603565</v>
      </c>
      <c r="C590" t="s">
        <v>1389</v>
      </c>
      <c r="D590" t="s">
        <v>62</v>
      </c>
      <c r="E590">
        <v>3117780622</v>
      </c>
      <c r="F590">
        <v>2393878855</v>
      </c>
      <c r="G590">
        <v>2064196734</v>
      </c>
      <c r="P590">
        <v>225</v>
      </c>
      <c r="Q590" t="s">
        <v>1390</v>
      </c>
    </row>
    <row r="591" spans="1:17" x14ac:dyDescent="0.3">
      <c r="A591" t="s">
        <v>17</v>
      </c>
      <c r="B591" t="str">
        <f>"601015"</f>
        <v>601015</v>
      </c>
      <c r="C591" t="s">
        <v>1391</v>
      </c>
      <c r="D591" t="s">
        <v>837</v>
      </c>
      <c r="E591">
        <v>3115068287</v>
      </c>
      <c r="F591">
        <v>2258941969</v>
      </c>
      <c r="G591">
        <v>2730929928</v>
      </c>
      <c r="H591">
        <v>2863532033</v>
      </c>
      <c r="I591">
        <v>1928853347</v>
      </c>
      <c r="J591">
        <v>1564082857</v>
      </c>
      <c r="K591">
        <v>656857510</v>
      </c>
      <c r="L591">
        <v>521540164</v>
      </c>
      <c r="M591">
        <v>879601508</v>
      </c>
      <c r="P591">
        <v>212</v>
      </c>
      <c r="Q591" t="s">
        <v>1392</v>
      </c>
    </row>
    <row r="592" spans="1:17" x14ac:dyDescent="0.3">
      <c r="A592" t="s">
        <v>75</v>
      </c>
      <c r="B592" t="str">
        <f>"002602"</f>
        <v>002602</v>
      </c>
      <c r="C592" t="s">
        <v>1393</v>
      </c>
      <c r="D592" t="s">
        <v>1165</v>
      </c>
      <c r="E592">
        <v>3096832195</v>
      </c>
      <c r="F592">
        <v>3276617266</v>
      </c>
      <c r="G592">
        <v>3186078188</v>
      </c>
      <c r="H592">
        <v>1857768902</v>
      </c>
      <c r="I592">
        <v>1301263987</v>
      </c>
      <c r="J592">
        <v>811800062</v>
      </c>
      <c r="K592">
        <v>838294726</v>
      </c>
      <c r="L592">
        <v>496318529</v>
      </c>
      <c r="M592">
        <v>313954804</v>
      </c>
      <c r="N592">
        <v>255267714</v>
      </c>
      <c r="O592">
        <v>218292493</v>
      </c>
      <c r="P592">
        <v>718</v>
      </c>
      <c r="Q592" t="s">
        <v>1394</v>
      </c>
    </row>
    <row r="593" spans="1:17" x14ac:dyDescent="0.3">
      <c r="A593" t="s">
        <v>75</v>
      </c>
      <c r="B593" t="str">
        <f>"002375"</f>
        <v>002375</v>
      </c>
      <c r="C593" t="s">
        <v>1395</v>
      </c>
      <c r="D593" t="s">
        <v>707</v>
      </c>
      <c r="E593">
        <v>3090750346</v>
      </c>
      <c r="F593">
        <v>2968777443</v>
      </c>
      <c r="G593">
        <v>2064325545</v>
      </c>
      <c r="H593">
        <v>2787640674</v>
      </c>
      <c r="I593">
        <v>2837807441</v>
      </c>
      <c r="J593">
        <v>2287938782</v>
      </c>
      <c r="K593">
        <v>2365237758</v>
      </c>
      <c r="L593">
        <v>2406908779</v>
      </c>
      <c r="M593">
        <v>2287787352</v>
      </c>
      <c r="N593">
        <v>2067231973</v>
      </c>
      <c r="O593">
        <v>1379517794</v>
      </c>
      <c r="P593">
        <v>176</v>
      </c>
      <c r="Q593" t="s">
        <v>1396</v>
      </c>
    </row>
    <row r="594" spans="1:17" x14ac:dyDescent="0.3">
      <c r="A594" t="s">
        <v>17</v>
      </c>
      <c r="B594" t="str">
        <f>"600458"</f>
        <v>600458</v>
      </c>
      <c r="C594" t="s">
        <v>1397</v>
      </c>
      <c r="D594" t="s">
        <v>1398</v>
      </c>
      <c r="E594">
        <v>3086605648</v>
      </c>
      <c r="F594">
        <v>3080638215</v>
      </c>
      <c r="G594">
        <v>2873315712</v>
      </c>
      <c r="H594">
        <v>2720596163</v>
      </c>
      <c r="I594">
        <v>2939715894</v>
      </c>
      <c r="J594">
        <v>2477729539</v>
      </c>
      <c r="K594">
        <v>2148417116</v>
      </c>
      <c r="L594">
        <v>2135530969</v>
      </c>
      <c r="M594">
        <v>622940964</v>
      </c>
      <c r="N594">
        <v>500099674</v>
      </c>
      <c r="O594">
        <v>525627324</v>
      </c>
      <c r="P594">
        <v>244</v>
      </c>
      <c r="Q594" t="s">
        <v>1399</v>
      </c>
    </row>
    <row r="595" spans="1:17" x14ac:dyDescent="0.3">
      <c r="A595" t="s">
        <v>75</v>
      </c>
      <c r="B595" t="str">
        <f>"002135"</f>
        <v>002135</v>
      </c>
      <c r="C595" t="s">
        <v>1400</v>
      </c>
      <c r="D595" t="s">
        <v>1028</v>
      </c>
      <c r="E595">
        <v>3058835402</v>
      </c>
      <c r="F595">
        <v>2564154260</v>
      </c>
      <c r="G595">
        <v>2508788964</v>
      </c>
      <c r="H595">
        <v>2674120722</v>
      </c>
      <c r="I595">
        <v>2104231617</v>
      </c>
      <c r="J595">
        <v>1936078668</v>
      </c>
      <c r="K595">
        <v>1363292955</v>
      </c>
      <c r="L595">
        <v>1506119309</v>
      </c>
      <c r="M595">
        <v>920783875</v>
      </c>
      <c r="N595">
        <v>955308099</v>
      </c>
      <c r="O595">
        <v>767314416</v>
      </c>
      <c r="P595">
        <v>163</v>
      </c>
      <c r="Q595" t="s">
        <v>1401</v>
      </c>
    </row>
    <row r="596" spans="1:17" x14ac:dyDescent="0.3">
      <c r="A596" t="s">
        <v>17</v>
      </c>
      <c r="B596" t="str">
        <f>"600361"</f>
        <v>600361</v>
      </c>
      <c r="C596" t="s">
        <v>1402</v>
      </c>
      <c r="D596" t="s">
        <v>208</v>
      </c>
      <c r="E596">
        <v>3051851320</v>
      </c>
      <c r="F596">
        <v>3132571253</v>
      </c>
      <c r="G596">
        <v>4131653138</v>
      </c>
      <c r="H596">
        <v>3797790364</v>
      </c>
      <c r="I596">
        <v>3853105302</v>
      </c>
      <c r="J596">
        <v>4111508615</v>
      </c>
      <c r="K596">
        <v>4231852841</v>
      </c>
      <c r="L596">
        <v>4517945275</v>
      </c>
      <c r="M596">
        <v>3931427009</v>
      </c>
      <c r="N596">
        <v>3952471972</v>
      </c>
      <c r="O596">
        <v>3813336451</v>
      </c>
      <c r="P596">
        <v>134</v>
      </c>
      <c r="Q596" t="s">
        <v>1403</v>
      </c>
    </row>
    <row r="597" spans="1:17" x14ac:dyDescent="0.3">
      <c r="A597" t="s">
        <v>17</v>
      </c>
      <c r="B597" t="str">
        <f>"601228"</f>
        <v>601228</v>
      </c>
      <c r="C597" t="s">
        <v>1404</v>
      </c>
      <c r="D597" t="s">
        <v>383</v>
      </c>
      <c r="E597">
        <v>3044337345</v>
      </c>
      <c r="F597">
        <v>2925544198</v>
      </c>
      <c r="G597">
        <v>2424535476</v>
      </c>
      <c r="H597">
        <v>2346226477</v>
      </c>
      <c r="I597">
        <v>2093959291</v>
      </c>
      <c r="J597">
        <v>1705137935</v>
      </c>
      <c r="K597">
        <v>1216378102</v>
      </c>
      <c r="P597">
        <v>189</v>
      </c>
      <c r="Q597" t="s">
        <v>1405</v>
      </c>
    </row>
    <row r="598" spans="1:17" x14ac:dyDescent="0.3">
      <c r="A598" t="s">
        <v>17</v>
      </c>
      <c r="B598" t="str">
        <f>"600025"</f>
        <v>600025</v>
      </c>
      <c r="C598" t="s">
        <v>1406</v>
      </c>
      <c r="D598" t="s">
        <v>528</v>
      </c>
      <c r="E598">
        <v>3042153981</v>
      </c>
      <c r="F598">
        <v>4020504976</v>
      </c>
      <c r="G598">
        <v>4021256417</v>
      </c>
      <c r="H598">
        <v>4079542690</v>
      </c>
      <c r="I598">
        <v>3381926613</v>
      </c>
      <c r="J598">
        <v>2289333909</v>
      </c>
      <c r="P598">
        <v>766</v>
      </c>
      <c r="Q598" t="s">
        <v>1407</v>
      </c>
    </row>
    <row r="599" spans="1:17" x14ac:dyDescent="0.3">
      <c r="A599" t="s">
        <v>75</v>
      </c>
      <c r="B599" t="str">
        <f>"002920"</f>
        <v>002920</v>
      </c>
      <c r="C599" t="s">
        <v>1408</v>
      </c>
      <c r="D599" t="s">
        <v>116</v>
      </c>
      <c r="E599">
        <v>3041180539</v>
      </c>
      <c r="F599">
        <v>1622986477</v>
      </c>
      <c r="G599">
        <v>1276659341</v>
      </c>
      <c r="H599">
        <v>1076599039</v>
      </c>
      <c r="I599">
        <v>1204111955</v>
      </c>
      <c r="J599">
        <v>1361927734</v>
      </c>
      <c r="P599">
        <v>688</v>
      </c>
      <c r="Q599" t="s">
        <v>1409</v>
      </c>
    </row>
    <row r="600" spans="1:17" x14ac:dyDescent="0.3">
      <c r="A600" t="s">
        <v>75</v>
      </c>
      <c r="B600" t="str">
        <f>"000875"</f>
        <v>000875</v>
      </c>
      <c r="C600" t="s">
        <v>1410</v>
      </c>
      <c r="D600" t="s">
        <v>457</v>
      </c>
      <c r="E600">
        <v>3035253156</v>
      </c>
      <c r="F600">
        <v>2652661563</v>
      </c>
      <c r="G600">
        <v>1659091043</v>
      </c>
      <c r="H600">
        <v>1818481360</v>
      </c>
      <c r="I600">
        <v>1516326743</v>
      </c>
      <c r="J600">
        <v>1031997294</v>
      </c>
      <c r="K600">
        <v>993917352</v>
      </c>
      <c r="L600">
        <v>1161773764</v>
      </c>
      <c r="M600">
        <v>955847714</v>
      </c>
      <c r="N600">
        <v>1054740855</v>
      </c>
      <c r="O600">
        <v>1292575699</v>
      </c>
      <c r="P600">
        <v>278</v>
      </c>
      <c r="Q600" t="s">
        <v>1411</v>
      </c>
    </row>
    <row r="601" spans="1:17" x14ac:dyDescent="0.3">
      <c r="A601" t="s">
        <v>75</v>
      </c>
      <c r="B601" t="str">
        <f>"000810"</f>
        <v>000810</v>
      </c>
      <c r="C601" t="s">
        <v>1412</v>
      </c>
      <c r="D601" t="s">
        <v>1413</v>
      </c>
      <c r="E601">
        <v>3031352544</v>
      </c>
      <c r="F601">
        <v>2520634873</v>
      </c>
      <c r="G601">
        <v>2604927256</v>
      </c>
      <c r="H601">
        <v>2046921356</v>
      </c>
      <c r="I601">
        <v>1722754707</v>
      </c>
      <c r="J601">
        <v>1729077919</v>
      </c>
      <c r="K601">
        <v>2037729945</v>
      </c>
      <c r="L601">
        <v>797745755</v>
      </c>
      <c r="M601">
        <v>228472853</v>
      </c>
      <c r="N601">
        <v>288107857</v>
      </c>
      <c r="O601">
        <v>265414481</v>
      </c>
      <c r="P601">
        <v>384</v>
      </c>
      <c r="Q601" t="s">
        <v>1414</v>
      </c>
    </row>
    <row r="602" spans="1:17" x14ac:dyDescent="0.3">
      <c r="A602" t="s">
        <v>17</v>
      </c>
      <c r="B602" t="str">
        <f>"600298"</f>
        <v>600298</v>
      </c>
      <c r="C602" t="s">
        <v>1415</v>
      </c>
      <c r="D602" t="s">
        <v>774</v>
      </c>
      <c r="E602">
        <v>3026217800</v>
      </c>
      <c r="F602">
        <v>2575438640</v>
      </c>
      <c r="G602">
        <v>2061798591</v>
      </c>
      <c r="H602">
        <v>1845523282</v>
      </c>
      <c r="I602">
        <v>1647078914</v>
      </c>
      <c r="J602">
        <v>1346446838</v>
      </c>
      <c r="K602">
        <v>1202188611</v>
      </c>
      <c r="L602">
        <v>1002786908</v>
      </c>
      <c r="M602">
        <v>902963063</v>
      </c>
      <c r="N602">
        <v>676296770</v>
      </c>
      <c r="O602">
        <v>659601039</v>
      </c>
      <c r="P602">
        <v>4513</v>
      </c>
      <c r="Q602" t="s">
        <v>1416</v>
      </c>
    </row>
    <row r="603" spans="1:17" x14ac:dyDescent="0.3">
      <c r="A603" t="s">
        <v>17</v>
      </c>
      <c r="B603" t="str">
        <f>"601106"</f>
        <v>601106</v>
      </c>
      <c r="C603" t="s">
        <v>1417</v>
      </c>
      <c r="D603" t="s">
        <v>786</v>
      </c>
      <c r="E603">
        <v>3023047674</v>
      </c>
      <c r="F603">
        <v>2797159209</v>
      </c>
      <c r="G603">
        <v>2336069572</v>
      </c>
      <c r="H603">
        <v>1451502334</v>
      </c>
      <c r="I603">
        <v>2510068404</v>
      </c>
      <c r="J603">
        <v>1075163262</v>
      </c>
      <c r="K603">
        <v>324789641</v>
      </c>
      <c r="L603">
        <v>807266982</v>
      </c>
      <c r="M603">
        <v>851096558</v>
      </c>
      <c r="N603">
        <v>987365270</v>
      </c>
      <c r="O603">
        <v>1087708927</v>
      </c>
      <c r="P603">
        <v>175</v>
      </c>
      <c r="Q603" t="s">
        <v>1418</v>
      </c>
    </row>
    <row r="604" spans="1:17" x14ac:dyDescent="0.3">
      <c r="A604" t="s">
        <v>17</v>
      </c>
      <c r="B604" t="str">
        <f>"600026"</f>
        <v>600026</v>
      </c>
      <c r="C604" t="s">
        <v>1419</v>
      </c>
      <c r="D604" t="s">
        <v>62</v>
      </c>
      <c r="E604">
        <v>3020328255</v>
      </c>
      <c r="F604">
        <v>2730635962</v>
      </c>
      <c r="G604">
        <v>3236721934</v>
      </c>
      <c r="H604">
        <v>3529276510</v>
      </c>
      <c r="I604">
        <v>2116942111</v>
      </c>
      <c r="J604">
        <v>2531620160</v>
      </c>
      <c r="K604">
        <v>3150062762</v>
      </c>
      <c r="L604">
        <v>2580906026</v>
      </c>
      <c r="M604">
        <v>3188260144</v>
      </c>
      <c r="N604">
        <v>2942231859</v>
      </c>
      <c r="O604">
        <v>2721916672</v>
      </c>
      <c r="P604">
        <v>401</v>
      </c>
      <c r="Q604" t="s">
        <v>1420</v>
      </c>
    </row>
    <row r="605" spans="1:17" x14ac:dyDescent="0.3">
      <c r="A605" t="s">
        <v>17</v>
      </c>
      <c r="B605" t="str">
        <f>"601615"</f>
        <v>601615</v>
      </c>
      <c r="C605" t="s">
        <v>1421</v>
      </c>
      <c r="D605" t="s">
        <v>660</v>
      </c>
      <c r="E605">
        <v>3009379288</v>
      </c>
      <c r="F605">
        <v>3721876132</v>
      </c>
      <c r="G605">
        <v>6544577094</v>
      </c>
      <c r="H605">
        <v>1014959505</v>
      </c>
      <c r="I605">
        <v>1172333699</v>
      </c>
      <c r="P605">
        <v>1068</v>
      </c>
      <c r="Q605" t="s">
        <v>1422</v>
      </c>
    </row>
    <row r="606" spans="1:17" x14ac:dyDescent="0.3">
      <c r="A606" t="s">
        <v>75</v>
      </c>
      <c r="B606" t="str">
        <f>"002444"</f>
        <v>002444</v>
      </c>
      <c r="C606" t="s">
        <v>1423</v>
      </c>
      <c r="D606" t="s">
        <v>1424</v>
      </c>
      <c r="E606">
        <v>2998878866</v>
      </c>
      <c r="F606">
        <v>1957864043</v>
      </c>
      <c r="G606">
        <v>1450413911</v>
      </c>
      <c r="H606">
        <v>1384038870</v>
      </c>
      <c r="I606">
        <v>1047031462</v>
      </c>
      <c r="J606">
        <v>851157394</v>
      </c>
      <c r="K606">
        <v>673342833</v>
      </c>
      <c r="L606">
        <v>696820451</v>
      </c>
      <c r="M606">
        <v>637807653</v>
      </c>
      <c r="N606">
        <v>586951019</v>
      </c>
      <c r="O606">
        <v>623271597</v>
      </c>
      <c r="P606">
        <v>656</v>
      </c>
      <c r="Q606" t="s">
        <v>1425</v>
      </c>
    </row>
    <row r="607" spans="1:17" x14ac:dyDescent="0.3">
      <c r="A607" t="s">
        <v>75</v>
      </c>
      <c r="B607" t="str">
        <f>"002102"</f>
        <v>002102</v>
      </c>
      <c r="C607" t="s">
        <v>1426</v>
      </c>
      <c r="D607" t="s">
        <v>1242</v>
      </c>
      <c r="E607">
        <v>2985091688</v>
      </c>
      <c r="F607">
        <v>3280441048</v>
      </c>
      <c r="G607">
        <v>2499092123</v>
      </c>
      <c r="H607">
        <v>3208821922</v>
      </c>
      <c r="I607">
        <v>3543435223</v>
      </c>
      <c r="J607">
        <v>1881928894</v>
      </c>
      <c r="K607">
        <v>249091471</v>
      </c>
      <c r="L607">
        <v>396081251</v>
      </c>
      <c r="M607">
        <v>136989483</v>
      </c>
      <c r="N607">
        <v>456659712</v>
      </c>
      <c r="O607">
        <v>602055940</v>
      </c>
      <c r="P607">
        <v>119</v>
      </c>
      <c r="Q607" t="s">
        <v>1427</v>
      </c>
    </row>
    <row r="608" spans="1:17" x14ac:dyDescent="0.3">
      <c r="A608" t="s">
        <v>17</v>
      </c>
      <c r="B608" t="str">
        <f>"600277"</f>
        <v>600277</v>
      </c>
      <c r="C608" t="s">
        <v>1428</v>
      </c>
      <c r="D608" t="s">
        <v>311</v>
      </c>
      <c r="E608">
        <v>2983612731</v>
      </c>
      <c r="F608">
        <v>3196124744</v>
      </c>
      <c r="G608">
        <v>2425842829</v>
      </c>
      <c r="H608">
        <v>3187616617</v>
      </c>
      <c r="I608">
        <v>3789976058</v>
      </c>
      <c r="J608">
        <v>2430548949</v>
      </c>
      <c r="K608">
        <v>1176699888</v>
      </c>
      <c r="L608">
        <v>1033070003</v>
      </c>
      <c r="M608">
        <v>2642895821</v>
      </c>
      <c r="N608">
        <v>2748807330</v>
      </c>
      <c r="O608">
        <v>1880245503</v>
      </c>
      <c r="P608">
        <v>187</v>
      </c>
      <c r="Q608" t="s">
        <v>1429</v>
      </c>
    </row>
    <row r="609" spans="1:17" x14ac:dyDescent="0.3">
      <c r="A609" t="s">
        <v>75</v>
      </c>
      <c r="B609" t="str">
        <f>"300866"</f>
        <v>300866</v>
      </c>
      <c r="C609" t="s">
        <v>1430</v>
      </c>
      <c r="D609" t="s">
        <v>505</v>
      </c>
      <c r="E609">
        <v>2978788588</v>
      </c>
      <c r="F609">
        <v>2586770179</v>
      </c>
      <c r="G609">
        <v>1575720589</v>
      </c>
      <c r="P609">
        <v>311</v>
      </c>
      <c r="Q609" t="s">
        <v>1431</v>
      </c>
    </row>
    <row r="610" spans="1:17" x14ac:dyDescent="0.3">
      <c r="A610" t="s">
        <v>17</v>
      </c>
      <c r="B610" t="str">
        <f>"601928"</f>
        <v>601928</v>
      </c>
      <c r="C610" t="s">
        <v>1432</v>
      </c>
      <c r="D610" t="s">
        <v>1433</v>
      </c>
      <c r="E610">
        <v>2977776319</v>
      </c>
      <c r="F610">
        <v>2520405281</v>
      </c>
      <c r="G610">
        <v>1809707018</v>
      </c>
      <c r="H610">
        <v>2883876318</v>
      </c>
      <c r="I610">
        <v>2369699631</v>
      </c>
      <c r="J610">
        <v>2368024173</v>
      </c>
      <c r="K610">
        <v>2233728823</v>
      </c>
      <c r="L610">
        <v>2062140360</v>
      </c>
      <c r="M610">
        <v>1839258213</v>
      </c>
      <c r="N610">
        <v>1668985068</v>
      </c>
      <c r="O610">
        <v>1869812833</v>
      </c>
      <c r="P610">
        <v>551</v>
      </c>
      <c r="Q610" t="s">
        <v>1434</v>
      </c>
    </row>
    <row r="611" spans="1:17" x14ac:dyDescent="0.3">
      <c r="A611" t="s">
        <v>75</v>
      </c>
      <c r="B611" t="str">
        <f>"000012"</f>
        <v>000012</v>
      </c>
      <c r="C611" t="s">
        <v>1435</v>
      </c>
      <c r="D611" t="s">
        <v>1436</v>
      </c>
      <c r="E611">
        <v>2975194851</v>
      </c>
      <c r="F611">
        <v>2989003056</v>
      </c>
      <c r="G611">
        <v>1783332428</v>
      </c>
      <c r="H611">
        <v>2268333166</v>
      </c>
      <c r="I611">
        <v>2585745573</v>
      </c>
      <c r="J611">
        <v>2374403974</v>
      </c>
      <c r="K611">
        <v>2229364142</v>
      </c>
      <c r="L611">
        <v>1638344300</v>
      </c>
      <c r="M611">
        <v>1702304935</v>
      </c>
      <c r="N611">
        <v>1788311553</v>
      </c>
      <c r="O611">
        <v>1744119375</v>
      </c>
      <c r="P611">
        <v>409</v>
      </c>
      <c r="Q611" t="s">
        <v>1437</v>
      </c>
    </row>
    <row r="612" spans="1:17" x14ac:dyDescent="0.3">
      <c r="A612" t="s">
        <v>17</v>
      </c>
      <c r="B612" t="str">
        <f>"600761"</f>
        <v>600761</v>
      </c>
      <c r="C612" t="s">
        <v>1438</v>
      </c>
      <c r="D612" t="s">
        <v>262</v>
      </c>
      <c r="E612">
        <v>2972845849</v>
      </c>
      <c r="F612">
        <v>2589706975</v>
      </c>
      <c r="G612">
        <v>1439551475</v>
      </c>
      <c r="H612">
        <v>1837912320</v>
      </c>
      <c r="I612">
        <v>1701250704</v>
      </c>
      <c r="J612">
        <v>1440441480</v>
      </c>
      <c r="K612">
        <v>1130243301</v>
      </c>
      <c r="L612">
        <v>1103176308</v>
      </c>
      <c r="M612">
        <v>1186844296</v>
      </c>
      <c r="N612">
        <v>1090248116</v>
      </c>
      <c r="O612">
        <v>1038573482</v>
      </c>
      <c r="P612">
        <v>442</v>
      </c>
      <c r="Q612" t="s">
        <v>1439</v>
      </c>
    </row>
    <row r="613" spans="1:17" x14ac:dyDescent="0.3">
      <c r="A613" t="s">
        <v>17</v>
      </c>
      <c r="B613" t="str">
        <f>"600480"</f>
        <v>600480</v>
      </c>
      <c r="C613" t="s">
        <v>1440</v>
      </c>
      <c r="D613" t="s">
        <v>1321</v>
      </c>
      <c r="E613">
        <v>2968855221</v>
      </c>
      <c r="F613">
        <v>2453232845</v>
      </c>
      <c r="G613">
        <v>1894125747</v>
      </c>
      <c r="H613">
        <v>1702267039</v>
      </c>
      <c r="I613">
        <v>2155990007</v>
      </c>
      <c r="J613">
        <v>1851545777</v>
      </c>
      <c r="K613">
        <v>1219868812</v>
      </c>
      <c r="L613">
        <v>1143005157</v>
      </c>
      <c r="M613">
        <v>950507391</v>
      </c>
      <c r="N613">
        <v>727022149</v>
      </c>
      <c r="O613">
        <v>684073530</v>
      </c>
      <c r="P613">
        <v>171</v>
      </c>
      <c r="Q613" t="s">
        <v>1441</v>
      </c>
    </row>
    <row r="614" spans="1:17" x14ac:dyDescent="0.3">
      <c r="A614" t="s">
        <v>75</v>
      </c>
      <c r="B614" t="str">
        <f>"000860"</f>
        <v>000860</v>
      </c>
      <c r="C614" t="s">
        <v>1442</v>
      </c>
      <c r="D614" t="s">
        <v>201</v>
      </c>
      <c r="E614">
        <v>2966344128</v>
      </c>
      <c r="F614">
        <v>4294540629</v>
      </c>
      <c r="G614">
        <v>4499606980</v>
      </c>
      <c r="H614">
        <v>5222321953</v>
      </c>
      <c r="I614">
        <v>4786540453</v>
      </c>
      <c r="J614">
        <v>4677513122</v>
      </c>
      <c r="K614">
        <v>4157419478</v>
      </c>
      <c r="L614">
        <v>3817954863</v>
      </c>
      <c r="M614">
        <v>3774351699</v>
      </c>
      <c r="N614">
        <v>3547393962</v>
      </c>
      <c r="O614">
        <v>2523353461</v>
      </c>
      <c r="P614">
        <v>1515</v>
      </c>
      <c r="Q614" t="s">
        <v>1443</v>
      </c>
    </row>
    <row r="615" spans="1:17" x14ac:dyDescent="0.3">
      <c r="A615" t="s">
        <v>75</v>
      </c>
      <c r="B615" t="str">
        <f>"002060"</f>
        <v>002060</v>
      </c>
      <c r="C615" t="s">
        <v>1444</v>
      </c>
      <c r="D615" t="s">
        <v>27</v>
      </c>
      <c r="E615">
        <v>2965547858</v>
      </c>
      <c r="F615">
        <v>3207209487</v>
      </c>
      <c r="G615">
        <v>3005055812</v>
      </c>
      <c r="H615">
        <v>2834324786</v>
      </c>
      <c r="I615">
        <v>2127559182</v>
      </c>
      <c r="J615">
        <v>1696373383</v>
      </c>
      <c r="K615">
        <v>1562809766</v>
      </c>
      <c r="L615">
        <v>1477973210</v>
      </c>
      <c r="M615">
        <v>1393983575</v>
      </c>
      <c r="N615">
        <v>1144714742</v>
      </c>
      <c r="O615">
        <v>587948765</v>
      </c>
      <c r="P615">
        <v>169</v>
      </c>
      <c r="Q615" t="s">
        <v>1445</v>
      </c>
    </row>
    <row r="616" spans="1:17" x14ac:dyDescent="0.3">
      <c r="A616" t="s">
        <v>17</v>
      </c>
      <c r="B616" t="str">
        <f>"600129"</f>
        <v>600129</v>
      </c>
      <c r="C616" t="s">
        <v>1446</v>
      </c>
      <c r="D616" t="s">
        <v>321</v>
      </c>
      <c r="E616">
        <v>2950674115</v>
      </c>
      <c r="F616">
        <v>2261884859</v>
      </c>
      <c r="G616">
        <v>2277561157</v>
      </c>
      <c r="H616">
        <v>2750752674</v>
      </c>
      <c r="I616">
        <v>1972341136</v>
      </c>
      <c r="J616">
        <v>1726395169</v>
      </c>
      <c r="K616">
        <v>1732323265</v>
      </c>
      <c r="L616">
        <v>1911742160</v>
      </c>
      <c r="M616">
        <v>1826631289</v>
      </c>
      <c r="N616">
        <v>1788119897</v>
      </c>
      <c r="O616">
        <v>2108957934</v>
      </c>
      <c r="P616">
        <v>283</v>
      </c>
      <c r="Q616" t="s">
        <v>1447</v>
      </c>
    </row>
    <row r="617" spans="1:17" x14ac:dyDescent="0.3">
      <c r="A617" t="s">
        <v>17</v>
      </c>
      <c r="B617" t="str">
        <f>"601311"</f>
        <v>601311</v>
      </c>
      <c r="C617" t="s">
        <v>1448</v>
      </c>
      <c r="D617" t="s">
        <v>605</v>
      </c>
      <c r="E617">
        <v>2949153050</v>
      </c>
      <c r="F617">
        <v>2962795181</v>
      </c>
      <c r="G617">
        <v>1836542530</v>
      </c>
      <c r="H617">
        <v>2041288943</v>
      </c>
      <c r="I617">
        <v>1490128138</v>
      </c>
      <c r="J617">
        <v>1328530066</v>
      </c>
      <c r="K617">
        <v>1243016925</v>
      </c>
      <c r="L617">
        <v>977456016</v>
      </c>
      <c r="M617">
        <v>1140790317</v>
      </c>
      <c r="N617">
        <v>967658025</v>
      </c>
      <c r="O617">
        <v>890126500</v>
      </c>
      <c r="P617">
        <v>339</v>
      </c>
      <c r="Q617" t="s">
        <v>1449</v>
      </c>
    </row>
    <row r="618" spans="1:17" x14ac:dyDescent="0.3">
      <c r="A618" t="s">
        <v>17</v>
      </c>
      <c r="B618" t="str">
        <f>"600905"</f>
        <v>600905</v>
      </c>
      <c r="C618" t="s">
        <v>1450</v>
      </c>
      <c r="D618" t="s">
        <v>869</v>
      </c>
      <c r="E618">
        <v>2942882408</v>
      </c>
      <c r="F618">
        <v>3224235997</v>
      </c>
      <c r="G618">
        <v>1382565923</v>
      </c>
      <c r="P618">
        <v>657</v>
      </c>
      <c r="Q618" t="s">
        <v>1451</v>
      </c>
    </row>
    <row r="619" spans="1:17" x14ac:dyDescent="0.3">
      <c r="A619" t="s">
        <v>17</v>
      </c>
      <c r="B619" t="str">
        <f>"600267"</f>
        <v>600267</v>
      </c>
      <c r="C619" t="s">
        <v>1452</v>
      </c>
      <c r="D619" t="s">
        <v>1242</v>
      </c>
      <c r="E619">
        <v>2940035484</v>
      </c>
      <c r="F619">
        <v>2954264003</v>
      </c>
      <c r="G619">
        <v>2825592066</v>
      </c>
      <c r="H619">
        <v>2366316521</v>
      </c>
      <c r="I619">
        <v>2604568994</v>
      </c>
      <c r="J619">
        <v>2377674950</v>
      </c>
      <c r="K619">
        <v>2301648167</v>
      </c>
      <c r="L619">
        <v>2720211996</v>
      </c>
      <c r="M619">
        <v>2449495970</v>
      </c>
      <c r="N619">
        <v>1491632106</v>
      </c>
      <c r="O619">
        <v>1427773121</v>
      </c>
      <c r="P619">
        <v>532</v>
      </c>
      <c r="Q619" t="s">
        <v>1453</v>
      </c>
    </row>
    <row r="620" spans="1:17" x14ac:dyDescent="0.3">
      <c r="A620" t="s">
        <v>75</v>
      </c>
      <c r="B620" t="str">
        <f>"300621"</f>
        <v>300621</v>
      </c>
      <c r="C620" t="s">
        <v>1454</v>
      </c>
      <c r="D620" t="s">
        <v>707</v>
      </c>
      <c r="E620">
        <v>2934321108</v>
      </c>
      <c r="F620">
        <v>2115800024</v>
      </c>
      <c r="G620">
        <v>495643697</v>
      </c>
      <c r="H620">
        <v>558743533</v>
      </c>
      <c r="I620">
        <v>657843798</v>
      </c>
      <c r="J620">
        <v>378442264</v>
      </c>
      <c r="K620">
        <v>381537901</v>
      </c>
      <c r="P620">
        <v>56</v>
      </c>
      <c r="Q620" t="s">
        <v>1455</v>
      </c>
    </row>
    <row r="621" spans="1:17" x14ac:dyDescent="0.3">
      <c r="A621" t="s">
        <v>17</v>
      </c>
      <c r="B621" t="str">
        <f>"603766"</f>
        <v>603766</v>
      </c>
      <c r="C621" t="s">
        <v>1456</v>
      </c>
      <c r="D621" t="s">
        <v>1457</v>
      </c>
      <c r="E621">
        <v>2931979871</v>
      </c>
      <c r="F621">
        <v>2441211166</v>
      </c>
      <c r="G621">
        <v>1850129737</v>
      </c>
      <c r="H621">
        <v>2157833511</v>
      </c>
      <c r="I621">
        <v>2383119290</v>
      </c>
      <c r="J621">
        <v>2101212726</v>
      </c>
      <c r="K621">
        <v>1814473333</v>
      </c>
      <c r="L621">
        <v>1285376030</v>
      </c>
      <c r="M621">
        <v>1291238026</v>
      </c>
      <c r="N621">
        <v>1620403409</v>
      </c>
      <c r="O621">
        <v>1325380422</v>
      </c>
      <c r="P621">
        <v>460</v>
      </c>
      <c r="Q621" t="s">
        <v>1458</v>
      </c>
    </row>
    <row r="622" spans="1:17" x14ac:dyDescent="0.3">
      <c r="A622" t="s">
        <v>75</v>
      </c>
      <c r="B622" t="str">
        <f>"002637"</f>
        <v>002637</v>
      </c>
      <c r="C622" t="s">
        <v>1459</v>
      </c>
      <c r="D622" t="s">
        <v>292</v>
      </c>
      <c r="E622">
        <v>2931936857</v>
      </c>
      <c r="F622">
        <v>2561505609</v>
      </c>
      <c r="G622">
        <v>2174396406</v>
      </c>
      <c r="H622">
        <v>1664079560</v>
      </c>
      <c r="I622">
        <v>1669876510</v>
      </c>
      <c r="J622">
        <v>1175681873</v>
      </c>
      <c r="K622">
        <v>794771080</v>
      </c>
      <c r="L622">
        <v>664711822</v>
      </c>
      <c r="M622">
        <v>718977662</v>
      </c>
      <c r="N622">
        <v>547633935</v>
      </c>
      <c r="O622">
        <v>406705585</v>
      </c>
      <c r="P622">
        <v>145</v>
      </c>
      <c r="Q622" t="s">
        <v>1460</v>
      </c>
    </row>
    <row r="623" spans="1:17" x14ac:dyDescent="0.3">
      <c r="A623" t="s">
        <v>17</v>
      </c>
      <c r="B623" t="str">
        <f>"600387"</f>
        <v>600387</v>
      </c>
      <c r="C623" t="s">
        <v>1461</v>
      </c>
      <c r="D623" t="s">
        <v>559</v>
      </c>
      <c r="E623">
        <v>2924077309</v>
      </c>
      <c r="F623">
        <v>1969877003</v>
      </c>
      <c r="G623">
        <v>2189200531</v>
      </c>
      <c r="H623">
        <v>3922284582</v>
      </c>
      <c r="I623">
        <v>6720690634</v>
      </c>
      <c r="J623">
        <v>3013246374</v>
      </c>
      <c r="K623">
        <v>2284190709</v>
      </c>
      <c r="L623">
        <v>1073935625</v>
      </c>
      <c r="M623">
        <v>1004058181</v>
      </c>
      <c r="N623">
        <v>542374877</v>
      </c>
      <c r="O623">
        <v>579720463</v>
      </c>
      <c r="P623">
        <v>116</v>
      </c>
      <c r="Q623" t="s">
        <v>1462</v>
      </c>
    </row>
    <row r="624" spans="1:17" x14ac:dyDescent="0.3">
      <c r="A624" t="s">
        <v>75</v>
      </c>
      <c r="B624" t="str">
        <f>"300450"</f>
        <v>300450</v>
      </c>
      <c r="C624" t="s">
        <v>1463</v>
      </c>
      <c r="D624" t="s">
        <v>1464</v>
      </c>
      <c r="E624">
        <v>2918268602</v>
      </c>
      <c r="F624">
        <v>2108890638</v>
      </c>
      <c r="G624">
        <v>1024313569</v>
      </c>
      <c r="H624">
        <v>1035684354</v>
      </c>
      <c r="I624">
        <v>334978697</v>
      </c>
      <c r="J624">
        <v>345938912</v>
      </c>
      <c r="K624">
        <v>184388782</v>
      </c>
      <c r="L624">
        <v>182957099</v>
      </c>
      <c r="M624">
        <v>78396540</v>
      </c>
      <c r="P624">
        <v>9753</v>
      </c>
      <c r="Q624" t="s">
        <v>1465</v>
      </c>
    </row>
    <row r="625" spans="1:17" x14ac:dyDescent="0.3">
      <c r="A625" t="s">
        <v>17</v>
      </c>
      <c r="B625" t="str">
        <f>"601333"</f>
        <v>601333</v>
      </c>
      <c r="C625" t="s">
        <v>1466</v>
      </c>
      <c r="D625" t="s">
        <v>486</v>
      </c>
      <c r="E625">
        <v>2916362577</v>
      </c>
      <c r="F625">
        <v>3176340726</v>
      </c>
      <c r="G625">
        <v>2710559217</v>
      </c>
      <c r="H625">
        <v>3489903498</v>
      </c>
      <c r="I625">
        <v>3713048574</v>
      </c>
      <c r="J625">
        <v>3658261075</v>
      </c>
      <c r="K625">
        <v>2928658383</v>
      </c>
      <c r="L625">
        <v>3220809751</v>
      </c>
      <c r="M625">
        <v>3188206970</v>
      </c>
      <c r="N625">
        <v>2770578018</v>
      </c>
      <c r="O625">
        <v>2505937149</v>
      </c>
      <c r="P625">
        <v>318</v>
      </c>
      <c r="Q625" t="s">
        <v>1467</v>
      </c>
    </row>
    <row r="626" spans="1:17" x14ac:dyDescent="0.3">
      <c r="A626" t="s">
        <v>17</v>
      </c>
      <c r="B626" t="str">
        <f>"600707"</f>
        <v>600707</v>
      </c>
      <c r="C626" t="s">
        <v>1468</v>
      </c>
      <c r="D626" t="s">
        <v>128</v>
      </c>
      <c r="E626">
        <v>2909739892</v>
      </c>
      <c r="F626">
        <v>3895406554</v>
      </c>
      <c r="G626">
        <v>1520546536</v>
      </c>
      <c r="H626">
        <v>1788429073</v>
      </c>
      <c r="I626">
        <v>151882100</v>
      </c>
      <c r="J626">
        <v>75168996</v>
      </c>
      <c r="K626">
        <v>77616141</v>
      </c>
      <c r="L626">
        <v>74188535</v>
      </c>
      <c r="M626">
        <v>53480323</v>
      </c>
      <c r="N626">
        <v>92049677</v>
      </c>
      <c r="O626">
        <v>77298246</v>
      </c>
      <c r="P626">
        <v>251</v>
      </c>
      <c r="Q626" t="s">
        <v>1469</v>
      </c>
    </row>
    <row r="627" spans="1:17" x14ac:dyDescent="0.3">
      <c r="A627" t="s">
        <v>17</v>
      </c>
      <c r="B627" t="str">
        <f>"600626"</f>
        <v>600626</v>
      </c>
      <c r="C627" t="s">
        <v>1470</v>
      </c>
      <c r="D627" t="s">
        <v>194</v>
      </c>
      <c r="E627">
        <v>2888552683</v>
      </c>
      <c r="F627">
        <v>2905056874</v>
      </c>
      <c r="G627">
        <v>3068795641</v>
      </c>
      <c r="H627">
        <v>3619460258</v>
      </c>
      <c r="I627">
        <v>4000087924</v>
      </c>
      <c r="J627">
        <v>2071401655</v>
      </c>
      <c r="K627">
        <v>1737111016</v>
      </c>
      <c r="L627">
        <v>1566058851</v>
      </c>
      <c r="M627">
        <v>1413828201</v>
      </c>
      <c r="N627">
        <v>1411484884</v>
      </c>
      <c r="O627">
        <v>1522667257</v>
      </c>
      <c r="P627">
        <v>93</v>
      </c>
      <c r="Q627" t="s">
        <v>1471</v>
      </c>
    </row>
    <row r="628" spans="1:17" x14ac:dyDescent="0.3">
      <c r="A628" t="s">
        <v>75</v>
      </c>
      <c r="B628" t="str">
        <f>"000789"</f>
        <v>000789</v>
      </c>
      <c r="C628" t="s">
        <v>1472</v>
      </c>
      <c r="D628" t="s">
        <v>191</v>
      </c>
      <c r="E628">
        <v>2887460225</v>
      </c>
      <c r="F628">
        <v>2789905558</v>
      </c>
      <c r="G628">
        <v>1705874498</v>
      </c>
      <c r="H628">
        <v>2021421821</v>
      </c>
      <c r="I628">
        <v>1987382924</v>
      </c>
      <c r="J628">
        <v>1228439342</v>
      </c>
      <c r="K628">
        <v>1134476705</v>
      </c>
      <c r="L628">
        <v>1406480990</v>
      </c>
      <c r="M628">
        <v>1385719428</v>
      </c>
      <c r="N628">
        <v>1163025698</v>
      </c>
      <c r="O628">
        <v>915740583</v>
      </c>
      <c r="P628">
        <v>1139</v>
      </c>
      <c r="Q628" t="s">
        <v>1473</v>
      </c>
    </row>
    <row r="629" spans="1:17" x14ac:dyDescent="0.3">
      <c r="A629" t="s">
        <v>17</v>
      </c>
      <c r="B629" t="str">
        <f>"600123"</f>
        <v>600123</v>
      </c>
      <c r="C629" t="s">
        <v>1474</v>
      </c>
      <c r="D629" t="s">
        <v>306</v>
      </c>
      <c r="E629">
        <v>2882157284</v>
      </c>
      <c r="F629">
        <v>1556135425</v>
      </c>
      <c r="G629">
        <v>1013362974</v>
      </c>
      <c r="H629">
        <v>1471567969</v>
      </c>
      <c r="I629">
        <v>1254302983</v>
      </c>
      <c r="J629">
        <v>1248634595</v>
      </c>
      <c r="K629">
        <v>836568193</v>
      </c>
      <c r="L629">
        <v>1193263434</v>
      </c>
      <c r="M629">
        <v>1457373937</v>
      </c>
      <c r="N629">
        <v>1968834193</v>
      </c>
      <c r="O629">
        <v>2283336106</v>
      </c>
      <c r="P629">
        <v>623</v>
      </c>
      <c r="Q629" t="s">
        <v>1475</v>
      </c>
    </row>
    <row r="630" spans="1:17" x14ac:dyDescent="0.3">
      <c r="A630" t="s">
        <v>17</v>
      </c>
      <c r="B630" t="str">
        <f>"600846"</f>
        <v>600846</v>
      </c>
      <c r="C630" t="s">
        <v>1476</v>
      </c>
      <c r="D630" t="s">
        <v>65</v>
      </c>
      <c r="E630">
        <v>2868646813</v>
      </c>
      <c r="F630">
        <v>863506997</v>
      </c>
      <c r="G630">
        <v>1143246929</v>
      </c>
      <c r="H630">
        <v>977350677</v>
      </c>
      <c r="I630">
        <v>2553104988</v>
      </c>
      <c r="J630">
        <v>1015657654</v>
      </c>
      <c r="K630">
        <v>1192905785</v>
      </c>
      <c r="L630">
        <v>1006442482</v>
      </c>
      <c r="M630">
        <v>1068086186</v>
      </c>
      <c r="N630">
        <v>1224515173</v>
      </c>
      <c r="O630">
        <v>775329515</v>
      </c>
      <c r="P630">
        <v>357</v>
      </c>
      <c r="Q630" t="s">
        <v>1477</v>
      </c>
    </row>
    <row r="631" spans="1:17" x14ac:dyDescent="0.3">
      <c r="A631" t="s">
        <v>75</v>
      </c>
      <c r="B631" t="str">
        <f>"002187"</f>
        <v>002187</v>
      </c>
      <c r="C631" t="s">
        <v>1478</v>
      </c>
      <c r="D631" t="s">
        <v>582</v>
      </c>
      <c r="E631">
        <v>2865521054</v>
      </c>
      <c r="F631">
        <v>1861293287</v>
      </c>
      <c r="G631">
        <v>1143938379</v>
      </c>
      <c r="H631">
        <v>2305163135</v>
      </c>
      <c r="I631">
        <v>2267928860</v>
      </c>
      <c r="J631">
        <v>1888311400</v>
      </c>
      <c r="K631">
        <v>2023492109</v>
      </c>
      <c r="L631">
        <v>2234439503</v>
      </c>
      <c r="M631">
        <v>2195623877</v>
      </c>
      <c r="N631">
        <v>2581633514</v>
      </c>
      <c r="O631">
        <v>2237709051</v>
      </c>
      <c r="P631">
        <v>147</v>
      </c>
      <c r="Q631" t="s">
        <v>1479</v>
      </c>
    </row>
    <row r="632" spans="1:17" x14ac:dyDescent="0.3">
      <c r="A632" t="s">
        <v>75</v>
      </c>
      <c r="B632" t="str">
        <f>"000402"</f>
        <v>000402</v>
      </c>
      <c r="C632" t="s">
        <v>1480</v>
      </c>
      <c r="D632" t="s">
        <v>179</v>
      </c>
      <c r="E632">
        <v>2850498305</v>
      </c>
      <c r="F632">
        <v>5605819742</v>
      </c>
      <c r="G632">
        <v>2974057046</v>
      </c>
      <c r="H632">
        <v>5311739355</v>
      </c>
      <c r="I632">
        <v>3074980844</v>
      </c>
      <c r="J632">
        <v>4846212190</v>
      </c>
      <c r="K632">
        <v>3994105476</v>
      </c>
      <c r="L632">
        <v>2226132796</v>
      </c>
      <c r="M632">
        <v>2143116984</v>
      </c>
      <c r="N632">
        <v>2931315782</v>
      </c>
      <c r="O632">
        <v>1747784780</v>
      </c>
      <c r="P632">
        <v>974</v>
      </c>
      <c r="Q632" t="s">
        <v>1481</v>
      </c>
    </row>
    <row r="633" spans="1:17" x14ac:dyDescent="0.3">
      <c r="A633" t="s">
        <v>17</v>
      </c>
      <c r="B633" t="str">
        <f>"605050"</f>
        <v>605050</v>
      </c>
      <c r="C633" t="s">
        <v>1482</v>
      </c>
      <c r="D633" t="s">
        <v>35</v>
      </c>
      <c r="E633">
        <v>2838488180</v>
      </c>
      <c r="F633">
        <v>1831975227</v>
      </c>
      <c r="G633">
        <v>931399564</v>
      </c>
      <c r="P633">
        <v>37</v>
      </c>
      <c r="Q633" t="s">
        <v>1483</v>
      </c>
    </row>
    <row r="634" spans="1:17" x14ac:dyDescent="0.3">
      <c r="A634" t="s">
        <v>75</v>
      </c>
      <c r="B634" t="str">
        <f>"002697"</f>
        <v>002697</v>
      </c>
      <c r="C634" t="s">
        <v>1484</v>
      </c>
      <c r="D634" t="s">
        <v>208</v>
      </c>
      <c r="E634">
        <v>2829459839</v>
      </c>
      <c r="F634">
        <v>2565553573</v>
      </c>
      <c r="G634">
        <v>2571778343</v>
      </c>
      <c r="H634">
        <v>2228389662</v>
      </c>
      <c r="I634">
        <v>2151431937</v>
      </c>
      <c r="J634">
        <v>1998525480</v>
      </c>
      <c r="K634">
        <v>1827439366</v>
      </c>
      <c r="L634">
        <v>1511638936</v>
      </c>
      <c r="M634">
        <v>1376006555</v>
      </c>
      <c r="N634">
        <v>1276579188</v>
      </c>
      <c r="O634">
        <v>1137906141</v>
      </c>
      <c r="P634">
        <v>503</v>
      </c>
      <c r="Q634" t="s">
        <v>1485</v>
      </c>
    </row>
    <row r="635" spans="1:17" x14ac:dyDescent="0.3">
      <c r="A635" t="s">
        <v>17</v>
      </c>
      <c r="B635" t="str">
        <f>"600580"</f>
        <v>600580</v>
      </c>
      <c r="C635" t="s">
        <v>1486</v>
      </c>
      <c r="D635" t="s">
        <v>1487</v>
      </c>
      <c r="E635">
        <v>2824893098</v>
      </c>
      <c r="F635">
        <v>2445138997</v>
      </c>
      <c r="G635">
        <v>2616594738</v>
      </c>
      <c r="H635">
        <v>2457494226</v>
      </c>
      <c r="I635">
        <v>2309916750</v>
      </c>
      <c r="J635">
        <v>2167732064</v>
      </c>
      <c r="K635">
        <v>1880530584</v>
      </c>
      <c r="L635">
        <v>1784407731</v>
      </c>
      <c r="M635">
        <v>1407454040</v>
      </c>
      <c r="N635">
        <v>552617659</v>
      </c>
      <c r="O635">
        <v>492616628</v>
      </c>
      <c r="P635">
        <v>400</v>
      </c>
      <c r="Q635" t="s">
        <v>1488</v>
      </c>
    </row>
    <row r="636" spans="1:17" x14ac:dyDescent="0.3">
      <c r="A636" t="s">
        <v>75</v>
      </c>
      <c r="B636" t="str">
        <f>"300244"</f>
        <v>300244</v>
      </c>
      <c r="C636" t="s">
        <v>1489</v>
      </c>
      <c r="D636" t="s">
        <v>1490</v>
      </c>
      <c r="E636">
        <v>2821930077</v>
      </c>
      <c r="F636">
        <v>2397142005</v>
      </c>
      <c r="G636">
        <v>1526444363</v>
      </c>
      <c r="H636">
        <v>1700710798</v>
      </c>
      <c r="I636">
        <v>1092340506</v>
      </c>
      <c r="J636">
        <v>947745946</v>
      </c>
      <c r="K636">
        <v>622028067</v>
      </c>
      <c r="L636">
        <v>331998305</v>
      </c>
      <c r="M636">
        <v>252205998</v>
      </c>
      <c r="N636">
        <v>165569726</v>
      </c>
      <c r="O636">
        <v>126327379</v>
      </c>
      <c r="P636">
        <v>1268</v>
      </c>
      <c r="Q636" t="s">
        <v>1491</v>
      </c>
    </row>
    <row r="637" spans="1:17" x14ac:dyDescent="0.3">
      <c r="A637" t="s">
        <v>75</v>
      </c>
      <c r="B637" t="str">
        <f>"200019"</f>
        <v>200019</v>
      </c>
      <c r="C637" t="s">
        <v>1492</v>
      </c>
      <c r="E637">
        <v>2806851178.9460001</v>
      </c>
      <c r="F637">
        <v>2762388999.8340001</v>
      </c>
      <c r="G637">
        <v>1660151215.9734001</v>
      </c>
      <c r="H637">
        <v>3030001771.4559002</v>
      </c>
      <c r="I637">
        <v>104564975.5165</v>
      </c>
      <c r="J637">
        <v>81348353.310000002</v>
      </c>
      <c r="K637">
        <v>112317806.7492</v>
      </c>
      <c r="L637">
        <v>138513996.25</v>
      </c>
      <c r="M637">
        <v>135145815.3996</v>
      </c>
      <c r="N637">
        <v>153454789.5546</v>
      </c>
      <c r="O637">
        <v>133215745.311</v>
      </c>
      <c r="P637">
        <v>23</v>
      </c>
      <c r="Q637" t="s">
        <v>1493</v>
      </c>
    </row>
    <row r="638" spans="1:17" x14ac:dyDescent="0.3">
      <c r="A638" t="s">
        <v>17</v>
      </c>
      <c r="B638" t="str">
        <f>"601360"</f>
        <v>601360</v>
      </c>
      <c r="C638" t="s">
        <v>1494</v>
      </c>
      <c r="D638" t="s">
        <v>989</v>
      </c>
      <c r="E638">
        <v>2798716000</v>
      </c>
      <c r="F638">
        <v>2970062000</v>
      </c>
      <c r="G638">
        <v>2934884000</v>
      </c>
      <c r="H638">
        <v>3242109000</v>
      </c>
      <c r="I638">
        <v>3744777000</v>
      </c>
      <c r="J638">
        <v>621079047</v>
      </c>
      <c r="K638">
        <v>541375375</v>
      </c>
      <c r="L638">
        <v>571369411</v>
      </c>
      <c r="M638">
        <v>588320514</v>
      </c>
      <c r="N638">
        <v>485663954</v>
      </c>
      <c r="O638">
        <v>426707995</v>
      </c>
      <c r="P638">
        <v>1010</v>
      </c>
      <c r="Q638" t="s">
        <v>1495</v>
      </c>
    </row>
    <row r="639" spans="1:17" x14ac:dyDescent="0.3">
      <c r="A639" t="s">
        <v>75</v>
      </c>
      <c r="B639" t="str">
        <f>"002008"</f>
        <v>002008</v>
      </c>
      <c r="C639" t="s">
        <v>1496</v>
      </c>
      <c r="D639" t="s">
        <v>1497</v>
      </c>
      <c r="E639">
        <v>2794325282</v>
      </c>
      <c r="F639">
        <v>3265072391</v>
      </c>
      <c r="G639">
        <v>2007368945</v>
      </c>
      <c r="H639">
        <v>2032122910</v>
      </c>
      <c r="I639">
        <v>2093731690</v>
      </c>
      <c r="J639">
        <v>1459140112</v>
      </c>
      <c r="K639">
        <v>1077223918</v>
      </c>
      <c r="L639">
        <v>1022926903</v>
      </c>
      <c r="M639">
        <v>855779849</v>
      </c>
      <c r="N639">
        <v>1059900815</v>
      </c>
      <c r="O639">
        <v>727958182</v>
      </c>
      <c r="P639">
        <v>4830</v>
      </c>
      <c r="Q639" t="s">
        <v>1498</v>
      </c>
    </row>
    <row r="640" spans="1:17" x14ac:dyDescent="0.3">
      <c r="A640" t="s">
        <v>17</v>
      </c>
      <c r="B640" t="str">
        <f>"600673"</f>
        <v>600673</v>
      </c>
      <c r="C640" t="s">
        <v>1499</v>
      </c>
      <c r="D640" t="s">
        <v>543</v>
      </c>
      <c r="E640">
        <v>2794258304</v>
      </c>
      <c r="F640">
        <v>2865061725</v>
      </c>
      <c r="G640">
        <v>4962621616</v>
      </c>
      <c r="H640">
        <v>3580982200</v>
      </c>
      <c r="I640">
        <v>1880741025</v>
      </c>
      <c r="J640">
        <v>1279401189</v>
      </c>
      <c r="K640">
        <v>1135358378</v>
      </c>
      <c r="L640">
        <v>1089810838</v>
      </c>
      <c r="M640">
        <v>970365906</v>
      </c>
      <c r="N640">
        <v>1173297420</v>
      </c>
      <c r="O640">
        <v>1651394852</v>
      </c>
      <c r="P640">
        <v>274</v>
      </c>
      <c r="Q640" t="s">
        <v>1500</v>
      </c>
    </row>
    <row r="641" spans="1:17" x14ac:dyDescent="0.3">
      <c r="A641" t="s">
        <v>17</v>
      </c>
      <c r="B641" t="str">
        <f>"600133"</f>
        <v>600133</v>
      </c>
      <c r="C641" t="s">
        <v>1501</v>
      </c>
      <c r="D641" t="s">
        <v>27</v>
      </c>
      <c r="E641">
        <v>2782109741</v>
      </c>
      <c r="F641">
        <v>3288098550</v>
      </c>
      <c r="G641">
        <v>2762306416</v>
      </c>
      <c r="H641">
        <v>2636250773</v>
      </c>
      <c r="I641">
        <v>2709252772</v>
      </c>
      <c r="J641">
        <v>1823647525</v>
      </c>
      <c r="K641">
        <v>1110223898</v>
      </c>
      <c r="L641">
        <v>575108145</v>
      </c>
      <c r="M641">
        <v>672086569</v>
      </c>
      <c r="N641">
        <v>476956295</v>
      </c>
      <c r="O641">
        <v>207412313</v>
      </c>
      <c r="P641">
        <v>192</v>
      </c>
      <c r="Q641" t="s">
        <v>1502</v>
      </c>
    </row>
    <row r="642" spans="1:17" x14ac:dyDescent="0.3">
      <c r="A642" t="s">
        <v>17</v>
      </c>
      <c r="B642" t="str">
        <f>"600110"</f>
        <v>600110</v>
      </c>
      <c r="C642" t="s">
        <v>1503</v>
      </c>
      <c r="D642" t="s">
        <v>45</v>
      </c>
      <c r="E642">
        <v>2780934083</v>
      </c>
      <c r="F642">
        <v>1702453111</v>
      </c>
      <c r="G642">
        <v>915555331</v>
      </c>
      <c r="H642">
        <v>843339460</v>
      </c>
      <c r="I642">
        <v>618957375</v>
      </c>
      <c r="J642">
        <v>495762015</v>
      </c>
      <c r="K642">
        <v>475388412</v>
      </c>
      <c r="L642">
        <v>558792665</v>
      </c>
      <c r="M642">
        <v>400655062</v>
      </c>
      <c r="N642">
        <v>299697012</v>
      </c>
      <c r="O642">
        <v>620180537</v>
      </c>
      <c r="P642">
        <v>339</v>
      </c>
      <c r="Q642" t="s">
        <v>1504</v>
      </c>
    </row>
    <row r="643" spans="1:17" x14ac:dyDescent="0.3">
      <c r="A643" t="s">
        <v>75</v>
      </c>
      <c r="B643" t="str">
        <f>"000652"</f>
        <v>000652</v>
      </c>
      <c r="C643" t="s">
        <v>1505</v>
      </c>
      <c r="D643" t="s">
        <v>1284</v>
      </c>
      <c r="E643">
        <v>2779478167</v>
      </c>
      <c r="F643">
        <v>1439097681</v>
      </c>
      <c r="G643">
        <v>2875598820</v>
      </c>
      <c r="H643">
        <v>3713330851</v>
      </c>
      <c r="I643">
        <v>4265405965</v>
      </c>
      <c r="J643">
        <v>3529458727</v>
      </c>
      <c r="K643">
        <v>2730347948</v>
      </c>
      <c r="L643">
        <v>1065961063</v>
      </c>
      <c r="M643">
        <v>1452272600</v>
      </c>
      <c r="N643">
        <v>1737424261</v>
      </c>
      <c r="O643">
        <v>1089217514</v>
      </c>
      <c r="P643">
        <v>196</v>
      </c>
      <c r="Q643" t="s">
        <v>1506</v>
      </c>
    </row>
    <row r="644" spans="1:17" x14ac:dyDescent="0.3">
      <c r="A644" t="s">
        <v>17</v>
      </c>
      <c r="B644" t="str">
        <f>"600814"</f>
        <v>600814</v>
      </c>
      <c r="C644" t="s">
        <v>1507</v>
      </c>
      <c r="D644" t="s">
        <v>582</v>
      </c>
      <c r="E644">
        <v>2769417146</v>
      </c>
      <c r="F644">
        <v>3199576433</v>
      </c>
      <c r="G644">
        <v>1269225933</v>
      </c>
      <c r="H644">
        <v>1881270652</v>
      </c>
      <c r="I644">
        <v>1837092794</v>
      </c>
      <c r="J644">
        <v>1704010150</v>
      </c>
      <c r="K644">
        <v>1607752496</v>
      </c>
      <c r="L644">
        <v>1799958823</v>
      </c>
      <c r="M644">
        <v>521455041</v>
      </c>
      <c r="N644">
        <v>555461022</v>
      </c>
      <c r="O644">
        <v>641810585</v>
      </c>
      <c r="P644">
        <v>150</v>
      </c>
      <c r="Q644" t="s">
        <v>1508</v>
      </c>
    </row>
    <row r="645" spans="1:17" x14ac:dyDescent="0.3">
      <c r="A645" t="s">
        <v>17</v>
      </c>
      <c r="B645" t="str">
        <f>"603885"</f>
        <v>603885</v>
      </c>
      <c r="C645" t="s">
        <v>1509</v>
      </c>
      <c r="D645" t="s">
        <v>246</v>
      </c>
      <c r="E645">
        <v>2763102667</v>
      </c>
      <c r="F645">
        <v>2591459983</v>
      </c>
      <c r="G645">
        <v>1749907924</v>
      </c>
      <c r="H645">
        <v>4510920564</v>
      </c>
      <c r="I645">
        <v>4157263595</v>
      </c>
      <c r="J645">
        <v>3406267160</v>
      </c>
      <c r="K645">
        <v>2799965448</v>
      </c>
      <c r="L645">
        <v>0</v>
      </c>
      <c r="M645">
        <v>0</v>
      </c>
      <c r="P645">
        <v>475</v>
      </c>
      <c r="Q645" t="s">
        <v>1510</v>
      </c>
    </row>
    <row r="646" spans="1:17" x14ac:dyDescent="0.3">
      <c r="A646" t="s">
        <v>17</v>
      </c>
      <c r="B646" t="str">
        <f>"603806"</f>
        <v>603806</v>
      </c>
      <c r="C646" t="s">
        <v>1511</v>
      </c>
      <c r="D646" t="s">
        <v>1512</v>
      </c>
      <c r="E646">
        <v>2761898607</v>
      </c>
      <c r="F646">
        <v>1534453393</v>
      </c>
      <c r="G646">
        <v>1171924403</v>
      </c>
      <c r="H646">
        <v>908306763</v>
      </c>
      <c r="I646">
        <v>908675509</v>
      </c>
      <c r="J646">
        <v>780523169</v>
      </c>
      <c r="K646">
        <v>765840804</v>
      </c>
      <c r="L646">
        <v>374269524</v>
      </c>
      <c r="M646">
        <v>461272977</v>
      </c>
      <c r="P646">
        <v>1029</v>
      </c>
      <c r="Q646" t="s">
        <v>1513</v>
      </c>
    </row>
    <row r="647" spans="1:17" x14ac:dyDescent="0.3">
      <c r="A647" t="s">
        <v>75</v>
      </c>
      <c r="B647" t="str">
        <f>"002015"</f>
        <v>002015</v>
      </c>
      <c r="C647" t="s">
        <v>1514</v>
      </c>
      <c r="D647" t="s">
        <v>446</v>
      </c>
      <c r="E647">
        <v>2744887204</v>
      </c>
      <c r="F647">
        <v>3062851846</v>
      </c>
      <c r="G647">
        <v>2931157294</v>
      </c>
      <c r="H647">
        <v>74060617</v>
      </c>
      <c r="I647">
        <v>88873665</v>
      </c>
      <c r="J647">
        <v>73846279</v>
      </c>
      <c r="K647">
        <v>61903325</v>
      </c>
      <c r="L647">
        <v>79815488</v>
      </c>
      <c r="M647">
        <v>506128704</v>
      </c>
      <c r="N647">
        <v>478597199</v>
      </c>
      <c r="O647">
        <v>554724165</v>
      </c>
      <c r="P647">
        <v>239</v>
      </c>
      <c r="Q647" t="s">
        <v>1515</v>
      </c>
    </row>
    <row r="648" spans="1:17" x14ac:dyDescent="0.3">
      <c r="A648" t="s">
        <v>17</v>
      </c>
      <c r="B648" t="str">
        <f>"600420"</f>
        <v>600420</v>
      </c>
      <c r="C648" t="s">
        <v>1516</v>
      </c>
      <c r="D648" t="s">
        <v>543</v>
      </c>
      <c r="E648">
        <v>2744038558</v>
      </c>
      <c r="F648">
        <v>3196913184</v>
      </c>
      <c r="G648">
        <v>2180824923</v>
      </c>
      <c r="H648">
        <v>2280562226</v>
      </c>
      <c r="I648">
        <v>2047999452</v>
      </c>
      <c r="J648">
        <v>1546554065</v>
      </c>
      <c r="K648">
        <v>625919215</v>
      </c>
      <c r="L648">
        <v>678693254</v>
      </c>
      <c r="M648">
        <v>631610072</v>
      </c>
      <c r="N648">
        <v>550049414</v>
      </c>
      <c r="O648">
        <v>396447915</v>
      </c>
      <c r="P648">
        <v>381</v>
      </c>
      <c r="Q648" t="s">
        <v>1517</v>
      </c>
    </row>
    <row r="649" spans="1:17" x14ac:dyDescent="0.3">
      <c r="A649" t="s">
        <v>75</v>
      </c>
      <c r="B649" t="str">
        <f>"002185"</f>
        <v>002185</v>
      </c>
      <c r="C649" t="s">
        <v>1518</v>
      </c>
      <c r="D649" t="s">
        <v>613</v>
      </c>
      <c r="E649">
        <v>2741756354</v>
      </c>
      <c r="F649">
        <v>2269650828</v>
      </c>
      <c r="G649">
        <v>1568370789</v>
      </c>
      <c r="H649">
        <v>1147555781</v>
      </c>
      <c r="I649">
        <v>789369084</v>
      </c>
      <c r="J649">
        <v>680250244</v>
      </c>
      <c r="K649">
        <v>517533385</v>
      </c>
      <c r="L649">
        <v>357048107</v>
      </c>
      <c r="M649">
        <v>351532638</v>
      </c>
      <c r="N649">
        <v>231009165</v>
      </c>
      <c r="O649">
        <v>144855383</v>
      </c>
      <c r="P649">
        <v>1176</v>
      </c>
      <c r="Q649" t="s">
        <v>1519</v>
      </c>
    </row>
    <row r="650" spans="1:17" x14ac:dyDescent="0.3">
      <c r="A650" t="s">
        <v>17</v>
      </c>
      <c r="B650" t="str">
        <f>"601828"</f>
        <v>601828</v>
      </c>
      <c r="C650" t="s">
        <v>1520</v>
      </c>
      <c r="D650" t="s">
        <v>378</v>
      </c>
      <c r="E650">
        <v>2725648135</v>
      </c>
      <c r="F650">
        <v>3107713268</v>
      </c>
      <c r="G650">
        <v>1627036281</v>
      </c>
      <c r="H650">
        <v>2859411635</v>
      </c>
      <c r="I650">
        <v>2495315585</v>
      </c>
      <c r="J650">
        <v>2075718083</v>
      </c>
      <c r="P650">
        <v>351</v>
      </c>
      <c r="Q650" t="s">
        <v>1521</v>
      </c>
    </row>
    <row r="651" spans="1:17" x14ac:dyDescent="0.3">
      <c r="A651" t="s">
        <v>75</v>
      </c>
      <c r="B651" t="str">
        <f>"002310"</f>
        <v>002310</v>
      </c>
      <c r="C651" t="s">
        <v>1522</v>
      </c>
      <c r="D651" t="s">
        <v>1523</v>
      </c>
      <c r="E651">
        <v>2725068352</v>
      </c>
      <c r="F651">
        <v>2757007077</v>
      </c>
      <c r="G651">
        <v>830354346</v>
      </c>
      <c r="H651">
        <v>1705286067</v>
      </c>
      <c r="I651">
        <v>2728420435</v>
      </c>
      <c r="J651">
        <v>1591780752</v>
      </c>
      <c r="K651">
        <v>1052867919</v>
      </c>
      <c r="L651">
        <v>636915297</v>
      </c>
      <c r="M651">
        <v>458238867</v>
      </c>
      <c r="N651">
        <v>249793000</v>
      </c>
      <c r="O651">
        <v>183178473</v>
      </c>
      <c r="P651">
        <v>1194</v>
      </c>
      <c r="Q651" t="s">
        <v>1524</v>
      </c>
    </row>
    <row r="652" spans="1:17" x14ac:dyDescent="0.3">
      <c r="A652" t="s">
        <v>17</v>
      </c>
      <c r="B652" t="str">
        <f>"601137"</f>
        <v>601137</v>
      </c>
      <c r="C652" t="s">
        <v>1525</v>
      </c>
      <c r="D652" t="s">
        <v>1526</v>
      </c>
      <c r="E652">
        <v>2723143695</v>
      </c>
      <c r="F652">
        <v>2300744318</v>
      </c>
      <c r="G652">
        <v>1855515031</v>
      </c>
      <c r="H652">
        <v>1371216024</v>
      </c>
      <c r="I652">
        <v>1339307770</v>
      </c>
      <c r="J652">
        <v>1419224456</v>
      </c>
      <c r="K652">
        <v>786847784</v>
      </c>
      <c r="L652">
        <v>881578726</v>
      </c>
      <c r="M652">
        <v>749010858</v>
      </c>
      <c r="N652">
        <v>624635287</v>
      </c>
      <c r="O652">
        <v>633336325</v>
      </c>
      <c r="P652">
        <v>283</v>
      </c>
      <c r="Q652" t="s">
        <v>1527</v>
      </c>
    </row>
    <row r="653" spans="1:17" x14ac:dyDescent="0.3">
      <c r="A653" t="s">
        <v>75</v>
      </c>
      <c r="B653" t="str">
        <f>"300308"</f>
        <v>300308</v>
      </c>
      <c r="C653" t="s">
        <v>1528</v>
      </c>
      <c r="D653" t="s">
        <v>169</v>
      </c>
      <c r="E653">
        <v>2722971874</v>
      </c>
      <c r="F653">
        <v>1631562936</v>
      </c>
      <c r="G653">
        <v>1453460592</v>
      </c>
      <c r="H653">
        <v>917941653</v>
      </c>
      <c r="I653">
        <v>1515377719</v>
      </c>
      <c r="J653">
        <v>36202906</v>
      </c>
      <c r="K653">
        <v>28909507</v>
      </c>
      <c r="L653">
        <v>48700052</v>
      </c>
      <c r="M653">
        <v>24195632</v>
      </c>
      <c r="N653">
        <v>11255464</v>
      </c>
      <c r="O653">
        <v>16690778</v>
      </c>
      <c r="P653">
        <v>814</v>
      </c>
      <c r="Q653" t="s">
        <v>1529</v>
      </c>
    </row>
    <row r="654" spans="1:17" x14ac:dyDescent="0.3">
      <c r="A654" t="s">
        <v>75</v>
      </c>
      <c r="B654" t="str">
        <f>"300761"</f>
        <v>300761</v>
      </c>
      <c r="C654" t="s">
        <v>1530</v>
      </c>
      <c r="D654" t="s">
        <v>1200</v>
      </c>
      <c r="E654">
        <v>2721602960</v>
      </c>
      <c r="F654">
        <v>2723796898</v>
      </c>
      <c r="G654">
        <v>1514771511</v>
      </c>
      <c r="H654">
        <v>1564836826</v>
      </c>
      <c r="I654">
        <v>1645657055</v>
      </c>
      <c r="P654">
        <v>369</v>
      </c>
      <c r="Q654" t="s">
        <v>1531</v>
      </c>
    </row>
    <row r="655" spans="1:17" x14ac:dyDescent="0.3">
      <c r="A655" t="s">
        <v>75</v>
      </c>
      <c r="B655" t="str">
        <f>"000661"</f>
        <v>000661</v>
      </c>
      <c r="C655" t="s">
        <v>1532</v>
      </c>
      <c r="D655" t="s">
        <v>1533</v>
      </c>
      <c r="E655">
        <v>2720352961</v>
      </c>
      <c r="F655">
        <v>2419623251</v>
      </c>
      <c r="G655">
        <v>1598566297</v>
      </c>
      <c r="H655">
        <v>1621095653</v>
      </c>
      <c r="I655">
        <v>1088132516</v>
      </c>
      <c r="J655">
        <v>690886691</v>
      </c>
      <c r="K655">
        <v>585101363</v>
      </c>
      <c r="L655">
        <v>503054942</v>
      </c>
      <c r="M655">
        <v>475698630</v>
      </c>
      <c r="N655">
        <v>396057517</v>
      </c>
      <c r="O655">
        <v>300616727</v>
      </c>
      <c r="P655">
        <v>59935</v>
      </c>
      <c r="Q655" t="s">
        <v>1534</v>
      </c>
    </row>
    <row r="656" spans="1:17" x14ac:dyDescent="0.3">
      <c r="A656" t="s">
        <v>17</v>
      </c>
      <c r="B656" t="str">
        <f>"600177"</f>
        <v>600177</v>
      </c>
      <c r="C656" t="s">
        <v>1535</v>
      </c>
      <c r="D656" t="s">
        <v>814</v>
      </c>
      <c r="E656">
        <v>2718512351</v>
      </c>
      <c r="F656">
        <v>2992074632</v>
      </c>
      <c r="G656">
        <v>2993398827</v>
      </c>
      <c r="H656">
        <v>3087325815</v>
      </c>
      <c r="I656">
        <v>2870019728</v>
      </c>
      <c r="J656">
        <v>3014985957</v>
      </c>
      <c r="K656">
        <v>2926918188</v>
      </c>
      <c r="L656">
        <v>3452347270</v>
      </c>
      <c r="M656">
        <v>3252649679</v>
      </c>
      <c r="N656">
        <v>4121133191</v>
      </c>
      <c r="O656">
        <v>3198293547</v>
      </c>
      <c r="P656">
        <v>1571</v>
      </c>
      <c r="Q656" t="s">
        <v>1536</v>
      </c>
    </row>
    <row r="657" spans="1:17" x14ac:dyDescent="0.3">
      <c r="A657" t="s">
        <v>75</v>
      </c>
      <c r="B657" t="str">
        <f>"300003"</f>
        <v>300003</v>
      </c>
      <c r="C657" t="s">
        <v>1537</v>
      </c>
      <c r="D657" t="s">
        <v>1538</v>
      </c>
      <c r="E657">
        <v>2714289424</v>
      </c>
      <c r="F657">
        <v>3431003684</v>
      </c>
      <c r="G657">
        <v>1631643721</v>
      </c>
      <c r="H657">
        <v>1821070476</v>
      </c>
      <c r="I657">
        <v>1458070581</v>
      </c>
      <c r="J657">
        <v>1048436284</v>
      </c>
      <c r="K657">
        <v>782314089</v>
      </c>
      <c r="L657">
        <v>579646717</v>
      </c>
      <c r="M657">
        <v>336887286</v>
      </c>
      <c r="N657">
        <v>291409351</v>
      </c>
      <c r="O657">
        <v>251738545</v>
      </c>
      <c r="P657">
        <v>3268</v>
      </c>
      <c r="Q657" t="s">
        <v>1539</v>
      </c>
    </row>
    <row r="658" spans="1:17" x14ac:dyDescent="0.3">
      <c r="A658" t="s">
        <v>75</v>
      </c>
      <c r="B658" t="str">
        <f>"002301"</f>
        <v>002301</v>
      </c>
      <c r="C658" t="s">
        <v>1540</v>
      </c>
      <c r="D658" t="s">
        <v>1072</v>
      </c>
      <c r="E658">
        <v>2708504302</v>
      </c>
      <c r="F658">
        <v>2891255505</v>
      </c>
      <c r="G658">
        <v>1928574281</v>
      </c>
      <c r="H658">
        <v>1379284770</v>
      </c>
      <c r="I658">
        <v>712331942</v>
      </c>
      <c r="J658">
        <v>636181840</v>
      </c>
      <c r="K658">
        <v>486472020</v>
      </c>
      <c r="L658">
        <v>398230049</v>
      </c>
      <c r="M658">
        <v>365933699</v>
      </c>
      <c r="N658">
        <v>313640965</v>
      </c>
      <c r="O658">
        <v>315395876</v>
      </c>
      <c r="P658">
        <v>202</v>
      </c>
      <c r="Q658" t="s">
        <v>1541</v>
      </c>
    </row>
    <row r="659" spans="1:17" x14ac:dyDescent="0.3">
      <c r="A659" t="s">
        <v>75</v>
      </c>
      <c r="B659" t="str">
        <f>"002489"</f>
        <v>002489</v>
      </c>
      <c r="C659" t="s">
        <v>1542</v>
      </c>
      <c r="D659" t="s">
        <v>1123</v>
      </c>
      <c r="E659">
        <v>2700699254</v>
      </c>
      <c r="F659">
        <v>1560080203</v>
      </c>
      <c r="G659">
        <v>1484240190</v>
      </c>
      <c r="H659">
        <v>1396277371</v>
      </c>
      <c r="I659">
        <v>1220480975</v>
      </c>
      <c r="J659">
        <v>1235587950</v>
      </c>
      <c r="K659">
        <v>1333367599</v>
      </c>
      <c r="L659">
        <v>1246675262</v>
      </c>
      <c r="M659">
        <v>1020928318</v>
      </c>
      <c r="N659">
        <v>1087883079</v>
      </c>
      <c r="O659">
        <v>1353977573</v>
      </c>
      <c r="P659">
        <v>206</v>
      </c>
      <c r="Q659" t="s">
        <v>1543</v>
      </c>
    </row>
    <row r="660" spans="1:17" x14ac:dyDescent="0.3">
      <c r="A660" t="s">
        <v>17</v>
      </c>
      <c r="B660" t="str">
        <f>"601098"</f>
        <v>601098</v>
      </c>
      <c r="C660" t="s">
        <v>1544</v>
      </c>
      <c r="D660" t="s">
        <v>1433</v>
      </c>
      <c r="E660">
        <v>2699637164</v>
      </c>
      <c r="F660">
        <v>2212048653</v>
      </c>
      <c r="G660">
        <v>894973748</v>
      </c>
      <c r="H660">
        <v>1306122760</v>
      </c>
      <c r="I660">
        <v>1236865860</v>
      </c>
      <c r="J660">
        <v>2293029197</v>
      </c>
      <c r="K660">
        <v>1764593246</v>
      </c>
      <c r="L660">
        <v>1261813663</v>
      </c>
      <c r="M660">
        <v>1484237850</v>
      </c>
      <c r="N660">
        <v>1327397007</v>
      </c>
      <c r="O660">
        <v>1259924738</v>
      </c>
      <c r="P660">
        <v>882</v>
      </c>
      <c r="Q660" t="s">
        <v>1545</v>
      </c>
    </row>
    <row r="661" spans="1:17" x14ac:dyDescent="0.3">
      <c r="A661" t="s">
        <v>75</v>
      </c>
      <c r="B661" t="str">
        <f>"002080"</f>
        <v>002080</v>
      </c>
      <c r="C661" t="s">
        <v>1546</v>
      </c>
      <c r="D661" t="s">
        <v>980</v>
      </c>
      <c r="E661">
        <v>2692479199</v>
      </c>
      <c r="F661">
        <v>2757070497</v>
      </c>
      <c r="G661">
        <v>2396901980</v>
      </c>
      <c r="H661">
        <v>1595932677</v>
      </c>
      <c r="I661">
        <v>1605165291</v>
      </c>
      <c r="J661">
        <v>1485845338</v>
      </c>
      <c r="K661">
        <v>785461714</v>
      </c>
      <c r="L661">
        <v>1254230711</v>
      </c>
      <c r="M661">
        <v>401942994</v>
      </c>
      <c r="N661">
        <v>639602253</v>
      </c>
      <c r="O661">
        <v>382451386</v>
      </c>
      <c r="P661">
        <v>913</v>
      </c>
      <c r="Q661" t="s">
        <v>1547</v>
      </c>
    </row>
    <row r="662" spans="1:17" x14ac:dyDescent="0.3">
      <c r="A662" t="s">
        <v>17</v>
      </c>
      <c r="B662" t="str">
        <f>"603877"</f>
        <v>603877</v>
      </c>
      <c r="C662" t="s">
        <v>1548</v>
      </c>
      <c r="D662" t="s">
        <v>814</v>
      </c>
      <c r="E662">
        <v>2691353488</v>
      </c>
      <c r="F662">
        <v>2848514167</v>
      </c>
      <c r="G662">
        <v>1588029893</v>
      </c>
      <c r="H662">
        <v>2069036143</v>
      </c>
      <c r="I662">
        <v>2109316898</v>
      </c>
      <c r="J662">
        <v>1840638840</v>
      </c>
      <c r="K662">
        <v>1605461721</v>
      </c>
      <c r="P662">
        <v>364</v>
      </c>
      <c r="Q662" t="s">
        <v>1549</v>
      </c>
    </row>
    <row r="663" spans="1:17" x14ac:dyDescent="0.3">
      <c r="A663" t="s">
        <v>17</v>
      </c>
      <c r="B663" t="str">
        <f>"600893"</f>
        <v>600893</v>
      </c>
      <c r="C663" t="s">
        <v>1550</v>
      </c>
      <c r="D663" t="s">
        <v>1551</v>
      </c>
      <c r="E663">
        <v>2684063086</v>
      </c>
      <c r="F663">
        <v>3650213649</v>
      </c>
      <c r="G663">
        <v>2974791588</v>
      </c>
      <c r="H663">
        <v>3868550469</v>
      </c>
      <c r="I663">
        <v>2488606971</v>
      </c>
      <c r="J663">
        <v>3853821345</v>
      </c>
      <c r="K663">
        <v>1864329548</v>
      </c>
      <c r="L663">
        <v>2609495480</v>
      </c>
      <c r="M663">
        <v>855304526</v>
      </c>
      <c r="N663">
        <v>758685574</v>
      </c>
      <c r="O663">
        <v>599455057</v>
      </c>
      <c r="P663">
        <v>1086</v>
      </c>
      <c r="Q663" t="s">
        <v>1552</v>
      </c>
    </row>
    <row r="664" spans="1:17" x14ac:dyDescent="0.3">
      <c r="A664" t="s">
        <v>75</v>
      </c>
      <c r="B664" t="str">
        <f>"002845"</f>
        <v>002845</v>
      </c>
      <c r="C664" t="s">
        <v>1553</v>
      </c>
      <c r="D664" t="s">
        <v>128</v>
      </c>
      <c r="E664">
        <v>2681838971</v>
      </c>
      <c r="F664">
        <v>2798155420</v>
      </c>
      <c r="G664">
        <v>2299925406</v>
      </c>
      <c r="H664">
        <v>866230866</v>
      </c>
      <c r="I664">
        <v>645859152</v>
      </c>
      <c r="J664">
        <v>498717657</v>
      </c>
      <c r="K664">
        <v>299894275</v>
      </c>
      <c r="P664">
        <v>222</v>
      </c>
      <c r="Q664" t="s">
        <v>1554</v>
      </c>
    </row>
    <row r="665" spans="1:17" x14ac:dyDescent="0.3">
      <c r="A665" t="s">
        <v>17</v>
      </c>
      <c r="B665" t="str">
        <f>"688772"</f>
        <v>688772</v>
      </c>
      <c r="C665" t="s">
        <v>1555</v>
      </c>
      <c r="D665" t="s">
        <v>131</v>
      </c>
      <c r="E665">
        <v>2679798844</v>
      </c>
      <c r="P665">
        <v>33</v>
      </c>
      <c r="Q665" t="s">
        <v>1556</v>
      </c>
    </row>
    <row r="666" spans="1:17" x14ac:dyDescent="0.3">
      <c r="A666" t="s">
        <v>75</v>
      </c>
      <c r="B666" t="str">
        <f>"301035"</f>
        <v>301035</v>
      </c>
      <c r="C666" t="s">
        <v>1557</v>
      </c>
      <c r="D666" t="s">
        <v>811</v>
      </c>
      <c r="E666">
        <v>2674661553</v>
      </c>
      <c r="F666">
        <v>2043046761</v>
      </c>
      <c r="G666">
        <v>1040974391</v>
      </c>
      <c r="P666">
        <v>40</v>
      </c>
      <c r="Q666" t="s">
        <v>1558</v>
      </c>
    </row>
    <row r="667" spans="1:17" x14ac:dyDescent="0.3">
      <c r="A667" t="s">
        <v>17</v>
      </c>
      <c r="B667" t="str">
        <f>"600125"</f>
        <v>600125</v>
      </c>
      <c r="C667" t="s">
        <v>1559</v>
      </c>
      <c r="D667" t="s">
        <v>486</v>
      </c>
      <c r="E667">
        <v>2672252129</v>
      </c>
      <c r="F667">
        <v>4126354425</v>
      </c>
      <c r="G667">
        <v>3341896272</v>
      </c>
      <c r="H667">
        <v>3167427603</v>
      </c>
      <c r="I667">
        <v>2725265461</v>
      </c>
      <c r="J667">
        <v>2162387249</v>
      </c>
      <c r="K667">
        <v>1500964346</v>
      </c>
      <c r="L667">
        <v>1805629059</v>
      </c>
      <c r="M667">
        <v>726297420</v>
      </c>
      <c r="N667">
        <v>754422403</v>
      </c>
      <c r="O667">
        <v>623808016</v>
      </c>
      <c r="P667">
        <v>203</v>
      </c>
      <c r="Q667" t="s">
        <v>1560</v>
      </c>
    </row>
    <row r="668" spans="1:17" x14ac:dyDescent="0.3">
      <c r="A668" t="s">
        <v>75</v>
      </c>
      <c r="B668" t="str">
        <f>"002533"</f>
        <v>002533</v>
      </c>
      <c r="C668" t="s">
        <v>1561</v>
      </c>
      <c r="D668" t="s">
        <v>562</v>
      </c>
      <c r="E668">
        <v>2669712417</v>
      </c>
      <c r="F668">
        <v>2188832356</v>
      </c>
      <c r="G668">
        <v>935539518</v>
      </c>
      <c r="H668">
        <v>1000518921</v>
      </c>
      <c r="I668">
        <v>949605878</v>
      </c>
      <c r="J668">
        <v>623237006</v>
      </c>
      <c r="K668">
        <v>628319412</v>
      </c>
      <c r="L668">
        <v>581247361</v>
      </c>
      <c r="M668">
        <v>539799553</v>
      </c>
      <c r="N668">
        <v>542723199</v>
      </c>
      <c r="O668">
        <v>573527042</v>
      </c>
      <c r="P668">
        <v>192</v>
      </c>
      <c r="Q668" t="s">
        <v>1562</v>
      </c>
    </row>
    <row r="669" spans="1:17" x14ac:dyDescent="0.3">
      <c r="A669" t="s">
        <v>75</v>
      </c>
      <c r="B669" t="str">
        <f>"200152"</f>
        <v>200152</v>
      </c>
      <c r="C669" t="s">
        <v>1563</v>
      </c>
      <c r="E669">
        <v>2660089922.6620002</v>
      </c>
      <c r="F669">
        <v>3283292417.8994999</v>
      </c>
      <c r="G669">
        <v>2191765676.6174998</v>
      </c>
      <c r="H669">
        <v>5897261502.6677999</v>
      </c>
      <c r="I669">
        <v>6627136447.1610003</v>
      </c>
      <c r="J669">
        <v>4627665592.4454002</v>
      </c>
      <c r="K669">
        <v>4229043157.9401002</v>
      </c>
      <c r="L669">
        <v>3914200675</v>
      </c>
      <c r="M669">
        <v>3738126671.7140002</v>
      </c>
      <c r="N669">
        <v>3180639318.7715998</v>
      </c>
      <c r="O669">
        <v>2765035306.4310002</v>
      </c>
      <c r="P669">
        <v>112</v>
      </c>
      <c r="Q669" t="s">
        <v>1564</v>
      </c>
    </row>
    <row r="670" spans="1:17" x14ac:dyDescent="0.3">
      <c r="A670" t="s">
        <v>17</v>
      </c>
      <c r="B670" t="str">
        <f>"600328"</f>
        <v>600328</v>
      </c>
      <c r="C670" t="s">
        <v>1565</v>
      </c>
      <c r="D670" t="s">
        <v>1275</v>
      </c>
      <c r="E670">
        <v>2650759364</v>
      </c>
      <c r="F670">
        <v>1461546981</v>
      </c>
      <c r="G670">
        <v>1439953995</v>
      </c>
      <c r="H670">
        <v>667061265</v>
      </c>
      <c r="I670">
        <v>543751532</v>
      </c>
      <c r="J670">
        <v>460442410</v>
      </c>
      <c r="K670">
        <v>396584008</v>
      </c>
      <c r="L670">
        <v>414186151</v>
      </c>
      <c r="M670">
        <v>248158003</v>
      </c>
      <c r="N670">
        <v>186613132</v>
      </c>
      <c r="O670">
        <v>186662916</v>
      </c>
      <c r="P670">
        <v>263</v>
      </c>
      <c r="Q670" t="s">
        <v>1566</v>
      </c>
    </row>
    <row r="671" spans="1:17" x14ac:dyDescent="0.3">
      <c r="A671" t="s">
        <v>75</v>
      </c>
      <c r="B671" t="str">
        <f>"000690"</f>
        <v>000690</v>
      </c>
      <c r="C671" t="s">
        <v>1567</v>
      </c>
      <c r="D671" t="s">
        <v>88</v>
      </c>
      <c r="E671">
        <v>2636863437</v>
      </c>
      <c r="F671">
        <v>2153493976</v>
      </c>
      <c r="G671">
        <v>1484232227</v>
      </c>
      <c r="H671">
        <v>1218328814</v>
      </c>
      <c r="I671">
        <v>971872417</v>
      </c>
      <c r="J671">
        <v>972103236</v>
      </c>
      <c r="K671">
        <v>780910329</v>
      </c>
      <c r="L671">
        <v>1025939698</v>
      </c>
      <c r="M671">
        <v>1117816646</v>
      </c>
      <c r="N671">
        <v>1598051883</v>
      </c>
      <c r="O671">
        <v>958014070</v>
      </c>
      <c r="P671">
        <v>643</v>
      </c>
      <c r="Q671" t="s">
        <v>1568</v>
      </c>
    </row>
    <row r="672" spans="1:17" x14ac:dyDescent="0.3">
      <c r="A672" t="s">
        <v>17</v>
      </c>
      <c r="B672" t="str">
        <f>"600982"</f>
        <v>600982</v>
      </c>
      <c r="C672" t="s">
        <v>1569</v>
      </c>
      <c r="D672" t="s">
        <v>446</v>
      </c>
      <c r="E672">
        <v>2631752746</v>
      </c>
      <c r="F672">
        <v>1125056044</v>
      </c>
      <c r="G672">
        <v>739393599</v>
      </c>
      <c r="H672">
        <v>653466775</v>
      </c>
      <c r="I672">
        <v>431939270</v>
      </c>
      <c r="J672">
        <v>481330625</v>
      </c>
      <c r="K672">
        <v>137439818</v>
      </c>
      <c r="L672">
        <v>209292113</v>
      </c>
      <c r="M672">
        <v>130216673</v>
      </c>
      <c r="N672">
        <v>236624054</v>
      </c>
      <c r="O672">
        <v>320622622</v>
      </c>
      <c r="P672">
        <v>135</v>
      </c>
      <c r="Q672" t="s">
        <v>1570</v>
      </c>
    </row>
    <row r="673" spans="1:17" x14ac:dyDescent="0.3">
      <c r="A673" t="s">
        <v>75</v>
      </c>
      <c r="B673" t="str">
        <f>"002179"</f>
        <v>002179</v>
      </c>
      <c r="C673" t="s">
        <v>1571</v>
      </c>
      <c r="D673" t="s">
        <v>1572</v>
      </c>
      <c r="E673">
        <v>2629187519</v>
      </c>
      <c r="F673">
        <v>2140219009</v>
      </c>
      <c r="G673">
        <v>1548780045</v>
      </c>
      <c r="H673">
        <v>1269587640</v>
      </c>
      <c r="I673">
        <v>1102359137</v>
      </c>
      <c r="J673">
        <v>1038322555</v>
      </c>
      <c r="K673">
        <v>932902255</v>
      </c>
      <c r="L673">
        <v>664108465</v>
      </c>
      <c r="M673">
        <v>467681589</v>
      </c>
      <c r="N673">
        <v>310743315</v>
      </c>
      <c r="O673">
        <v>308452971</v>
      </c>
      <c r="P673">
        <v>1738</v>
      </c>
      <c r="Q673" t="s">
        <v>1573</v>
      </c>
    </row>
    <row r="674" spans="1:17" x14ac:dyDescent="0.3">
      <c r="A674" t="s">
        <v>17</v>
      </c>
      <c r="B674" t="str">
        <f>"600566"</f>
        <v>600566</v>
      </c>
      <c r="C674" t="s">
        <v>1574</v>
      </c>
      <c r="D674" t="s">
        <v>321</v>
      </c>
      <c r="E674">
        <v>2626859677</v>
      </c>
      <c r="F674">
        <v>2172789337</v>
      </c>
      <c r="G674">
        <v>2142061637</v>
      </c>
      <c r="H674">
        <v>2061240933</v>
      </c>
      <c r="I674">
        <v>2059152810</v>
      </c>
      <c r="J674">
        <v>1433651304</v>
      </c>
      <c r="K674">
        <v>1221705729</v>
      </c>
      <c r="L674">
        <v>926357144</v>
      </c>
      <c r="M674">
        <v>727929717</v>
      </c>
      <c r="N674">
        <v>38429610</v>
      </c>
      <c r="O674">
        <v>59212986</v>
      </c>
      <c r="P674">
        <v>13801</v>
      </c>
      <c r="Q674" t="s">
        <v>1575</v>
      </c>
    </row>
    <row r="675" spans="1:17" x14ac:dyDescent="0.3">
      <c r="A675" t="s">
        <v>17</v>
      </c>
      <c r="B675" t="str">
        <f>"600845"</f>
        <v>600845</v>
      </c>
      <c r="C675" t="s">
        <v>1576</v>
      </c>
      <c r="D675" t="s">
        <v>224</v>
      </c>
      <c r="E675">
        <v>2613199164</v>
      </c>
      <c r="F675">
        <v>1753203748</v>
      </c>
      <c r="G675">
        <v>958418802</v>
      </c>
      <c r="H675">
        <v>1424808834</v>
      </c>
      <c r="I675">
        <v>946187076</v>
      </c>
      <c r="J675">
        <v>1162243795</v>
      </c>
      <c r="K675">
        <v>899443654</v>
      </c>
      <c r="L675">
        <v>801093621</v>
      </c>
      <c r="M675">
        <v>615507187</v>
      </c>
      <c r="N675">
        <v>473290985</v>
      </c>
      <c r="O675">
        <v>544774062</v>
      </c>
      <c r="P675">
        <v>1594</v>
      </c>
      <c r="Q675" t="s">
        <v>1577</v>
      </c>
    </row>
    <row r="676" spans="1:17" x14ac:dyDescent="0.3">
      <c r="A676" t="s">
        <v>75</v>
      </c>
      <c r="B676" t="str">
        <f>"001308"</f>
        <v>001308</v>
      </c>
      <c r="C676" t="s">
        <v>1578</v>
      </c>
      <c r="E676">
        <v>2606588581</v>
      </c>
      <c r="F676">
        <v>2293428234</v>
      </c>
      <c r="P676">
        <v>5</v>
      </c>
      <c r="Q676" t="s">
        <v>1579</v>
      </c>
    </row>
    <row r="677" spans="1:17" x14ac:dyDescent="0.3">
      <c r="A677" t="s">
        <v>17</v>
      </c>
      <c r="B677" t="str">
        <f>"600885"</f>
        <v>600885</v>
      </c>
      <c r="C677" t="s">
        <v>1580</v>
      </c>
      <c r="D677" t="s">
        <v>682</v>
      </c>
      <c r="E677">
        <v>2586785672</v>
      </c>
      <c r="F677">
        <v>1904517888</v>
      </c>
      <c r="G677">
        <v>1797919894</v>
      </c>
      <c r="H677">
        <v>1282519646</v>
      </c>
      <c r="I677">
        <v>1175428798</v>
      </c>
      <c r="J677">
        <v>1062429847</v>
      </c>
      <c r="K677">
        <v>931499289</v>
      </c>
      <c r="L677">
        <v>831706488</v>
      </c>
      <c r="M677">
        <v>631671931</v>
      </c>
      <c r="N677">
        <v>463216475</v>
      </c>
      <c r="O677">
        <v>76407772</v>
      </c>
      <c r="P677">
        <v>13105</v>
      </c>
      <c r="Q677" t="s">
        <v>1581</v>
      </c>
    </row>
    <row r="678" spans="1:17" x14ac:dyDescent="0.3">
      <c r="A678" t="s">
        <v>75</v>
      </c>
      <c r="B678" t="str">
        <f>"002641"</f>
        <v>002641</v>
      </c>
      <c r="C678" t="s">
        <v>1582</v>
      </c>
      <c r="D678" t="s">
        <v>1583</v>
      </c>
      <c r="E678">
        <v>2585340154</v>
      </c>
      <c r="F678">
        <v>2479570609</v>
      </c>
      <c r="G678">
        <v>1453259508</v>
      </c>
      <c r="H678">
        <v>1525724976</v>
      </c>
      <c r="I678">
        <v>1331309511</v>
      </c>
      <c r="J678">
        <v>1048629601</v>
      </c>
      <c r="K678">
        <v>957511867</v>
      </c>
      <c r="L678">
        <v>787282817</v>
      </c>
      <c r="M678">
        <v>596323855</v>
      </c>
      <c r="N678">
        <v>543758110</v>
      </c>
      <c r="O678">
        <v>490376117</v>
      </c>
      <c r="P678">
        <v>360</v>
      </c>
      <c r="Q678" t="s">
        <v>1584</v>
      </c>
    </row>
    <row r="679" spans="1:17" x14ac:dyDescent="0.3">
      <c r="A679" t="s">
        <v>17</v>
      </c>
      <c r="B679" t="str">
        <f>"603737"</f>
        <v>603737</v>
      </c>
      <c r="C679" t="s">
        <v>1585</v>
      </c>
      <c r="D679" t="s">
        <v>1586</v>
      </c>
      <c r="E679">
        <v>2579417780</v>
      </c>
      <c r="F679">
        <v>2157120136</v>
      </c>
      <c r="G679">
        <v>761808414</v>
      </c>
      <c r="H679">
        <v>753527298</v>
      </c>
      <c r="I679">
        <v>538443487</v>
      </c>
      <c r="J679">
        <v>391838998</v>
      </c>
      <c r="K679">
        <v>278974839</v>
      </c>
      <c r="L679">
        <v>190928335</v>
      </c>
      <c r="P679">
        <v>1048</v>
      </c>
      <c r="Q679" t="s">
        <v>1587</v>
      </c>
    </row>
    <row r="680" spans="1:17" x14ac:dyDescent="0.3">
      <c r="A680" t="s">
        <v>17</v>
      </c>
      <c r="B680" t="str">
        <f>"603228"</f>
        <v>603228</v>
      </c>
      <c r="C680" t="s">
        <v>1588</v>
      </c>
      <c r="D680" t="s">
        <v>567</v>
      </c>
      <c r="E680">
        <v>2579356606</v>
      </c>
      <c r="F680">
        <v>2116823491</v>
      </c>
      <c r="G680">
        <v>1907791912</v>
      </c>
      <c r="H680">
        <v>1458703804</v>
      </c>
      <c r="I680">
        <v>1123601505</v>
      </c>
      <c r="J680">
        <v>884519128</v>
      </c>
      <c r="K680">
        <v>614142713</v>
      </c>
      <c r="P680">
        <v>1624</v>
      </c>
      <c r="Q680" t="s">
        <v>1589</v>
      </c>
    </row>
    <row r="681" spans="1:17" x14ac:dyDescent="0.3">
      <c r="A681" t="s">
        <v>17</v>
      </c>
      <c r="B681" t="str">
        <f>"600094"</f>
        <v>600094</v>
      </c>
      <c r="C681" t="s">
        <v>1590</v>
      </c>
      <c r="D681" t="s">
        <v>65</v>
      </c>
      <c r="E681">
        <v>2575902303</v>
      </c>
      <c r="F681">
        <v>1815978017</v>
      </c>
      <c r="G681">
        <v>3511771801</v>
      </c>
      <c r="H681">
        <v>3040901192</v>
      </c>
      <c r="I681">
        <v>2948857178</v>
      </c>
      <c r="J681">
        <v>4516078974</v>
      </c>
      <c r="K681">
        <v>1766479908</v>
      </c>
      <c r="L681">
        <v>1260794617</v>
      </c>
      <c r="M681">
        <v>1194912050</v>
      </c>
      <c r="N681">
        <v>676293863</v>
      </c>
      <c r="O681">
        <v>154462688</v>
      </c>
      <c r="P681">
        <v>159</v>
      </c>
      <c r="Q681" t="s">
        <v>1591</v>
      </c>
    </row>
    <row r="682" spans="1:17" x14ac:dyDescent="0.3">
      <c r="A682" t="s">
        <v>75</v>
      </c>
      <c r="B682" t="str">
        <f>"300063"</f>
        <v>300063</v>
      </c>
      <c r="C682" t="s">
        <v>1592</v>
      </c>
      <c r="D682" t="s">
        <v>622</v>
      </c>
      <c r="E682">
        <v>2573764175</v>
      </c>
      <c r="F682">
        <v>2883053338</v>
      </c>
      <c r="G682">
        <v>2376895978</v>
      </c>
      <c r="H682">
        <v>1563373921</v>
      </c>
      <c r="I682">
        <v>1873795691</v>
      </c>
      <c r="J682">
        <v>1281847993</v>
      </c>
      <c r="K682">
        <v>1062636753</v>
      </c>
      <c r="L682">
        <v>173814068</v>
      </c>
      <c r="M682">
        <v>162791380</v>
      </c>
      <c r="N682">
        <v>73433454</v>
      </c>
      <c r="O682">
        <v>58846218</v>
      </c>
      <c r="P682">
        <v>109</v>
      </c>
      <c r="Q682" t="s">
        <v>1593</v>
      </c>
    </row>
    <row r="683" spans="1:17" x14ac:dyDescent="0.3">
      <c r="A683" t="s">
        <v>17</v>
      </c>
      <c r="B683" t="str">
        <f>"603369"</f>
        <v>603369</v>
      </c>
      <c r="C683" t="s">
        <v>1594</v>
      </c>
      <c r="D683" t="s">
        <v>201</v>
      </c>
      <c r="E683">
        <v>2562985476</v>
      </c>
      <c r="F683">
        <v>2118990011</v>
      </c>
      <c r="G683">
        <v>1009587588</v>
      </c>
      <c r="H683">
        <v>1311493778</v>
      </c>
      <c r="I683">
        <v>1174178358</v>
      </c>
      <c r="J683">
        <v>924646915</v>
      </c>
      <c r="K683">
        <v>867165601</v>
      </c>
      <c r="L683">
        <v>826907392</v>
      </c>
      <c r="M683">
        <v>0</v>
      </c>
      <c r="N683">
        <v>0</v>
      </c>
      <c r="P683">
        <v>35436</v>
      </c>
      <c r="Q683" t="s">
        <v>1595</v>
      </c>
    </row>
    <row r="684" spans="1:17" x14ac:dyDescent="0.3">
      <c r="A684" t="s">
        <v>75</v>
      </c>
      <c r="B684" t="str">
        <f>"002062"</f>
        <v>002062</v>
      </c>
      <c r="C684" t="s">
        <v>1596</v>
      </c>
      <c r="D684" t="s">
        <v>27</v>
      </c>
      <c r="E684">
        <v>2559875994</v>
      </c>
      <c r="F684">
        <v>2812755096</v>
      </c>
      <c r="G684">
        <v>2657530281</v>
      </c>
      <c r="H684">
        <v>2751474676</v>
      </c>
      <c r="I684">
        <v>2633661926</v>
      </c>
      <c r="J684">
        <v>2187601003</v>
      </c>
      <c r="K684">
        <v>1891513572</v>
      </c>
      <c r="L684">
        <v>2408616150</v>
      </c>
      <c r="M684">
        <v>2096941553</v>
      </c>
      <c r="N684">
        <v>2201758660</v>
      </c>
      <c r="O684">
        <v>1699797081</v>
      </c>
      <c r="P684">
        <v>145</v>
      </c>
      <c r="Q684" t="s">
        <v>1597</v>
      </c>
    </row>
    <row r="685" spans="1:17" x14ac:dyDescent="0.3">
      <c r="A685" t="s">
        <v>75</v>
      </c>
      <c r="B685" t="str">
        <f>"002030"</f>
        <v>002030</v>
      </c>
      <c r="C685" t="s">
        <v>1598</v>
      </c>
      <c r="D685" t="s">
        <v>967</v>
      </c>
      <c r="E685">
        <v>2553446553</v>
      </c>
      <c r="F685">
        <v>1727739339</v>
      </c>
      <c r="G685">
        <v>442596531</v>
      </c>
      <c r="H685">
        <v>230203010</v>
      </c>
      <c r="I685">
        <v>374819562</v>
      </c>
      <c r="J685">
        <v>320341373</v>
      </c>
      <c r="K685">
        <v>296382730</v>
      </c>
      <c r="L685">
        <v>240720754</v>
      </c>
      <c r="M685">
        <v>167781448</v>
      </c>
      <c r="N685">
        <v>143129383</v>
      </c>
      <c r="O685">
        <v>115980908</v>
      </c>
      <c r="P685">
        <v>1177</v>
      </c>
      <c r="Q685" t="s">
        <v>1599</v>
      </c>
    </row>
    <row r="686" spans="1:17" x14ac:dyDescent="0.3">
      <c r="A686" t="s">
        <v>75</v>
      </c>
      <c r="B686" t="str">
        <f>"002249"</f>
        <v>002249</v>
      </c>
      <c r="C686" t="s">
        <v>1600</v>
      </c>
      <c r="D686" t="s">
        <v>1487</v>
      </c>
      <c r="E686">
        <v>2550734261</v>
      </c>
      <c r="F686">
        <v>2161916954</v>
      </c>
      <c r="G686">
        <v>1903046168</v>
      </c>
      <c r="H686">
        <v>2428899817</v>
      </c>
      <c r="I686">
        <v>1979234759</v>
      </c>
      <c r="J686">
        <v>1667184557</v>
      </c>
      <c r="K686">
        <v>1501013473</v>
      </c>
      <c r="L686">
        <v>911413389</v>
      </c>
      <c r="M686">
        <v>848941380</v>
      </c>
      <c r="N686">
        <v>672640434</v>
      </c>
      <c r="O686">
        <v>572919642</v>
      </c>
      <c r="P686">
        <v>338</v>
      </c>
      <c r="Q686" t="s">
        <v>1601</v>
      </c>
    </row>
    <row r="687" spans="1:17" x14ac:dyDescent="0.3">
      <c r="A687" t="s">
        <v>17</v>
      </c>
      <c r="B687" t="str">
        <f>"600210"</f>
        <v>600210</v>
      </c>
      <c r="C687" t="s">
        <v>1602</v>
      </c>
      <c r="D687" t="s">
        <v>1603</v>
      </c>
      <c r="E687">
        <v>2545526652</v>
      </c>
      <c r="F687">
        <v>2571099123</v>
      </c>
      <c r="G687">
        <v>2069922108</v>
      </c>
      <c r="H687">
        <v>2426548269</v>
      </c>
      <c r="I687">
        <v>2488942815</v>
      </c>
      <c r="J687">
        <v>2367371525</v>
      </c>
      <c r="K687">
        <v>2343476761</v>
      </c>
      <c r="L687">
        <v>0</v>
      </c>
      <c r="M687">
        <v>2518375077</v>
      </c>
      <c r="N687">
        <v>2410879949</v>
      </c>
      <c r="O687">
        <v>2202513749</v>
      </c>
      <c r="P687">
        <v>192</v>
      </c>
      <c r="Q687" t="s">
        <v>1604</v>
      </c>
    </row>
    <row r="688" spans="1:17" x14ac:dyDescent="0.3">
      <c r="A688" t="s">
        <v>17</v>
      </c>
      <c r="B688" t="str">
        <f>"601021"</f>
        <v>601021</v>
      </c>
      <c r="C688" t="s">
        <v>1605</v>
      </c>
      <c r="D688" t="s">
        <v>246</v>
      </c>
      <c r="E688">
        <v>2544861450</v>
      </c>
      <c r="F688">
        <v>2557762606</v>
      </c>
      <c r="G688">
        <v>1805071999</v>
      </c>
      <c r="H688">
        <v>3875413748</v>
      </c>
      <c r="I688">
        <v>3914779522</v>
      </c>
      <c r="J688">
        <v>2829703817</v>
      </c>
      <c r="K688">
        <v>2303046855</v>
      </c>
      <c r="L688">
        <v>2120725400</v>
      </c>
      <c r="M688">
        <v>2071584300</v>
      </c>
      <c r="P688">
        <v>1019</v>
      </c>
      <c r="Q688" t="s">
        <v>1606</v>
      </c>
    </row>
    <row r="689" spans="1:17" x14ac:dyDescent="0.3">
      <c r="A689" t="s">
        <v>75</v>
      </c>
      <c r="B689" t="str">
        <f>"000928"</f>
        <v>000928</v>
      </c>
      <c r="C689" t="s">
        <v>1607</v>
      </c>
      <c r="D689" t="s">
        <v>797</v>
      </c>
      <c r="E689">
        <v>2527830590</v>
      </c>
      <c r="F689">
        <v>1624898882</v>
      </c>
      <c r="G689">
        <v>2031602065</v>
      </c>
      <c r="H689">
        <v>1938656787</v>
      </c>
      <c r="I689">
        <v>1907637550</v>
      </c>
      <c r="J689">
        <v>2742313649</v>
      </c>
      <c r="K689">
        <v>1366085925</v>
      </c>
      <c r="L689">
        <v>1377861531</v>
      </c>
      <c r="M689">
        <v>205443226</v>
      </c>
      <c r="N689">
        <v>235545615</v>
      </c>
      <c r="O689">
        <v>390359791</v>
      </c>
      <c r="P689">
        <v>271</v>
      </c>
      <c r="Q689" t="s">
        <v>1608</v>
      </c>
    </row>
    <row r="690" spans="1:17" x14ac:dyDescent="0.3">
      <c r="A690" t="s">
        <v>17</v>
      </c>
      <c r="B690" t="str">
        <f>"688778"</f>
        <v>688778</v>
      </c>
      <c r="C690" t="s">
        <v>1609</v>
      </c>
      <c r="D690" t="s">
        <v>834</v>
      </c>
      <c r="E690">
        <v>2526112830</v>
      </c>
      <c r="F690">
        <v>912941977</v>
      </c>
      <c r="G690">
        <v>590326266</v>
      </c>
      <c r="P690">
        <v>44</v>
      </c>
      <c r="Q690" t="s">
        <v>1610</v>
      </c>
    </row>
    <row r="691" spans="1:17" x14ac:dyDescent="0.3">
      <c r="A691" t="s">
        <v>75</v>
      </c>
      <c r="B691" t="str">
        <f>"002300"</f>
        <v>002300</v>
      </c>
      <c r="C691" t="s">
        <v>1611</v>
      </c>
      <c r="D691" t="s">
        <v>562</v>
      </c>
      <c r="E691">
        <v>2525920560</v>
      </c>
      <c r="F691">
        <v>2061011413</v>
      </c>
      <c r="G691">
        <v>1254868863</v>
      </c>
      <c r="H691">
        <v>1177138471</v>
      </c>
      <c r="I691">
        <v>913006336</v>
      </c>
      <c r="J691">
        <v>716858061</v>
      </c>
      <c r="K691">
        <v>699518596</v>
      </c>
      <c r="L691">
        <v>714463966</v>
      </c>
      <c r="M691">
        <v>770134215</v>
      </c>
      <c r="N691">
        <v>666851372</v>
      </c>
      <c r="O691">
        <v>693218938</v>
      </c>
      <c r="P691">
        <v>125</v>
      </c>
      <c r="Q691" t="s">
        <v>1612</v>
      </c>
    </row>
    <row r="692" spans="1:17" x14ac:dyDescent="0.3">
      <c r="A692" t="s">
        <v>17</v>
      </c>
      <c r="B692" t="str">
        <f>"600508"</f>
        <v>600508</v>
      </c>
      <c r="C692" t="s">
        <v>1613</v>
      </c>
      <c r="D692" t="s">
        <v>306</v>
      </c>
      <c r="E692">
        <v>2518457026</v>
      </c>
      <c r="F692">
        <v>1489707520</v>
      </c>
      <c r="G692">
        <v>1349566644</v>
      </c>
      <c r="H692">
        <v>2240873983</v>
      </c>
      <c r="I692">
        <v>1988222300</v>
      </c>
      <c r="J692">
        <v>1463150618</v>
      </c>
      <c r="K692">
        <v>1264372362</v>
      </c>
      <c r="L692">
        <v>1439255288</v>
      </c>
      <c r="M692">
        <v>1977139571</v>
      </c>
      <c r="N692">
        <v>2150270235</v>
      </c>
      <c r="O692">
        <v>2755420479</v>
      </c>
      <c r="P692">
        <v>267</v>
      </c>
      <c r="Q692" t="s">
        <v>1614</v>
      </c>
    </row>
    <row r="693" spans="1:17" x14ac:dyDescent="0.3">
      <c r="A693" t="s">
        <v>17</v>
      </c>
      <c r="B693" t="str">
        <f>"603713"</f>
        <v>603713</v>
      </c>
      <c r="C693" t="s">
        <v>1615</v>
      </c>
      <c r="D693" t="s">
        <v>331</v>
      </c>
      <c r="E693">
        <v>2510435483</v>
      </c>
      <c r="F693">
        <v>1422798376</v>
      </c>
      <c r="G693">
        <v>588745866</v>
      </c>
      <c r="H693">
        <v>589580129</v>
      </c>
      <c r="I693">
        <v>374875762</v>
      </c>
      <c r="J693">
        <v>267959473</v>
      </c>
      <c r="P693">
        <v>457</v>
      </c>
      <c r="Q693" t="s">
        <v>1616</v>
      </c>
    </row>
    <row r="694" spans="1:17" x14ac:dyDescent="0.3">
      <c r="A694" t="s">
        <v>17</v>
      </c>
      <c r="B694" t="str">
        <f>"603003"</f>
        <v>603003</v>
      </c>
      <c r="C694" t="s">
        <v>1617</v>
      </c>
      <c r="D694" t="s">
        <v>224</v>
      </c>
      <c r="E694">
        <v>2508571650</v>
      </c>
      <c r="F694">
        <v>1628771303</v>
      </c>
      <c r="G694">
        <v>2583099612</v>
      </c>
      <c r="H694">
        <v>4644240020</v>
      </c>
      <c r="I694">
        <v>6064359315</v>
      </c>
      <c r="J694">
        <v>4404620345</v>
      </c>
      <c r="K694">
        <v>4327392774</v>
      </c>
      <c r="L694">
        <v>403664338</v>
      </c>
      <c r="M694">
        <v>803430851</v>
      </c>
      <c r="N694">
        <v>729372582</v>
      </c>
      <c r="O694">
        <v>1285632517</v>
      </c>
      <c r="P694">
        <v>88</v>
      </c>
      <c r="Q694" t="s">
        <v>1618</v>
      </c>
    </row>
    <row r="695" spans="1:17" x14ac:dyDescent="0.3">
      <c r="A695" t="s">
        <v>17</v>
      </c>
      <c r="B695" t="str">
        <f>"600377"</f>
        <v>600377</v>
      </c>
      <c r="C695" t="s">
        <v>1619</v>
      </c>
      <c r="D695" t="s">
        <v>1248</v>
      </c>
      <c r="E695">
        <v>2506022549</v>
      </c>
      <c r="F695">
        <v>2564383650</v>
      </c>
      <c r="G695">
        <v>1048594969</v>
      </c>
      <c r="H695">
        <v>2748176679</v>
      </c>
      <c r="I695">
        <v>2275392859</v>
      </c>
      <c r="J695">
        <v>2410482097</v>
      </c>
      <c r="K695">
        <v>2732872294</v>
      </c>
      <c r="L695">
        <v>1978354263</v>
      </c>
      <c r="M695">
        <v>1958610630</v>
      </c>
      <c r="N695">
        <v>1906601674</v>
      </c>
      <c r="O695">
        <v>1846214445</v>
      </c>
      <c r="P695">
        <v>1722</v>
      </c>
      <c r="Q695" t="s">
        <v>1620</v>
      </c>
    </row>
    <row r="696" spans="1:17" x14ac:dyDescent="0.3">
      <c r="A696" t="s">
        <v>17</v>
      </c>
      <c r="B696" t="str">
        <f>"600236"</f>
        <v>600236</v>
      </c>
      <c r="C696" t="s">
        <v>1621</v>
      </c>
      <c r="D696" t="s">
        <v>528</v>
      </c>
      <c r="E696">
        <v>2503714821</v>
      </c>
      <c r="F696">
        <v>2534743063</v>
      </c>
      <c r="G696">
        <v>1894604437</v>
      </c>
      <c r="H696">
        <v>2676601893</v>
      </c>
      <c r="I696">
        <v>2768925783</v>
      </c>
      <c r="J696">
        <v>1918321334</v>
      </c>
      <c r="K696">
        <v>2257009674</v>
      </c>
      <c r="L696">
        <v>1633523730</v>
      </c>
      <c r="M696">
        <v>1198278706</v>
      </c>
      <c r="N696">
        <v>1534752738</v>
      </c>
      <c r="O696">
        <v>1006647536</v>
      </c>
      <c r="P696">
        <v>651</v>
      </c>
      <c r="Q696" t="s">
        <v>1622</v>
      </c>
    </row>
    <row r="697" spans="1:17" x14ac:dyDescent="0.3">
      <c r="A697" t="s">
        <v>17</v>
      </c>
      <c r="B697" t="str">
        <f>"600579"</f>
        <v>600579</v>
      </c>
      <c r="C697" t="s">
        <v>1623</v>
      </c>
      <c r="D697" t="s">
        <v>1624</v>
      </c>
      <c r="E697">
        <v>2502658634</v>
      </c>
      <c r="F697">
        <v>2591331629</v>
      </c>
      <c r="G697">
        <v>2515492154</v>
      </c>
      <c r="H697">
        <v>2846599539</v>
      </c>
      <c r="I697">
        <v>156507473</v>
      </c>
      <c r="J697">
        <v>57038707</v>
      </c>
      <c r="K697">
        <v>134990581</v>
      </c>
      <c r="L697">
        <v>163716576</v>
      </c>
      <c r="M697">
        <v>137234716</v>
      </c>
      <c r="N697">
        <v>68505215</v>
      </c>
      <c r="O697">
        <v>51553289</v>
      </c>
      <c r="P697">
        <v>72</v>
      </c>
      <c r="Q697" t="s">
        <v>1625</v>
      </c>
    </row>
    <row r="698" spans="1:17" x14ac:dyDescent="0.3">
      <c r="A698" t="s">
        <v>75</v>
      </c>
      <c r="B698" t="str">
        <f>"002603"</f>
        <v>002603</v>
      </c>
      <c r="C698" t="s">
        <v>1626</v>
      </c>
      <c r="D698" t="s">
        <v>321</v>
      </c>
      <c r="E698">
        <v>2496895410</v>
      </c>
      <c r="F698">
        <v>2773924421</v>
      </c>
      <c r="G698">
        <v>3164059819</v>
      </c>
      <c r="H698">
        <v>1427570053</v>
      </c>
      <c r="I698">
        <v>1144245033</v>
      </c>
      <c r="J698">
        <v>903374957</v>
      </c>
      <c r="K698">
        <v>879674537</v>
      </c>
      <c r="L698">
        <v>700421126</v>
      </c>
      <c r="M698">
        <v>738243254</v>
      </c>
      <c r="N698">
        <v>612344839</v>
      </c>
      <c r="O698">
        <v>333429877</v>
      </c>
      <c r="P698">
        <v>833</v>
      </c>
      <c r="Q698" t="s">
        <v>1627</v>
      </c>
    </row>
    <row r="699" spans="1:17" x14ac:dyDescent="0.3">
      <c r="A699" t="s">
        <v>17</v>
      </c>
      <c r="B699" t="str">
        <f>"688396"</f>
        <v>688396</v>
      </c>
      <c r="C699" t="s">
        <v>1628</v>
      </c>
      <c r="D699" t="s">
        <v>1629</v>
      </c>
      <c r="E699">
        <v>2490260598</v>
      </c>
      <c r="F699">
        <v>1919700837</v>
      </c>
      <c r="G699">
        <v>1180920919</v>
      </c>
      <c r="H699">
        <v>1059012446</v>
      </c>
      <c r="P699">
        <v>495</v>
      </c>
      <c r="Q699" t="s">
        <v>1630</v>
      </c>
    </row>
    <row r="700" spans="1:17" x14ac:dyDescent="0.3">
      <c r="A700" t="s">
        <v>17</v>
      </c>
      <c r="B700" t="str">
        <f>"600987"</f>
        <v>600987</v>
      </c>
      <c r="C700" t="s">
        <v>1631</v>
      </c>
      <c r="D700" t="s">
        <v>951</v>
      </c>
      <c r="E700">
        <v>2487592339</v>
      </c>
      <c r="F700">
        <v>2449161057</v>
      </c>
      <c r="G700">
        <v>1321939625</v>
      </c>
      <c r="H700">
        <v>1858525095</v>
      </c>
      <c r="I700">
        <v>788427189</v>
      </c>
      <c r="J700">
        <v>729212078</v>
      </c>
      <c r="K700">
        <v>654312451</v>
      </c>
      <c r="L700">
        <v>624772720</v>
      </c>
      <c r="M700">
        <v>662956742</v>
      </c>
      <c r="N700">
        <v>544362467</v>
      </c>
      <c r="O700">
        <v>494406759</v>
      </c>
      <c r="P700">
        <v>4846</v>
      </c>
      <c r="Q700" t="s">
        <v>1632</v>
      </c>
    </row>
    <row r="701" spans="1:17" x14ac:dyDescent="0.3">
      <c r="A701" t="s">
        <v>17</v>
      </c>
      <c r="B701" t="str">
        <f>"603882"</f>
        <v>603882</v>
      </c>
      <c r="C701" t="s">
        <v>1633</v>
      </c>
      <c r="D701" t="s">
        <v>1490</v>
      </c>
      <c r="E701">
        <v>2484231350</v>
      </c>
      <c r="F701">
        <v>1916148570</v>
      </c>
      <c r="G701">
        <v>895114529</v>
      </c>
      <c r="H701">
        <v>982010155</v>
      </c>
      <c r="I701">
        <v>822609715</v>
      </c>
      <c r="J701">
        <v>692524540</v>
      </c>
      <c r="P701">
        <v>1844</v>
      </c>
      <c r="Q701" t="s">
        <v>1634</v>
      </c>
    </row>
    <row r="702" spans="1:17" x14ac:dyDescent="0.3">
      <c r="A702" t="s">
        <v>75</v>
      </c>
      <c r="B702" t="str">
        <f>"300888"</f>
        <v>300888</v>
      </c>
      <c r="C702" t="s">
        <v>1635</v>
      </c>
      <c r="D702" t="s">
        <v>1636</v>
      </c>
      <c r="E702">
        <v>2472159804</v>
      </c>
      <c r="F702">
        <v>2204595850</v>
      </c>
      <c r="G702">
        <v>0</v>
      </c>
      <c r="P702">
        <v>457</v>
      </c>
      <c r="Q702" t="s">
        <v>1637</v>
      </c>
    </row>
    <row r="703" spans="1:17" x14ac:dyDescent="0.3">
      <c r="A703" t="s">
        <v>17</v>
      </c>
      <c r="B703" t="str">
        <f>"601038"</f>
        <v>601038</v>
      </c>
      <c r="C703" t="s">
        <v>1638</v>
      </c>
      <c r="D703" t="s">
        <v>1639</v>
      </c>
      <c r="E703">
        <v>2463776079</v>
      </c>
      <c r="F703">
        <v>1731864717</v>
      </c>
      <c r="G703">
        <v>1581980675</v>
      </c>
      <c r="H703">
        <v>1420917147</v>
      </c>
      <c r="I703">
        <v>1558243410</v>
      </c>
      <c r="J703">
        <v>2068824108</v>
      </c>
      <c r="K703">
        <v>2738708967</v>
      </c>
      <c r="L703">
        <v>2465805539</v>
      </c>
      <c r="M703">
        <v>2513442718</v>
      </c>
      <c r="N703">
        <v>2658761505</v>
      </c>
      <c r="O703">
        <v>3165495547</v>
      </c>
      <c r="P703">
        <v>179</v>
      </c>
      <c r="Q703" t="s">
        <v>1640</v>
      </c>
    </row>
    <row r="704" spans="1:17" x14ac:dyDescent="0.3">
      <c r="A704" t="s">
        <v>75</v>
      </c>
      <c r="B704" t="str">
        <f>"002645"</f>
        <v>002645</v>
      </c>
      <c r="C704" t="s">
        <v>1641</v>
      </c>
      <c r="D704" t="s">
        <v>1642</v>
      </c>
      <c r="E704">
        <v>2461235798</v>
      </c>
      <c r="F704">
        <v>1520047099</v>
      </c>
      <c r="G704">
        <v>281269098</v>
      </c>
      <c r="H704">
        <v>434352436</v>
      </c>
      <c r="I704">
        <v>429010586</v>
      </c>
      <c r="J704">
        <v>326452967</v>
      </c>
      <c r="K704">
        <v>185670272</v>
      </c>
      <c r="L704">
        <v>60082556</v>
      </c>
      <c r="M704">
        <v>103464627</v>
      </c>
      <c r="N704">
        <v>105190658</v>
      </c>
      <c r="O704">
        <v>130974082</v>
      </c>
      <c r="P704">
        <v>204</v>
      </c>
      <c r="Q704" t="s">
        <v>1643</v>
      </c>
    </row>
    <row r="705" spans="1:17" x14ac:dyDescent="0.3">
      <c r="A705" t="s">
        <v>17</v>
      </c>
      <c r="B705" t="str">
        <f>"600703"</f>
        <v>600703</v>
      </c>
      <c r="C705" t="s">
        <v>1644</v>
      </c>
      <c r="D705" t="s">
        <v>1044</v>
      </c>
      <c r="E705">
        <v>2460842153</v>
      </c>
      <c r="F705">
        <v>1572535373</v>
      </c>
      <c r="G705">
        <v>1846484490</v>
      </c>
      <c r="H705">
        <v>1719561158</v>
      </c>
      <c r="I705">
        <v>1625666543</v>
      </c>
      <c r="J705">
        <v>1441184023</v>
      </c>
      <c r="K705">
        <v>1110119581</v>
      </c>
      <c r="L705">
        <v>974769221</v>
      </c>
      <c r="M705">
        <v>571420370</v>
      </c>
      <c r="N705">
        <v>626068321</v>
      </c>
      <c r="O705">
        <v>427049733</v>
      </c>
      <c r="P705">
        <v>2761</v>
      </c>
      <c r="Q705" t="s">
        <v>1645</v>
      </c>
    </row>
    <row r="706" spans="1:17" x14ac:dyDescent="0.3">
      <c r="A706" t="s">
        <v>75</v>
      </c>
      <c r="B706" t="str">
        <f>"002115"</f>
        <v>002115</v>
      </c>
      <c r="C706" t="s">
        <v>1646</v>
      </c>
      <c r="D706" t="s">
        <v>1647</v>
      </c>
      <c r="E706">
        <v>2460823862</v>
      </c>
      <c r="F706">
        <v>2638429798</v>
      </c>
      <c r="G706">
        <v>1993391566</v>
      </c>
      <c r="H706">
        <v>1115874169</v>
      </c>
      <c r="I706">
        <v>563708714</v>
      </c>
      <c r="J706">
        <v>248634685</v>
      </c>
      <c r="K706">
        <v>167676260</v>
      </c>
      <c r="L706">
        <v>183730520</v>
      </c>
      <c r="M706">
        <v>119458892</v>
      </c>
      <c r="N706">
        <v>141548430</v>
      </c>
      <c r="O706">
        <v>161447620</v>
      </c>
      <c r="P706">
        <v>239</v>
      </c>
      <c r="Q706" t="s">
        <v>1648</v>
      </c>
    </row>
    <row r="707" spans="1:17" x14ac:dyDescent="0.3">
      <c r="A707" t="s">
        <v>75</v>
      </c>
      <c r="B707" t="str">
        <f>"002756"</f>
        <v>002756</v>
      </c>
      <c r="C707" t="s">
        <v>1649</v>
      </c>
      <c r="D707" t="s">
        <v>238</v>
      </c>
      <c r="E707">
        <v>2456124646</v>
      </c>
      <c r="F707">
        <v>1040551964</v>
      </c>
      <c r="G707">
        <v>802794429</v>
      </c>
      <c r="H707">
        <v>1469409726</v>
      </c>
      <c r="I707">
        <v>1204522336</v>
      </c>
      <c r="J707">
        <v>1043746759</v>
      </c>
      <c r="K707">
        <v>888922334</v>
      </c>
      <c r="L707">
        <v>1056528743</v>
      </c>
      <c r="M707">
        <v>974158299</v>
      </c>
      <c r="P707">
        <v>307</v>
      </c>
      <c r="Q707" t="s">
        <v>1650</v>
      </c>
    </row>
    <row r="708" spans="1:17" x14ac:dyDescent="0.3">
      <c r="A708" t="s">
        <v>17</v>
      </c>
      <c r="B708" t="str">
        <f>"601568"</f>
        <v>601568</v>
      </c>
      <c r="C708" t="s">
        <v>1651</v>
      </c>
      <c r="D708" t="s">
        <v>311</v>
      </c>
      <c r="E708">
        <v>2453579067</v>
      </c>
      <c r="F708">
        <v>2139409536</v>
      </c>
      <c r="G708">
        <v>2063551121</v>
      </c>
      <c r="P708">
        <v>121</v>
      </c>
      <c r="Q708" t="s">
        <v>1652</v>
      </c>
    </row>
    <row r="709" spans="1:17" x14ac:dyDescent="0.3">
      <c r="A709" t="s">
        <v>75</v>
      </c>
      <c r="B709" t="str">
        <f>"002946"</f>
        <v>002946</v>
      </c>
      <c r="C709" t="s">
        <v>1653</v>
      </c>
      <c r="D709" t="s">
        <v>215</v>
      </c>
      <c r="E709">
        <v>2451439352</v>
      </c>
      <c r="F709">
        <v>2333646422</v>
      </c>
      <c r="G709">
        <v>1205097146</v>
      </c>
      <c r="H709">
        <v>1300267072</v>
      </c>
      <c r="I709">
        <v>1199003845</v>
      </c>
      <c r="P709">
        <v>342</v>
      </c>
      <c r="Q709" t="s">
        <v>1654</v>
      </c>
    </row>
    <row r="710" spans="1:17" x14ac:dyDescent="0.3">
      <c r="A710" t="s">
        <v>17</v>
      </c>
      <c r="B710" t="str">
        <f>"600190"</f>
        <v>600190</v>
      </c>
      <c r="C710" t="s">
        <v>1655</v>
      </c>
      <c r="D710" t="s">
        <v>383</v>
      </c>
      <c r="E710">
        <v>2444827048</v>
      </c>
      <c r="F710">
        <v>1950101518</v>
      </c>
      <c r="G710">
        <v>1350602790</v>
      </c>
      <c r="H710">
        <v>1360115308</v>
      </c>
      <c r="I710">
        <v>1408466143</v>
      </c>
      <c r="J710">
        <v>598621804</v>
      </c>
      <c r="K710">
        <v>630641409</v>
      </c>
      <c r="L710">
        <v>649651172</v>
      </c>
      <c r="M710">
        <v>460879598</v>
      </c>
      <c r="N710">
        <v>230885124</v>
      </c>
      <c r="O710">
        <v>299024595</v>
      </c>
      <c r="P710">
        <v>90</v>
      </c>
      <c r="Q710" t="s">
        <v>1656</v>
      </c>
    </row>
    <row r="711" spans="1:17" x14ac:dyDescent="0.3">
      <c r="A711" t="s">
        <v>17</v>
      </c>
      <c r="B711" t="str">
        <f>"600428"</f>
        <v>600428</v>
      </c>
      <c r="C711" t="s">
        <v>1657</v>
      </c>
      <c r="D711" t="s">
        <v>62</v>
      </c>
      <c r="E711">
        <v>2444699346</v>
      </c>
      <c r="F711">
        <v>1404878371</v>
      </c>
      <c r="G711">
        <v>2010432634</v>
      </c>
      <c r="H711">
        <v>1774532399</v>
      </c>
      <c r="I711">
        <v>1291959851</v>
      </c>
      <c r="J711">
        <v>1624768063</v>
      </c>
      <c r="K711">
        <v>1314392850</v>
      </c>
      <c r="L711">
        <v>1840632887</v>
      </c>
      <c r="M711">
        <v>1553317301</v>
      </c>
      <c r="N711">
        <v>1217347196</v>
      </c>
      <c r="O711">
        <v>1166886161</v>
      </c>
      <c r="P711">
        <v>199</v>
      </c>
      <c r="Q711" t="s">
        <v>1658</v>
      </c>
    </row>
    <row r="712" spans="1:17" x14ac:dyDescent="0.3">
      <c r="A712" t="s">
        <v>17</v>
      </c>
      <c r="B712" t="str">
        <f>"601369"</f>
        <v>601369</v>
      </c>
      <c r="C712" t="s">
        <v>1659</v>
      </c>
      <c r="D712" t="s">
        <v>1424</v>
      </c>
      <c r="E712">
        <v>2442929772</v>
      </c>
      <c r="F712">
        <v>2167895322</v>
      </c>
      <c r="G712">
        <v>1324219093</v>
      </c>
      <c r="H712">
        <v>1190155470</v>
      </c>
      <c r="I712">
        <v>847997676</v>
      </c>
      <c r="J712">
        <v>689319923</v>
      </c>
      <c r="K712">
        <v>674200339</v>
      </c>
      <c r="L712">
        <v>604640336</v>
      </c>
      <c r="M712">
        <v>985498125</v>
      </c>
      <c r="N712">
        <v>1080584751</v>
      </c>
      <c r="O712">
        <v>1739153551</v>
      </c>
      <c r="P712">
        <v>217</v>
      </c>
      <c r="Q712" t="s">
        <v>1660</v>
      </c>
    </row>
    <row r="713" spans="1:17" x14ac:dyDescent="0.3">
      <c r="A713" t="s">
        <v>17</v>
      </c>
      <c r="B713" t="str">
        <f>"600717"</f>
        <v>600717</v>
      </c>
      <c r="C713" t="s">
        <v>1661</v>
      </c>
      <c r="D713" t="s">
        <v>383</v>
      </c>
      <c r="E713">
        <v>2442557372</v>
      </c>
      <c r="F713">
        <v>3069198265</v>
      </c>
      <c r="G713">
        <v>2641321869</v>
      </c>
      <c r="H713">
        <v>2892578826</v>
      </c>
      <c r="I713">
        <v>2812672231</v>
      </c>
      <c r="J713">
        <v>3372585768</v>
      </c>
      <c r="K713">
        <v>2764030983</v>
      </c>
      <c r="L713">
        <v>4125959888</v>
      </c>
      <c r="M713">
        <v>3385775254</v>
      </c>
      <c r="N713">
        <v>2766513674</v>
      </c>
      <c r="O713">
        <v>2961817361</v>
      </c>
      <c r="P713">
        <v>262</v>
      </c>
      <c r="Q713" t="s">
        <v>1662</v>
      </c>
    </row>
    <row r="714" spans="1:17" x14ac:dyDescent="0.3">
      <c r="A714" t="s">
        <v>75</v>
      </c>
      <c r="B714" t="str">
        <f>"002709"</f>
        <v>002709</v>
      </c>
      <c r="C714" t="s">
        <v>1663</v>
      </c>
      <c r="D714" t="s">
        <v>834</v>
      </c>
      <c r="E714">
        <v>2438363261</v>
      </c>
      <c r="F714">
        <v>716344953</v>
      </c>
      <c r="G714">
        <v>364617233</v>
      </c>
      <c r="H714">
        <v>426592567</v>
      </c>
      <c r="I714">
        <v>332003996</v>
      </c>
      <c r="J714">
        <v>275711919</v>
      </c>
      <c r="K714">
        <v>224127150</v>
      </c>
      <c r="L714">
        <v>145922757</v>
      </c>
      <c r="M714">
        <v>112561182</v>
      </c>
      <c r="N714">
        <v>104051244</v>
      </c>
      <c r="P714">
        <v>1069</v>
      </c>
      <c r="Q714" t="s">
        <v>1664</v>
      </c>
    </row>
    <row r="715" spans="1:17" x14ac:dyDescent="0.3">
      <c r="A715" t="s">
        <v>75</v>
      </c>
      <c r="B715" t="str">
        <f>"301090"</f>
        <v>301090</v>
      </c>
      <c r="C715" t="s">
        <v>1665</v>
      </c>
      <c r="D715" t="s">
        <v>134</v>
      </c>
      <c r="E715">
        <v>2431606802</v>
      </c>
      <c r="G715">
        <v>3052823185</v>
      </c>
      <c r="P715">
        <v>18</v>
      </c>
      <c r="Q715" t="s">
        <v>1666</v>
      </c>
    </row>
    <row r="716" spans="1:17" x14ac:dyDescent="0.3">
      <c r="A716" t="s">
        <v>17</v>
      </c>
      <c r="B716" t="str">
        <f>"900948"</f>
        <v>900948</v>
      </c>
      <c r="C716" t="s">
        <v>1667</v>
      </c>
      <c r="E716">
        <v>2425095335.1531</v>
      </c>
      <c r="F716">
        <v>1650953441.1396</v>
      </c>
      <c r="G716">
        <v>1224954925.4252</v>
      </c>
      <c r="H716">
        <v>1651077316.5840001</v>
      </c>
      <c r="I716">
        <v>1532462892.1373999</v>
      </c>
      <c r="J716">
        <v>1419941931.1703999</v>
      </c>
      <c r="K716">
        <v>750648052.19780004</v>
      </c>
      <c r="L716">
        <v>757782494.70570004</v>
      </c>
      <c r="M716">
        <v>1164272812.2911999</v>
      </c>
      <c r="N716">
        <v>1491089292.819</v>
      </c>
      <c r="O716">
        <v>995499855.38759995</v>
      </c>
      <c r="P716">
        <v>225</v>
      </c>
      <c r="Q716" t="s">
        <v>1668</v>
      </c>
    </row>
    <row r="717" spans="1:17" x14ac:dyDescent="0.3">
      <c r="A717" t="s">
        <v>75</v>
      </c>
      <c r="B717" t="str">
        <f>"301078"</f>
        <v>301078</v>
      </c>
      <c r="C717" t="s">
        <v>1669</v>
      </c>
      <c r="D717" t="s">
        <v>241</v>
      </c>
      <c r="E717">
        <v>2398552766</v>
      </c>
      <c r="P717">
        <v>23</v>
      </c>
      <c r="Q717" t="s">
        <v>1670</v>
      </c>
    </row>
    <row r="718" spans="1:17" x14ac:dyDescent="0.3">
      <c r="A718" t="s">
        <v>17</v>
      </c>
      <c r="B718" t="str">
        <f>"601811"</f>
        <v>601811</v>
      </c>
      <c r="C718" t="s">
        <v>1671</v>
      </c>
      <c r="D718" t="s">
        <v>1433</v>
      </c>
      <c r="E718">
        <v>2395535666</v>
      </c>
      <c r="F718">
        <v>2090774630</v>
      </c>
      <c r="G718">
        <v>1434664718</v>
      </c>
      <c r="H718">
        <v>1562125736</v>
      </c>
      <c r="I718">
        <v>1388992215</v>
      </c>
      <c r="J718">
        <v>1380801724</v>
      </c>
      <c r="K718">
        <v>1047239320</v>
      </c>
      <c r="P718">
        <v>276</v>
      </c>
      <c r="Q718" t="s">
        <v>1672</v>
      </c>
    </row>
    <row r="719" spans="1:17" x14ac:dyDescent="0.3">
      <c r="A719" t="s">
        <v>75</v>
      </c>
      <c r="B719" t="str">
        <f>"002074"</f>
        <v>002074</v>
      </c>
      <c r="C719" t="s">
        <v>1673</v>
      </c>
      <c r="D719" t="s">
        <v>131</v>
      </c>
      <c r="E719">
        <v>2393571332</v>
      </c>
      <c r="F719">
        <v>858588164</v>
      </c>
      <c r="G719">
        <v>296445471</v>
      </c>
      <c r="H719">
        <v>1039937177</v>
      </c>
      <c r="I719">
        <v>312909510</v>
      </c>
      <c r="J719">
        <v>342468620</v>
      </c>
      <c r="K719">
        <v>508348411</v>
      </c>
      <c r="L719">
        <v>116192052</v>
      </c>
      <c r="M719">
        <v>113363571</v>
      </c>
      <c r="N719">
        <v>96926438</v>
      </c>
      <c r="O719">
        <v>82663981</v>
      </c>
      <c r="P719">
        <v>1003</v>
      </c>
      <c r="Q719" t="s">
        <v>1674</v>
      </c>
    </row>
    <row r="720" spans="1:17" x14ac:dyDescent="0.3">
      <c r="A720" t="s">
        <v>75</v>
      </c>
      <c r="B720" t="str">
        <f>"002624"</f>
        <v>002624</v>
      </c>
      <c r="C720" t="s">
        <v>1675</v>
      </c>
      <c r="D720" t="s">
        <v>1165</v>
      </c>
      <c r="E720">
        <v>2374166218</v>
      </c>
      <c r="F720">
        <v>2043181240</v>
      </c>
      <c r="G720">
        <v>2574294804</v>
      </c>
      <c r="H720">
        <v>1429925411</v>
      </c>
      <c r="I720">
        <v>1822981947</v>
      </c>
      <c r="J720">
        <v>2008961896</v>
      </c>
      <c r="K720">
        <v>144146502</v>
      </c>
      <c r="L720">
        <v>153605974</v>
      </c>
      <c r="M720">
        <v>43062812</v>
      </c>
      <c r="N720">
        <v>62397303</v>
      </c>
      <c r="O720">
        <v>56599443</v>
      </c>
      <c r="P720">
        <v>2399</v>
      </c>
      <c r="Q720" t="s">
        <v>1676</v>
      </c>
    </row>
    <row r="721" spans="1:17" x14ac:dyDescent="0.3">
      <c r="A721" t="s">
        <v>75</v>
      </c>
      <c r="B721" t="str">
        <f>"300184"</f>
        <v>300184</v>
      </c>
      <c r="C721" t="s">
        <v>1677</v>
      </c>
      <c r="D721" t="s">
        <v>221</v>
      </c>
      <c r="E721">
        <v>2373779205</v>
      </c>
      <c r="F721">
        <v>2666111610</v>
      </c>
      <c r="G721">
        <v>2657607017</v>
      </c>
      <c r="H721">
        <v>2774590866</v>
      </c>
      <c r="I721">
        <v>2155984236</v>
      </c>
      <c r="J721">
        <v>922975188</v>
      </c>
      <c r="K721">
        <v>265860798</v>
      </c>
      <c r="L721">
        <v>200342643</v>
      </c>
      <c r="M721">
        <v>90438837</v>
      </c>
      <c r="N721">
        <v>75891911</v>
      </c>
      <c r="O721">
        <v>69247665</v>
      </c>
      <c r="P721">
        <v>252</v>
      </c>
      <c r="Q721" t="s">
        <v>1678</v>
      </c>
    </row>
    <row r="722" spans="1:17" x14ac:dyDescent="0.3">
      <c r="A722" t="s">
        <v>75</v>
      </c>
      <c r="B722" t="str">
        <f>"002508"</f>
        <v>002508</v>
      </c>
      <c r="C722" t="s">
        <v>1679</v>
      </c>
      <c r="D722" t="s">
        <v>1680</v>
      </c>
      <c r="E722">
        <v>2371962552</v>
      </c>
      <c r="F722">
        <v>2169898160</v>
      </c>
      <c r="G722">
        <v>1172850209</v>
      </c>
      <c r="H722">
        <v>1666521910</v>
      </c>
      <c r="I722">
        <v>2137482747</v>
      </c>
      <c r="J722">
        <v>1411086110</v>
      </c>
      <c r="K722">
        <v>1258193169</v>
      </c>
      <c r="L722">
        <v>847970690</v>
      </c>
      <c r="M722">
        <v>658566303</v>
      </c>
      <c r="N722">
        <v>457148305</v>
      </c>
      <c r="O722">
        <v>370106512</v>
      </c>
      <c r="P722">
        <v>40627</v>
      </c>
      <c r="Q722" t="s">
        <v>1681</v>
      </c>
    </row>
    <row r="723" spans="1:17" x14ac:dyDescent="0.3">
      <c r="A723" t="s">
        <v>17</v>
      </c>
      <c r="B723" t="str">
        <f>"603986"</f>
        <v>603986</v>
      </c>
      <c r="C723" t="s">
        <v>1682</v>
      </c>
      <c r="D723" t="s">
        <v>883</v>
      </c>
      <c r="E723">
        <v>2371641137</v>
      </c>
      <c r="F723">
        <v>1776780226</v>
      </c>
      <c r="G723">
        <v>850486504</v>
      </c>
      <c r="H723">
        <v>460831820</v>
      </c>
      <c r="I723">
        <v>510841822</v>
      </c>
      <c r="J723">
        <v>425747725</v>
      </c>
      <c r="K723">
        <v>327537571</v>
      </c>
      <c r="L723">
        <v>0</v>
      </c>
      <c r="P723">
        <v>2706</v>
      </c>
      <c r="Q723" t="s">
        <v>1683</v>
      </c>
    </row>
    <row r="724" spans="1:17" x14ac:dyDescent="0.3">
      <c r="A724" t="s">
        <v>75</v>
      </c>
      <c r="B724" t="str">
        <f>"002309"</f>
        <v>002309</v>
      </c>
      <c r="C724" t="s">
        <v>1684</v>
      </c>
      <c r="D724" t="s">
        <v>417</v>
      </c>
      <c r="E724">
        <v>2366451571</v>
      </c>
      <c r="F724">
        <v>2135525397</v>
      </c>
      <c r="G724">
        <v>2218021310</v>
      </c>
      <c r="H724">
        <v>2985753499</v>
      </c>
      <c r="I724">
        <v>3186172192</v>
      </c>
      <c r="J724">
        <v>3225545106</v>
      </c>
      <c r="K724">
        <v>3137209702</v>
      </c>
      <c r="L724">
        <v>2746784854</v>
      </c>
      <c r="M724">
        <v>1575922655</v>
      </c>
      <c r="N724">
        <v>1203319045</v>
      </c>
      <c r="O724">
        <v>937399083</v>
      </c>
      <c r="P724">
        <v>284</v>
      </c>
      <c r="Q724" t="s">
        <v>1685</v>
      </c>
    </row>
    <row r="725" spans="1:17" x14ac:dyDescent="0.3">
      <c r="A725" t="s">
        <v>17</v>
      </c>
      <c r="B725" t="str">
        <f>"600587"</f>
        <v>600587</v>
      </c>
      <c r="C725" t="s">
        <v>1686</v>
      </c>
      <c r="D725" t="s">
        <v>334</v>
      </c>
      <c r="E725">
        <v>2361813687</v>
      </c>
      <c r="F725">
        <v>3088771939</v>
      </c>
      <c r="G725">
        <v>1995651469</v>
      </c>
      <c r="H725">
        <v>2476598178</v>
      </c>
      <c r="I725">
        <v>2187014518</v>
      </c>
      <c r="J725">
        <v>2327925591</v>
      </c>
      <c r="K725">
        <v>1974445794</v>
      </c>
      <c r="L725">
        <v>1731466951</v>
      </c>
      <c r="M725">
        <v>1407303259</v>
      </c>
      <c r="N725">
        <v>1098609228</v>
      </c>
      <c r="O725">
        <v>654653371</v>
      </c>
      <c r="P725">
        <v>533</v>
      </c>
      <c r="Q725" t="s">
        <v>1687</v>
      </c>
    </row>
    <row r="726" spans="1:17" x14ac:dyDescent="0.3">
      <c r="A726" t="s">
        <v>75</v>
      </c>
      <c r="B726" t="str">
        <f>"300413"</f>
        <v>300413</v>
      </c>
      <c r="C726" t="s">
        <v>1688</v>
      </c>
      <c r="D726" t="s">
        <v>1689</v>
      </c>
      <c r="E726">
        <v>2348076779</v>
      </c>
      <c r="F726">
        <v>3804560411</v>
      </c>
      <c r="G726">
        <v>2586072051</v>
      </c>
      <c r="H726">
        <v>2169964246</v>
      </c>
      <c r="I726">
        <v>883483547</v>
      </c>
      <c r="J726">
        <v>955239540</v>
      </c>
      <c r="K726">
        <v>1091566926</v>
      </c>
      <c r="L726">
        <v>814638546</v>
      </c>
      <c r="M726">
        <v>847207993</v>
      </c>
      <c r="P726">
        <v>1145</v>
      </c>
      <c r="Q726" t="s">
        <v>1690</v>
      </c>
    </row>
    <row r="727" spans="1:17" x14ac:dyDescent="0.3">
      <c r="A727" t="s">
        <v>75</v>
      </c>
      <c r="B727" t="str">
        <f>"300662"</f>
        <v>300662</v>
      </c>
      <c r="C727" t="s">
        <v>1691</v>
      </c>
      <c r="D727" t="s">
        <v>1692</v>
      </c>
      <c r="E727">
        <v>2344177831</v>
      </c>
      <c r="F727">
        <v>1328938698</v>
      </c>
      <c r="G727">
        <v>984251407</v>
      </c>
      <c r="H727">
        <v>792037632</v>
      </c>
      <c r="I727">
        <v>332521518</v>
      </c>
      <c r="J727">
        <v>261510156</v>
      </c>
      <c r="K727">
        <v>187274036</v>
      </c>
      <c r="P727">
        <v>688</v>
      </c>
      <c r="Q727" t="s">
        <v>1693</v>
      </c>
    </row>
    <row r="728" spans="1:17" x14ac:dyDescent="0.3">
      <c r="A728" t="s">
        <v>75</v>
      </c>
      <c r="B728" t="str">
        <f>"002314"</f>
        <v>002314</v>
      </c>
      <c r="C728" t="s">
        <v>1694</v>
      </c>
      <c r="D728" t="s">
        <v>65</v>
      </c>
      <c r="E728">
        <v>2342020456</v>
      </c>
      <c r="F728">
        <v>4133185368</v>
      </c>
      <c r="G728">
        <v>1833699935</v>
      </c>
      <c r="H728">
        <v>1794705191</v>
      </c>
      <c r="I728">
        <v>1025345238</v>
      </c>
      <c r="J728">
        <v>909811847</v>
      </c>
      <c r="K728">
        <v>2091634663</v>
      </c>
      <c r="L728">
        <v>326203062</v>
      </c>
      <c r="M728">
        <v>378891615</v>
      </c>
      <c r="N728">
        <v>396194024</v>
      </c>
      <c r="O728">
        <v>509183296</v>
      </c>
      <c r="P728">
        <v>206</v>
      </c>
      <c r="Q728" t="s">
        <v>1695</v>
      </c>
    </row>
    <row r="729" spans="1:17" x14ac:dyDescent="0.3">
      <c r="A729" t="s">
        <v>75</v>
      </c>
      <c r="B729" t="str">
        <f>"002250"</f>
        <v>002250</v>
      </c>
      <c r="C729" t="s">
        <v>1696</v>
      </c>
      <c r="D729" t="s">
        <v>811</v>
      </c>
      <c r="E729">
        <v>2339136126</v>
      </c>
      <c r="F729">
        <v>1345284440</v>
      </c>
      <c r="G729">
        <v>1062813065</v>
      </c>
      <c r="H729">
        <v>1039324899</v>
      </c>
      <c r="I729">
        <v>926183484</v>
      </c>
      <c r="J729">
        <v>770830493</v>
      </c>
      <c r="K729">
        <v>1032317296</v>
      </c>
      <c r="L729">
        <v>1022513830</v>
      </c>
      <c r="M729">
        <v>950366107</v>
      </c>
      <c r="N729">
        <v>710030015</v>
      </c>
      <c r="O729">
        <v>658447231</v>
      </c>
      <c r="P729">
        <v>348</v>
      </c>
      <c r="Q729" t="s">
        <v>1697</v>
      </c>
    </row>
    <row r="730" spans="1:17" x14ac:dyDescent="0.3">
      <c r="A730" t="s">
        <v>17</v>
      </c>
      <c r="B730" t="str">
        <f>"600917"</f>
        <v>600917</v>
      </c>
      <c r="C730" t="s">
        <v>1698</v>
      </c>
      <c r="D730" t="s">
        <v>147</v>
      </c>
      <c r="E730">
        <v>2337344891</v>
      </c>
      <c r="F730">
        <v>2106359220</v>
      </c>
      <c r="G730">
        <v>1472512567</v>
      </c>
      <c r="H730">
        <v>1979758089</v>
      </c>
      <c r="I730">
        <v>1716457198</v>
      </c>
      <c r="J730">
        <v>1682145395</v>
      </c>
      <c r="K730">
        <v>1848518695</v>
      </c>
      <c r="L730">
        <v>1735173670</v>
      </c>
      <c r="M730">
        <v>1583385509</v>
      </c>
      <c r="P730">
        <v>176</v>
      </c>
      <c r="Q730" t="s">
        <v>1699</v>
      </c>
    </row>
    <row r="731" spans="1:17" x14ac:dyDescent="0.3">
      <c r="A731" t="s">
        <v>17</v>
      </c>
      <c r="B731" t="str">
        <f>"600853"</f>
        <v>600853</v>
      </c>
      <c r="C731" t="s">
        <v>1700</v>
      </c>
      <c r="D731" t="s">
        <v>27</v>
      </c>
      <c r="E731">
        <v>2332037476</v>
      </c>
      <c r="F731">
        <v>1805331789</v>
      </c>
      <c r="G731">
        <v>1441889968</v>
      </c>
      <c r="H731">
        <v>1591820043</v>
      </c>
      <c r="I731">
        <v>1851826256</v>
      </c>
      <c r="J731">
        <v>1136019000</v>
      </c>
      <c r="K731">
        <v>1051150716</v>
      </c>
      <c r="L731">
        <v>1013386131</v>
      </c>
      <c r="M731">
        <v>1051316277</v>
      </c>
      <c r="N731">
        <v>1249873716</v>
      </c>
      <c r="O731">
        <v>1285978346</v>
      </c>
      <c r="P731">
        <v>94</v>
      </c>
      <c r="Q731" t="s">
        <v>1701</v>
      </c>
    </row>
    <row r="732" spans="1:17" x14ac:dyDescent="0.3">
      <c r="A732" t="s">
        <v>17</v>
      </c>
      <c r="B732" t="str">
        <f>"601801"</f>
        <v>601801</v>
      </c>
      <c r="C732" t="s">
        <v>1702</v>
      </c>
      <c r="D732" t="s">
        <v>1703</v>
      </c>
      <c r="E732">
        <v>2315049712</v>
      </c>
      <c r="F732">
        <v>1871331001</v>
      </c>
      <c r="G732">
        <v>880375822</v>
      </c>
      <c r="H732">
        <v>1652094349</v>
      </c>
      <c r="I732">
        <v>1636523761</v>
      </c>
      <c r="J732">
        <v>1139154337</v>
      </c>
      <c r="K732">
        <v>1172091588</v>
      </c>
      <c r="L732">
        <v>935150990</v>
      </c>
      <c r="M732">
        <v>797208850</v>
      </c>
      <c r="N732">
        <v>535824796</v>
      </c>
      <c r="O732">
        <v>675688494</v>
      </c>
      <c r="P732">
        <v>267</v>
      </c>
      <c r="Q732" t="s">
        <v>1704</v>
      </c>
    </row>
    <row r="733" spans="1:17" x14ac:dyDescent="0.3">
      <c r="A733" t="s">
        <v>75</v>
      </c>
      <c r="B733" t="str">
        <f>"000158"</f>
        <v>000158</v>
      </c>
      <c r="C733" t="s">
        <v>1705</v>
      </c>
      <c r="D733" t="s">
        <v>224</v>
      </c>
      <c r="E733">
        <v>2314975465</v>
      </c>
      <c r="F733">
        <v>1849977250</v>
      </c>
      <c r="G733">
        <v>1850833740</v>
      </c>
      <c r="H733">
        <v>2608390382</v>
      </c>
      <c r="I733">
        <v>2158386333</v>
      </c>
      <c r="J733">
        <v>2421322259</v>
      </c>
      <c r="K733">
        <v>1758649590</v>
      </c>
      <c r="L733">
        <v>1654232149</v>
      </c>
      <c r="M733">
        <v>1130607794</v>
      </c>
      <c r="N733">
        <v>1806280931</v>
      </c>
      <c r="O733">
        <v>1095984243</v>
      </c>
      <c r="P733">
        <v>295</v>
      </c>
      <c r="Q733" t="s">
        <v>1706</v>
      </c>
    </row>
    <row r="734" spans="1:17" x14ac:dyDescent="0.3">
      <c r="A734" t="s">
        <v>17</v>
      </c>
      <c r="B734" t="str">
        <f>"605499"</f>
        <v>605499</v>
      </c>
      <c r="C734" t="s">
        <v>1707</v>
      </c>
      <c r="D734" t="s">
        <v>1708</v>
      </c>
      <c r="E734">
        <v>2314911563</v>
      </c>
      <c r="F734">
        <v>1800640805</v>
      </c>
      <c r="G734">
        <v>1064362220</v>
      </c>
      <c r="P734">
        <v>282</v>
      </c>
      <c r="Q734" t="s">
        <v>1709</v>
      </c>
    </row>
    <row r="735" spans="1:17" x14ac:dyDescent="0.3">
      <c r="A735" t="s">
        <v>17</v>
      </c>
      <c r="B735" t="str">
        <f>"600499"</f>
        <v>600499</v>
      </c>
      <c r="C735" t="s">
        <v>1710</v>
      </c>
      <c r="D735" t="s">
        <v>1624</v>
      </c>
      <c r="E735">
        <v>2313259017</v>
      </c>
      <c r="F735">
        <v>2042592555</v>
      </c>
      <c r="G735">
        <v>1193532597</v>
      </c>
      <c r="H735">
        <v>1383656554</v>
      </c>
      <c r="I735">
        <v>1082587755</v>
      </c>
      <c r="J735">
        <v>933175268</v>
      </c>
      <c r="K735">
        <v>715831117</v>
      </c>
      <c r="L735">
        <v>854488817</v>
      </c>
      <c r="M735">
        <v>804594162</v>
      </c>
      <c r="N735">
        <v>661722824</v>
      </c>
      <c r="O735">
        <v>653274033</v>
      </c>
      <c r="P735">
        <v>246</v>
      </c>
      <c r="Q735" t="s">
        <v>1711</v>
      </c>
    </row>
    <row r="736" spans="1:17" x14ac:dyDescent="0.3">
      <c r="A736" t="s">
        <v>75</v>
      </c>
      <c r="B736" t="str">
        <f>"000030"</f>
        <v>000030</v>
      </c>
      <c r="C736" t="s">
        <v>1712</v>
      </c>
      <c r="D736" t="s">
        <v>172</v>
      </c>
      <c r="E736">
        <v>2305446804</v>
      </c>
      <c r="F736">
        <v>2354099514</v>
      </c>
      <c r="G736">
        <v>1786688546</v>
      </c>
      <c r="H736">
        <v>1541013683</v>
      </c>
      <c r="I736">
        <v>1729948031</v>
      </c>
      <c r="J736">
        <v>1312056575</v>
      </c>
      <c r="K736">
        <v>1131567795</v>
      </c>
      <c r="L736">
        <v>1113715375</v>
      </c>
      <c r="M736">
        <v>1202372258</v>
      </c>
      <c r="N736">
        <v>732663782</v>
      </c>
      <c r="O736">
        <v>0</v>
      </c>
      <c r="P736">
        <v>330</v>
      </c>
      <c r="Q736" t="s">
        <v>1713</v>
      </c>
    </row>
    <row r="737" spans="1:17" x14ac:dyDescent="0.3">
      <c r="A737" t="s">
        <v>75</v>
      </c>
      <c r="B737" t="str">
        <f>"300772"</f>
        <v>300772</v>
      </c>
      <c r="C737" t="s">
        <v>1714</v>
      </c>
      <c r="D737" t="s">
        <v>660</v>
      </c>
      <c r="E737">
        <v>2305363461</v>
      </c>
      <c r="F737">
        <v>1384117830</v>
      </c>
      <c r="G737">
        <v>884645362</v>
      </c>
      <c r="H737">
        <v>290663909</v>
      </c>
      <c r="I737">
        <v>261156782</v>
      </c>
      <c r="P737">
        <v>177</v>
      </c>
      <c r="Q737" t="s">
        <v>1715</v>
      </c>
    </row>
    <row r="738" spans="1:17" x14ac:dyDescent="0.3">
      <c r="A738" t="s">
        <v>17</v>
      </c>
      <c r="B738" t="str">
        <f>"600269"</f>
        <v>600269</v>
      </c>
      <c r="C738" t="s">
        <v>1716</v>
      </c>
      <c r="D738" t="s">
        <v>1248</v>
      </c>
      <c r="E738">
        <v>2301582202</v>
      </c>
      <c r="F738">
        <v>1732383687</v>
      </c>
      <c r="G738">
        <v>927429805</v>
      </c>
      <c r="H738">
        <v>1238424092</v>
      </c>
      <c r="I738">
        <v>1176731892</v>
      </c>
      <c r="J738">
        <v>1264667985</v>
      </c>
      <c r="K738">
        <v>1149307782</v>
      </c>
      <c r="L738">
        <v>1267618990</v>
      </c>
      <c r="M738">
        <v>933309759</v>
      </c>
      <c r="N738">
        <v>912031119</v>
      </c>
      <c r="O738">
        <v>947618992</v>
      </c>
      <c r="P738">
        <v>405</v>
      </c>
      <c r="Q738" t="s">
        <v>1717</v>
      </c>
    </row>
    <row r="739" spans="1:17" x14ac:dyDescent="0.3">
      <c r="A739" t="s">
        <v>17</v>
      </c>
      <c r="B739" t="str">
        <f>"603019"</f>
        <v>603019</v>
      </c>
      <c r="C739" t="s">
        <v>1718</v>
      </c>
      <c r="D739" t="s">
        <v>508</v>
      </c>
      <c r="E739">
        <v>2294071647</v>
      </c>
      <c r="F739">
        <v>2050606380</v>
      </c>
      <c r="G739">
        <v>2111966044</v>
      </c>
      <c r="H739">
        <v>2733906131</v>
      </c>
      <c r="I739">
        <v>1775880962</v>
      </c>
      <c r="J739">
        <v>1099685438</v>
      </c>
      <c r="K739">
        <v>902468118</v>
      </c>
      <c r="L739">
        <v>653863342</v>
      </c>
      <c r="M739">
        <v>618612571</v>
      </c>
      <c r="P739">
        <v>1206</v>
      </c>
      <c r="Q739" t="s">
        <v>1719</v>
      </c>
    </row>
    <row r="740" spans="1:17" x14ac:dyDescent="0.3">
      <c r="A740" t="s">
        <v>75</v>
      </c>
      <c r="B740" t="str">
        <f>"000019"</f>
        <v>000019</v>
      </c>
      <c r="C740" t="s">
        <v>1720</v>
      </c>
      <c r="D740" t="s">
        <v>113</v>
      </c>
      <c r="E740">
        <v>2274595769</v>
      </c>
      <c r="F740">
        <v>2332113972</v>
      </c>
      <c r="G740">
        <v>1519033046</v>
      </c>
      <c r="H740">
        <v>2591738749</v>
      </c>
      <c r="I740">
        <v>83618533</v>
      </c>
      <c r="J740">
        <v>72104550</v>
      </c>
      <c r="K740">
        <v>93496884</v>
      </c>
      <c r="L740">
        <v>110811197</v>
      </c>
      <c r="M740">
        <v>108255219</v>
      </c>
      <c r="N740">
        <v>122783477</v>
      </c>
      <c r="O740">
        <v>108041967</v>
      </c>
      <c r="P740">
        <v>176</v>
      </c>
      <c r="Q740" t="s">
        <v>1721</v>
      </c>
    </row>
    <row r="741" spans="1:17" x14ac:dyDescent="0.3">
      <c r="A741" t="s">
        <v>75</v>
      </c>
      <c r="B741" t="str">
        <f>"002407"</f>
        <v>002407</v>
      </c>
      <c r="C741" t="s">
        <v>1722</v>
      </c>
      <c r="D741" t="s">
        <v>946</v>
      </c>
      <c r="E741">
        <v>2271041612</v>
      </c>
      <c r="F741">
        <v>1020822411</v>
      </c>
      <c r="G741">
        <v>582330309</v>
      </c>
      <c r="H741">
        <v>319699354</v>
      </c>
      <c r="I741">
        <v>594447300</v>
      </c>
      <c r="J741">
        <v>429650712</v>
      </c>
      <c r="K741">
        <v>232779311</v>
      </c>
      <c r="L741">
        <v>438250171</v>
      </c>
      <c r="M741">
        <v>300197186</v>
      </c>
      <c r="N741">
        <v>187760104</v>
      </c>
      <c r="O741">
        <v>252220755</v>
      </c>
      <c r="P741">
        <v>566</v>
      </c>
      <c r="Q741" t="s">
        <v>1723</v>
      </c>
    </row>
    <row r="742" spans="1:17" x14ac:dyDescent="0.3">
      <c r="A742" t="s">
        <v>17</v>
      </c>
      <c r="B742" t="str">
        <f>"600373"</f>
        <v>600373</v>
      </c>
      <c r="C742" t="s">
        <v>1724</v>
      </c>
      <c r="D742" t="s">
        <v>1703</v>
      </c>
      <c r="E742">
        <v>2269404503</v>
      </c>
      <c r="F742">
        <v>1791488928</v>
      </c>
      <c r="G742">
        <v>1678715682</v>
      </c>
      <c r="H742">
        <v>2106134174</v>
      </c>
      <c r="I742">
        <v>2475972052</v>
      </c>
      <c r="J742">
        <v>1977265852</v>
      </c>
      <c r="K742">
        <v>2129997694</v>
      </c>
      <c r="L742">
        <v>1771748643</v>
      </c>
      <c r="M742">
        <v>2246403131</v>
      </c>
      <c r="N742">
        <v>1779404295</v>
      </c>
      <c r="O742">
        <v>2278262790</v>
      </c>
      <c r="P742">
        <v>776</v>
      </c>
      <c r="Q742" t="s">
        <v>1725</v>
      </c>
    </row>
    <row r="743" spans="1:17" x14ac:dyDescent="0.3">
      <c r="A743" t="s">
        <v>17</v>
      </c>
      <c r="B743" t="str">
        <f>"601869"</f>
        <v>601869</v>
      </c>
      <c r="C743" t="s">
        <v>1726</v>
      </c>
      <c r="D743" t="s">
        <v>549</v>
      </c>
      <c r="E743">
        <v>2268758566</v>
      </c>
      <c r="F743">
        <v>1387204539</v>
      </c>
      <c r="G743">
        <v>959652263</v>
      </c>
      <c r="H743">
        <v>1421033878</v>
      </c>
      <c r="I743">
        <v>1573047383</v>
      </c>
      <c r="J743">
        <v>640985297</v>
      </c>
      <c r="P743">
        <v>403</v>
      </c>
      <c r="Q743" t="s">
        <v>1727</v>
      </c>
    </row>
    <row r="744" spans="1:17" x14ac:dyDescent="0.3">
      <c r="A744" t="s">
        <v>75</v>
      </c>
      <c r="B744" t="str">
        <f>"300037"</f>
        <v>300037</v>
      </c>
      <c r="C744" t="s">
        <v>1728</v>
      </c>
      <c r="D744" t="s">
        <v>834</v>
      </c>
      <c r="E744">
        <v>2262858487</v>
      </c>
      <c r="F744">
        <v>620197989</v>
      </c>
      <c r="G744">
        <v>515326088</v>
      </c>
      <c r="H744">
        <v>575281808</v>
      </c>
      <c r="I744">
        <v>420530424</v>
      </c>
      <c r="J744">
        <v>370959082</v>
      </c>
      <c r="K744">
        <v>261673674</v>
      </c>
      <c r="L744">
        <v>210488677</v>
      </c>
      <c r="M744">
        <v>196143209</v>
      </c>
      <c r="N744">
        <v>171790560</v>
      </c>
      <c r="O744">
        <v>174541884</v>
      </c>
      <c r="P744">
        <v>830</v>
      </c>
      <c r="Q744" t="s">
        <v>1729</v>
      </c>
    </row>
    <row r="745" spans="1:17" x14ac:dyDescent="0.3">
      <c r="A745" t="s">
        <v>75</v>
      </c>
      <c r="B745" t="str">
        <f>"200541"</f>
        <v>200541</v>
      </c>
      <c r="C745" t="s">
        <v>1730</v>
      </c>
      <c r="E745">
        <v>2259204079.2140002</v>
      </c>
      <c r="F745">
        <v>1221383738.0320001</v>
      </c>
      <c r="G745">
        <v>728677466.20920002</v>
      </c>
      <c r="H745">
        <v>1006062486.0984</v>
      </c>
      <c r="I745">
        <v>1111467746.835</v>
      </c>
      <c r="J745">
        <v>1005731148.474</v>
      </c>
      <c r="K745">
        <v>902955398.30980003</v>
      </c>
      <c r="L745">
        <v>822118355</v>
      </c>
      <c r="M745">
        <v>804535333.68280005</v>
      </c>
      <c r="N745">
        <v>699246988.82819998</v>
      </c>
      <c r="O745">
        <v>625416003.01800001</v>
      </c>
      <c r="P745">
        <v>119</v>
      </c>
      <c r="Q745" t="s">
        <v>1731</v>
      </c>
    </row>
    <row r="746" spans="1:17" x14ac:dyDescent="0.3">
      <c r="A746" t="s">
        <v>17</v>
      </c>
      <c r="B746" t="str">
        <f>"600635"</f>
        <v>600635</v>
      </c>
      <c r="C746" t="s">
        <v>1732</v>
      </c>
      <c r="D746" t="s">
        <v>147</v>
      </c>
      <c r="E746">
        <v>2257636523</v>
      </c>
      <c r="F746">
        <v>1963601074</v>
      </c>
      <c r="G746">
        <v>1474467669</v>
      </c>
      <c r="H746">
        <v>1874015907</v>
      </c>
      <c r="I746">
        <v>1691504170</v>
      </c>
      <c r="J746">
        <v>1635362635</v>
      </c>
      <c r="K746">
        <v>1459803169</v>
      </c>
      <c r="L746">
        <v>1318053226</v>
      </c>
      <c r="M746">
        <v>1452721111</v>
      </c>
      <c r="N746">
        <v>1078065559</v>
      </c>
      <c r="O746">
        <v>1092974965</v>
      </c>
      <c r="P746">
        <v>180</v>
      </c>
      <c r="Q746" t="s">
        <v>1733</v>
      </c>
    </row>
    <row r="747" spans="1:17" x14ac:dyDescent="0.3">
      <c r="A747" t="s">
        <v>17</v>
      </c>
      <c r="B747" t="str">
        <f>"600780"</f>
        <v>600780</v>
      </c>
      <c r="C747" t="s">
        <v>1734</v>
      </c>
      <c r="D747" t="s">
        <v>88</v>
      </c>
      <c r="E747">
        <v>2253947199</v>
      </c>
      <c r="F747">
        <v>2319664565</v>
      </c>
      <c r="G747">
        <v>1916819270</v>
      </c>
      <c r="H747">
        <v>1886512721</v>
      </c>
      <c r="I747">
        <v>1712949747</v>
      </c>
      <c r="J747">
        <v>1301281496</v>
      </c>
      <c r="K747">
        <v>1345808979</v>
      </c>
      <c r="L747">
        <v>1444217619</v>
      </c>
      <c r="M747">
        <v>1636865873</v>
      </c>
      <c r="N747">
        <v>1834303566</v>
      </c>
      <c r="O747">
        <v>1773870704</v>
      </c>
      <c r="P747">
        <v>108</v>
      </c>
      <c r="Q747" t="s">
        <v>1735</v>
      </c>
    </row>
    <row r="748" spans="1:17" x14ac:dyDescent="0.3">
      <c r="A748" t="s">
        <v>17</v>
      </c>
      <c r="B748" t="str">
        <f>"601799"</f>
        <v>601799</v>
      </c>
      <c r="C748" t="s">
        <v>1736</v>
      </c>
      <c r="D748" t="s">
        <v>433</v>
      </c>
      <c r="E748">
        <v>2251423327</v>
      </c>
      <c r="F748">
        <v>2315193108</v>
      </c>
      <c r="G748">
        <v>1927249008</v>
      </c>
      <c r="H748">
        <v>1306795694</v>
      </c>
      <c r="I748">
        <v>1085111328</v>
      </c>
      <c r="J748">
        <v>1000745633</v>
      </c>
      <c r="K748">
        <v>610969774</v>
      </c>
      <c r="L748">
        <v>439087431</v>
      </c>
      <c r="M748">
        <v>305528029</v>
      </c>
      <c r="N748">
        <v>142914372</v>
      </c>
      <c r="O748">
        <v>185784733</v>
      </c>
      <c r="P748">
        <v>1014</v>
      </c>
      <c r="Q748" t="s">
        <v>1737</v>
      </c>
    </row>
    <row r="749" spans="1:17" x14ac:dyDescent="0.3">
      <c r="A749" t="s">
        <v>75</v>
      </c>
      <c r="B749" t="str">
        <f>"002607"</f>
        <v>002607</v>
      </c>
      <c r="C749" t="s">
        <v>1738</v>
      </c>
      <c r="D749" t="s">
        <v>1739</v>
      </c>
      <c r="E749">
        <v>2249268011</v>
      </c>
      <c r="F749">
        <v>2257705337</v>
      </c>
      <c r="G749">
        <v>4268644543</v>
      </c>
      <c r="H749">
        <v>3787712684</v>
      </c>
      <c r="I749">
        <v>1722975554</v>
      </c>
      <c r="J749">
        <v>1675424660</v>
      </c>
      <c r="K749">
        <v>1664227094</v>
      </c>
      <c r="L749">
        <v>1632143351</v>
      </c>
      <c r="M749">
        <v>1539275966</v>
      </c>
      <c r="N749">
        <v>1289943854</v>
      </c>
      <c r="O749">
        <v>1144187254</v>
      </c>
      <c r="P749">
        <v>1791</v>
      </c>
      <c r="Q749" t="s">
        <v>1740</v>
      </c>
    </row>
    <row r="750" spans="1:17" x14ac:dyDescent="0.3">
      <c r="A750" t="s">
        <v>75</v>
      </c>
      <c r="B750" t="str">
        <f>"001914"</f>
        <v>001914</v>
      </c>
      <c r="C750" t="s">
        <v>1741</v>
      </c>
      <c r="D750" t="s">
        <v>1742</v>
      </c>
      <c r="E750">
        <v>2249082194</v>
      </c>
      <c r="F750">
        <v>1876488793</v>
      </c>
      <c r="G750">
        <v>1323960228</v>
      </c>
      <c r="H750">
        <v>895375669</v>
      </c>
      <c r="I750">
        <v>1083619092</v>
      </c>
      <c r="J750">
        <v>1348891825</v>
      </c>
      <c r="K750">
        <v>1312995302</v>
      </c>
      <c r="L750">
        <v>1103726298</v>
      </c>
      <c r="M750">
        <v>1121516158</v>
      </c>
      <c r="N750">
        <v>1134823922</v>
      </c>
      <c r="O750">
        <v>809784388</v>
      </c>
      <c r="P750">
        <v>264</v>
      </c>
      <c r="Q750" t="s">
        <v>1743</v>
      </c>
    </row>
    <row r="751" spans="1:17" x14ac:dyDescent="0.3">
      <c r="A751" t="s">
        <v>75</v>
      </c>
      <c r="B751" t="str">
        <f>"000975"</f>
        <v>000975</v>
      </c>
      <c r="C751" t="s">
        <v>1744</v>
      </c>
      <c r="D751" t="s">
        <v>390</v>
      </c>
      <c r="E751">
        <v>2245264436</v>
      </c>
      <c r="F751">
        <v>1642014740</v>
      </c>
      <c r="G751">
        <v>2118861214</v>
      </c>
      <c r="H751">
        <v>1241767454</v>
      </c>
      <c r="I751">
        <v>928872527</v>
      </c>
      <c r="J751">
        <v>2135784</v>
      </c>
      <c r="K751">
        <v>384190988</v>
      </c>
      <c r="L751">
        <v>111428881</v>
      </c>
      <c r="M751">
        <v>0</v>
      </c>
      <c r="N751">
        <v>3857086</v>
      </c>
      <c r="O751">
        <v>62998811</v>
      </c>
      <c r="P751">
        <v>391</v>
      </c>
      <c r="Q751" t="s">
        <v>1745</v>
      </c>
    </row>
    <row r="752" spans="1:17" x14ac:dyDescent="0.3">
      <c r="A752" t="s">
        <v>75</v>
      </c>
      <c r="B752" t="str">
        <f>"000404"</f>
        <v>000404</v>
      </c>
      <c r="C752" t="s">
        <v>1746</v>
      </c>
      <c r="D752" t="s">
        <v>1063</v>
      </c>
      <c r="E752">
        <v>2244709635</v>
      </c>
      <c r="F752">
        <v>2032826618</v>
      </c>
      <c r="G752">
        <v>1990366889</v>
      </c>
      <c r="H752">
        <v>2209042074</v>
      </c>
      <c r="I752">
        <v>1623478253</v>
      </c>
      <c r="J752">
        <v>1162077144</v>
      </c>
      <c r="K752">
        <v>1397211730</v>
      </c>
      <c r="L752">
        <v>1463835392</v>
      </c>
      <c r="M752">
        <v>1610108411</v>
      </c>
      <c r="N752">
        <v>1329299121</v>
      </c>
      <c r="O752">
        <v>995424062</v>
      </c>
      <c r="P752">
        <v>113</v>
      </c>
      <c r="Q752" t="s">
        <v>1747</v>
      </c>
    </row>
    <row r="753" spans="1:17" x14ac:dyDescent="0.3">
      <c r="A753" t="s">
        <v>75</v>
      </c>
      <c r="B753" t="str">
        <f>"002245"</f>
        <v>002245</v>
      </c>
      <c r="C753" t="s">
        <v>1748</v>
      </c>
      <c r="D753" t="s">
        <v>131</v>
      </c>
      <c r="E753">
        <v>2242736350</v>
      </c>
      <c r="F753">
        <v>1357602952</v>
      </c>
      <c r="G753">
        <v>819937670</v>
      </c>
      <c r="H753">
        <v>909891558</v>
      </c>
      <c r="I753">
        <v>648470341</v>
      </c>
      <c r="J753">
        <v>681570171</v>
      </c>
      <c r="K753">
        <v>473969175</v>
      </c>
      <c r="L753">
        <v>423574666</v>
      </c>
      <c r="M753">
        <v>441004285</v>
      </c>
      <c r="N753">
        <v>379861487</v>
      </c>
      <c r="O753">
        <v>521233353</v>
      </c>
      <c r="P753">
        <v>377</v>
      </c>
      <c r="Q753" t="s">
        <v>1749</v>
      </c>
    </row>
    <row r="754" spans="1:17" x14ac:dyDescent="0.3">
      <c r="A754" t="s">
        <v>17</v>
      </c>
      <c r="B754" t="str">
        <f>"600403"</f>
        <v>600403</v>
      </c>
      <c r="C754" t="s">
        <v>1750</v>
      </c>
      <c r="D754" t="s">
        <v>71</v>
      </c>
      <c r="E754">
        <v>2241229559</v>
      </c>
      <c r="F754">
        <v>1617216491</v>
      </c>
      <c r="G754">
        <v>1386227498</v>
      </c>
      <c r="H754">
        <v>2129228670</v>
      </c>
      <c r="I754">
        <v>2659856667</v>
      </c>
      <c r="J754">
        <v>2994462581</v>
      </c>
      <c r="K754">
        <v>852884873</v>
      </c>
      <c r="L754">
        <v>1918934719</v>
      </c>
      <c r="M754">
        <v>1870181150</v>
      </c>
      <c r="N754">
        <v>2965523698</v>
      </c>
      <c r="O754">
        <v>2821703865</v>
      </c>
      <c r="P754">
        <v>221</v>
      </c>
      <c r="Q754" t="s">
        <v>1751</v>
      </c>
    </row>
    <row r="755" spans="1:17" x14ac:dyDescent="0.3">
      <c r="A755" t="s">
        <v>75</v>
      </c>
      <c r="B755" t="str">
        <f>"000988"</f>
        <v>000988</v>
      </c>
      <c r="C755" t="s">
        <v>1752</v>
      </c>
      <c r="D755" t="s">
        <v>1497</v>
      </c>
      <c r="E755">
        <v>2239982322</v>
      </c>
      <c r="F755">
        <v>1550241712</v>
      </c>
      <c r="G755">
        <v>1150646552</v>
      </c>
      <c r="H755">
        <v>1231966128</v>
      </c>
      <c r="I755">
        <v>890047695</v>
      </c>
      <c r="J755">
        <v>487921578</v>
      </c>
      <c r="K755">
        <v>597397922</v>
      </c>
      <c r="L755">
        <v>477317179</v>
      </c>
      <c r="M755">
        <v>404349135</v>
      </c>
      <c r="N755">
        <v>425453847</v>
      </c>
      <c r="O755">
        <v>473995307</v>
      </c>
      <c r="P755">
        <v>710</v>
      </c>
      <c r="Q755" t="s">
        <v>1753</v>
      </c>
    </row>
    <row r="756" spans="1:17" x14ac:dyDescent="0.3">
      <c r="A756" t="s">
        <v>17</v>
      </c>
      <c r="B756" t="str">
        <f>"601952"</f>
        <v>601952</v>
      </c>
      <c r="C756" t="s">
        <v>1754</v>
      </c>
      <c r="D756" t="s">
        <v>1126</v>
      </c>
      <c r="E756">
        <v>2239049763</v>
      </c>
      <c r="F756">
        <v>1798239243</v>
      </c>
      <c r="G756">
        <v>1401360377</v>
      </c>
      <c r="H756">
        <v>1219457057</v>
      </c>
      <c r="I756">
        <v>849462573</v>
      </c>
      <c r="J756">
        <v>748106215</v>
      </c>
      <c r="K756">
        <v>824469482</v>
      </c>
      <c r="P756">
        <v>313</v>
      </c>
      <c r="Q756" t="s">
        <v>1755</v>
      </c>
    </row>
    <row r="757" spans="1:17" x14ac:dyDescent="0.3">
      <c r="A757" t="s">
        <v>17</v>
      </c>
      <c r="B757" t="str">
        <f>"605158"</f>
        <v>605158</v>
      </c>
      <c r="C757" t="s">
        <v>1756</v>
      </c>
      <c r="D757" t="s">
        <v>68</v>
      </c>
      <c r="E757">
        <v>2232647984</v>
      </c>
      <c r="F757">
        <v>1721735748</v>
      </c>
      <c r="G757">
        <v>1102465594</v>
      </c>
      <c r="H757">
        <v>1078848271</v>
      </c>
      <c r="P757">
        <v>91</v>
      </c>
      <c r="Q757" t="s">
        <v>1757</v>
      </c>
    </row>
    <row r="758" spans="1:17" x14ac:dyDescent="0.3">
      <c r="A758" t="s">
        <v>17</v>
      </c>
      <c r="B758" t="str">
        <f>"600955"</f>
        <v>600955</v>
      </c>
      <c r="C758" t="s">
        <v>1758</v>
      </c>
      <c r="D758" t="s">
        <v>1759</v>
      </c>
      <c r="E758">
        <v>2226235867</v>
      </c>
      <c r="P758">
        <v>46</v>
      </c>
      <c r="Q758" t="s">
        <v>1760</v>
      </c>
    </row>
    <row r="759" spans="1:17" x14ac:dyDescent="0.3">
      <c r="A759" t="s">
        <v>75</v>
      </c>
      <c r="B759" t="str">
        <f>"000400"</f>
        <v>000400</v>
      </c>
      <c r="C759" t="s">
        <v>1761</v>
      </c>
      <c r="D759" t="s">
        <v>682</v>
      </c>
      <c r="E759">
        <v>2225087735</v>
      </c>
      <c r="F759">
        <v>2135979417</v>
      </c>
      <c r="G759">
        <v>1370883651</v>
      </c>
      <c r="H759">
        <v>1752712133</v>
      </c>
      <c r="I759">
        <v>1351891915</v>
      </c>
      <c r="J759">
        <v>1324833500</v>
      </c>
      <c r="K759">
        <v>1160241937</v>
      </c>
      <c r="L759">
        <v>1065487010</v>
      </c>
      <c r="M759">
        <v>1305002757</v>
      </c>
      <c r="N759">
        <v>1147686662</v>
      </c>
      <c r="O759">
        <v>855000907</v>
      </c>
      <c r="P759">
        <v>688</v>
      </c>
      <c r="Q759" t="s">
        <v>1762</v>
      </c>
    </row>
    <row r="760" spans="1:17" x14ac:dyDescent="0.3">
      <c r="A760" t="s">
        <v>17</v>
      </c>
      <c r="B760" t="str">
        <f>"600315"</f>
        <v>600315</v>
      </c>
      <c r="C760" t="s">
        <v>1763</v>
      </c>
      <c r="D760" t="s">
        <v>1764</v>
      </c>
      <c r="E760">
        <v>2222726820</v>
      </c>
      <c r="F760">
        <v>2409203676</v>
      </c>
      <c r="G760">
        <v>1958105198</v>
      </c>
      <c r="H760">
        <v>2057032056</v>
      </c>
      <c r="I760">
        <v>1947891536</v>
      </c>
      <c r="J760">
        <v>1768947146</v>
      </c>
      <c r="K760">
        <v>1674876883</v>
      </c>
      <c r="L760">
        <v>1528576882</v>
      </c>
      <c r="M760">
        <v>1455319029</v>
      </c>
      <c r="N760">
        <v>1254155023</v>
      </c>
      <c r="O760">
        <v>935313951</v>
      </c>
      <c r="P760">
        <v>1243</v>
      </c>
      <c r="Q760" t="s">
        <v>1765</v>
      </c>
    </row>
    <row r="761" spans="1:17" x14ac:dyDescent="0.3">
      <c r="A761" t="s">
        <v>17</v>
      </c>
      <c r="B761" t="str">
        <f>"600785"</f>
        <v>600785</v>
      </c>
      <c r="C761" t="s">
        <v>1766</v>
      </c>
      <c r="D761" t="s">
        <v>359</v>
      </c>
      <c r="E761">
        <v>2220913562</v>
      </c>
      <c r="F761">
        <v>2262768485</v>
      </c>
      <c r="G761">
        <v>2055615970</v>
      </c>
      <c r="H761">
        <v>2308619359</v>
      </c>
      <c r="I761">
        <v>2376544526</v>
      </c>
      <c r="J761">
        <v>2201043088</v>
      </c>
      <c r="K761">
        <v>2256962700</v>
      </c>
      <c r="L761">
        <v>2273269363</v>
      </c>
      <c r="M761">
        <v>2114899927</v>
      </c>
      <c r="N761">
        <v>2044336321</v>
      </c>
      <c r="O761">
        <v>1764903046</v>
      </c>
      <c r="P761">
        <v>99</v>
      </c>
      <c r="Q761" t="s">
        <v>1767</v>
      </c>
    </row>
    <row r="762" spans="1:17" x14ac:dyDescent="0.3">
      <c r="A762" t="s">
        <v>17</v>
      </c>
      <c r="B762" t="str">
        <f>"600754"</f>
        <v>600754</v>
      </c>
      <c r="C762" t="s">
        <v>1768</v>
      </c>
      <c r="D762" t="s">
        <v>1769</v>
      </c>
      <c r="E762">
        <v>2216935068</v>
      </c>
      <c r="F762">
        <v>2155039759</v>
      </c>
      <c r="G762">
        <v>1869872107</v>
      </c>
      <c r="H762">
        <v>3396481113</v>
      </c>
      <c r="I762">
        <v>3360910737</v>
      </c>
      <c r="J762">
        <v>2931839602</v>
      </c>
      <c r="K762">
        <v>1758390385</v>
      </c>
      <c r="L762">
        <v>891262425</v>
      </c>
      <c r="M762">
        <v>621894331</v>
      </c>
      <c r="N762">
        <v>520492975</v>
      </c>
      <c r="O762">
        <v>509317985</v>
      </c>
      <c r="P762">
        <v>668</v>
      </c>
      <c r="Q762" t="s">
        <v>1770</v>
      </c>
    </row>
    <row r="763" spans="1:17" x14ac:dyDescent="0.3">
      <c r="A763" t="s">
        <v>17</v>
      </c>
      <c r="B763" t="str">
        <f>"601921"</f>
        <v>601921</v>
      </c>
      <c r="C763" t="s">
        <v>1771</v>
      </c>
      <c r="D763" t="s">
        <v>1433</v>
      </c>
      <c r="E763">
        <v>2214685839</v>
      </c>
      <c r="F763">
        <v>2274489204</v>
      </c>
      <c r="G763">
        <v>981070272</v>
      </c>
      <c r="P763">
        <v>28</v>
      </c>
      <c r="Q763" t="s">
        <v>1772</v>
      </c>
    </row>
    <row r="764" spans="1:17" x14ac:dyDescent="0.3">
      <c r="A764" t="s">
        <v>17</v>
      </c>
      <c r="B764" t="str">
        <f>"603298"</f>
        <v>603298</v>
      </c>
      <c r="C764" t="s">
        <v>1773</v>
      </c>
      <c r="D764" t="s">
        <v>262</v>
      </c>
      <c r="E764">
        <v>2212557751</v>
      </c>
      <c r="F764">
        <v>2865084992</v>
      </c>
      <c r="G764">
        <v>1260725106</v>
      </c>
      <c r="H764">
        <v>1445106363</v>
      </c>
      <c r="I764">
        <v>1302225020</v>
      </c>
      <c r="J764">
        <v>1154808751</v>
      </c>
      <c r="K764">
        <v>981777305</v>
      </c>
      <c r="P764">
        <v>451</v>
      </c>
      <c r="Q764" t="s">
        <v>1774</v>
      </c>
    </row>
    <row r="765" spans="1:17" x14ac:dyDescent="0.3">
      <c r="A765" t="s">
        <v>75</v>
      </c>
      <c r="B765" t="str">
        <f>"002668"</f>
        <v>002668</v>
      </c>
      <c r="C765" t="s">
        <v>1775</v>
      </c>
      <c r="D765" t="s">
        <v>110</v>
      </c>
      <c r="E765">
        <v>2211506527</v>
      </c>
      <c r="F765">
        <v>2458085705</v>
      </c>
      <c r="G765">
        <v>1512861054</v>
      </c>
      <c r="H765">
        <v>1930945281</v>
      </c>
      <c r="I765">
        <v>1763859209</v>
      </c>
      <c r="J765">
        <v>1425145026</v>
      </c>
      <c r="K765">
        <v>1136478196</v>
      </c>
      <c r="L765">
        <v>848907671</v>
      </c>
      <c r="M765">
        <v>1108507974</v>
      </c>
      <c r="N765">
        <v>614461594</v>
      </c>
      <c r="O765">
        <v>663278499</v>
      </c>
      <c r="P765">
        <v>204</v>
      </c>
      <c r="Q765" t="s">
        <v>1776</v>
      </c>
    </row>
    <row r="766" spans="1:17" x14ac:dyDescent="0.3">
      <c r="A766" t="s">
        <v>75</v>
      </c>
      <c r="B766" t="str">
        <f>"000967"</f>
        <v>000967</v>
      </c>
      <c r="C766" t="s">
        <v>1777</v>
      </c>
      <c r="D766" t="s">
        <v>1642</v>
      </c>
      <c r="E766">
        <v>2210506683</v>
      </c>
      <c r="F766">
        <v>2574851309</v>
      </c>
      <c r="G766">
        <v>3195218034</v>
      </c>
      <c r="H766">
        <v>2548124513</v>
      </c>
      <c r="I766">
        <v>731157937</v>
      </c>
      <c r="J766">
        <v>771438648</v>
      </c>
      <c r="K766">
        <v>714336900</v>
      </c>
      <c r="L766">
        <v>723713700</v>
      </c>
      <c r="M766">
        <v>723921930</v>
      </c>
      <c r="N766">
        <v>587123821</v>
      </c>
      <c r="O766">
        <v>818765959</v>
      </c>
      <c r="P766">
        <v>329</v>
      </c>
      <c r="Q766" t="s">
        <v>1778</v>
      </c>
    </row>
    <row r="767" spans="1:17" x14ac:dyDescent="0.3">
      <c r="A767" t="s">
        <v>75</v>
      </c>
      <c r="B767" t="str">
        <f>"002051"</f>
        <v>002051</v>
      </c>
      <c r="C767" t="s">
        <v>1779</v>
      </c>
      <c r="D767" t="s">
        <v>797</v>
      </c>
      <c r="E767">
        <v>2210331967</v>
      </c>
      <c r="F767">
        <v>1626504080</v>
      </c>
      <c r="G767">
        <v>1548009879</v>
      </c>
      <c r="H767">
        <v>1305093220</v>
      </c>
      <c r="I767">
        <v>2114359130</v>
      </c>
      <c r="J767">
        <v>1110934495</v>
      </c>
      <c r="K767">
        <v>1100948408</v>
      </c>
      <c r="L767">
        <v>1616399261</v>
      </c>
      <c r="M767">
        <v>2266112575</v>
      </c>
      <c r="N767">
        <v>982337511</v>
      </c>
      <c r="O767">
        <v>1971785097</v>
      </c>
      <c r="P767">
        <v>556</v>
      </c>
      <c r="Q767" t="s">
        <v>1780</v>
      </c>
    </row>
    <row r="768" spans="1:17" x14ac:dyDescent="0.3">
      <c r="A768" t="s">
        <v>17</v>
      </c>
      <c r="B768" t="str">
        <f>"689009"</f>
        <v>689009</v>
      </c>
      <c r="C768" t="s">
        <v>1781</v>
      </c>
      <c r="D768" t="s">
        <v>917</v>
      </c>
      <c r="E768">
        <v>2196262755</v>
      </c>
      <c r="F768">
        <v>1826799706</v>
      </c>
      <c r="G768">
        <v>695168017</v>
      </c>
      <c r="P768">
        <v>114</v>
      </c>
      <c r="Q768" t="s">
        <v>1782</v>
      </c>
    </row>
    <row r="769" spans="1:17" x14ac:dyDescent="0.3">
      <c r="A769" t="s">
        <v>17</v>
      </c>
      <c r="B769" t="str">
        <f>"600062"</f>
        <v>600062</v>
      </c>
      <c r="C769" t="s">
        <v>1783</v>
      </c>
      <c r="D769" t="s">
        <v>543</v>
      </c>
      <c r="E769">
        <v>2191423738</v>
      </c>
      <c r="F769">
        <v>2343201430</v>
      </c>
      <c r="G769">
        <v>2004566645</v>
      </c>
      <c r="H769">
        <v>2372771632</v>
      </c>
      <c r="I769">
        <v>1857228651</v>
      </c>
      <c r="J769">
        <v>1406117742</v>
      </c>
      <c r="K769">
        <v>1198763801</v>
      </c>
      <c r="L769">
        <v>859236257</v>
      </c>
      <c r="M769">
        <v>944861785</v>
      </c>
      <c r="N769">
        <v>1391561528</v>
      </c>
      <c r="O769">
        <v>1209234550</v>
      </c>
      <c r="P769">
        <v>635</v>
      </c>
      <c r="Q769" t="s">
        <v>1784</v>
      </c>
    </row>
    <row r="770" spans="1:17" x14ac:dyDescent="0.3">
      <c r="A770" t="s">
        <v>75</v>
      </c>
      <c r="B770" t="str">
        <f>"000629"</f>
        <v>000629</v>
      </c>
      <c r="C770" t="s">
        <v>1785</v>
      </c>
      <c r="D770" t="s">
        <v>771</v>
      </c>
      <c r="E770">
        <v>2186577585</v>
      </c>
      <c r="F770">
        <v>2353033966</v>
      </c>
      <c r="G770">
        <v>1626893303</v>
      </c>
      <c r="H770">
        <v>2534990390</v>
      </c>
      <c r="I770">
        <v>1741652331</v>
      </c>
      <c r="J770">
        <v>1157924115</v>
      </c>
      <c r="K770">
        <v>2167752335</v>
      </c>
      <c r="L770">
        <v>2327377215</v>
      </c>
      <c r="M770">
        <v>2645709346</v>
      </c>
      <c r="N770">
        <v>2907650307</v>
      </c>
      <c r="O770">
        <v>4524313728</v>
      </c>
      <c r="P770">
        <v>335</v>
      </c>
      <c r="Q770" t="s">
        <v>1786</v>
      </c>
    </row>
    <row r="771" spans="1:17" x14ac:dyDescent="0.3">
      <c r="A771" t="s">
        <v>75</v>
      </c>
      <c r="B771" t="str">
        <f>"000987"</f>
        <v>000987</v>
      </c>
      <c r="C771" t="s">
        <v>1787</v>
      </c>
      <c r="D771" t="s">
        <v>370</v>
      </c>
      <c r="E771">
        <v>2179613999</v>
      </c>
      <c r="F771">
        <v>3933064192</v>
      </c>
      <c r="G771">
        <v>1281103559</v>
      </c>
      <c r="H771">
        <v>2264442780</v>
      </c>
      <c r="I771">
        <v>961797661</v>
      </c>
      <c r="J771">
        <v>891771781</v>
      </c>
      <c r="K771">
        <v>735601949</v>
      </c>
      <c r="L771">
        <v>801463491</v>
      </c>
      <c r="M771">
        <v>1001095067</v>
      </c>
      <c r="N771">
        <v>1397215013</v>
      </c>
      <c r="O771">
        <v>1361760863</v>
      </c>
      <c r="P771">
        <v>520</v>
      </c>
      <c r="Q771" t="s">
        <v>1788</v>
      </c>
    </row>
    <row r="772" spans="1:17" x14ac:dyDescent="0.3">
      <c r="A772" t="s">
        <v>75</v>
      </c>
      <c r="B772" t="str">
        <f>"000637"</f>
        <v>000637</v>
      </c>
      <c r="C772" t="s">
        <v>1789</v>
      </c>
      <c r="D772" t="s">
        <v>422</v>
      </c>
      <c r="E772">
        <v>2175772057</v>
      </c>
      <c r="F772">
        <v>1069185707</v>
      </c>
      <c r="G772">
        <v>926288485</v>
      </c>
      <c r="H772">
        <v>1141225787</v>
      </c>
      <c r="I772">
        <v>1169984475</v>
      </c>
      <c r="J772">
        <v>1236518886</v>
      </c>
      <c r="K772">
        <v>696239901</v>
      </c>
      <c r="L772">
        <v>717136379</v>
      </c>
      <c r="M772">
        <v>1064684803</v>
      </c>
      <c r="N772">
        <v>950794363</v>
      </c>
      <c r="O772">
        <v>895037490</v>
      </c>
      <c r="P772">
        <v>93</v>
      </c>
      <c r="Q772" t="s">
        <v>1790</v>
      </c>
    </row>
    <row r="773" spans="1:17" x14ac:dyDescent="0.3">
      <c r="A773" t="s">
        <v>17</v>
      </c>
      <c r="B773" t="str">
        <f>"600665"</f>
        <v>600665</v>
      </c>
      <c r="C773" t="s">
        <v>1791</v>
      </c>
      <c r="D773" t="s">
        <v>65</v>
      </c>
      <c r="E773">
        <v>2173469683</v>
      </c>
      <c r="F773">
        <v>2141021982</v>
      </c>
      <c r="G773">
        <v>1128623319</v>
      </c>
      <c r="H773">
        <v>498287994</v>
      </c>
      <c r="I773">
        <v>1593767281</v>
      </c>
      <c r="J773">
        <v>1011885574</v>
      </c>
      <c r="K773">
        <v>1488466114</v>
      </c>
      <c r="L773">
        <v>451016461</v>
      </c>
      <c r="M773">
        <v>435806132</v>
      </c>
      <c r="N773">
        <v>282777655</v>
      </c>
      <c r="O773">
        <v>265663384</v>
      </c>
      <c r="P773">
        <v>455</v>
      </c>
      <c r="Q773" t="s">
        <v>1792</v>
      </c>
    </row>
    <row r="774" spans="1:17" x14ac:dyDescent="0.3">
      <c r="A774" t="s">
        <v>17</v>
      </c>
      <c r="B774" t="str">
        <f>"601880"</f>
        <v>601880</v>
      </c>
      <c r="C774" t="s">
        <v>1793</v>
      </c>
      <c r="D774" t="s">
        <v>383</v>
      </c>
      <c r="E774">
        <v>2172724296</v>
      </c>
      <c r="F774">
        <v>2153238926</v>
      </c>
      <c r="G774">
        <v>1256373082</v>
      </c>
      <c r="H774">
        <v>1290638678</v>
      </c>
      <c r="I774">
        <v>1853207225</v>
      </c>
      <c r="J774">
        <v>2654249266</v>
      </c>
      <c r="K774">
        <v>2445179172</v>
      </c>
      <c r="L774">
        <v>2060508466</v>
      </c>
      <c r="M774">
        <v>1234112513</v>
      </c>
      <c r="N774">
        <v>1389554199</v>
      </c>
      <c r="O774">
        <v>922848376</v>
      </c>
      <c r="P774">
        <v>189</v>
      </c>
      <c r="Q774" t="s">
        <v>1794</v>
      </c>
    </row>
    <row r="775" spans="1:17" x14ac:dyDescent="0.3">
      <c r="A775" t="s">
        <v>75</v>
      </c>
      <c r="B775" t="str">
        <f>"002312"</f>
        <v>002312</v>
      </c>
      <c r="C775" t="s">
        <v>1795</v>
      </c>
      <c r="D775" t="s">
        <v>354</v>
      </c>
      <c r="E775">
        <v>2172686881</v>
      </c>
      <c r="F775">
        <v>965641737</v>
      </c>
      <c r="G775">
        <v>1124918167</v>
      </c>
      <c r="H775">
        <v>126358765</v>
      </c>
      <c r="I775">
        <v>117336857</v>
      </c>
      <c r="J775">
        <v>206327743</v>
      </c>
      <c r="K775">
        <v>213431277</v>
      </c>
      <c r="L775">
        <v>139940259</v>
      </c>
      <c r="M775">
        <v>96493950</v>
      </c>
      <c r="N775">
        <v>155228266</v>
      </c>
      <c r="O775">
        <v>64457843</v>
      </c>
      <c r="P775">
        <v>249</v>
      </c>
      <c r="Q775" t="s">
        <v>1796</v>
      </c>
    </row>
    <row r="776" spans="1:17" x14ac:dyDescent="0.3">
      <c r="A776" t="s">
        <v>75</v>
      </c>
      <c r="B776" t="str">
        <f>"002133"</f>
        <v>002133</v>
      </c>
      <c r="C776" t="s">
        <v>1797</v>
      </c>
      <c r="D776" t="s">
        <v>65</v>
      </c>
      <c r="E776">
        <v>2167994004</v>
      </c>
      <c r="F776">
        <v>2270424644</v>
      </c>
      <c r="G776">
        <v>1725745741</v>
      </c>
      <c r="H776">
        <v>639654168</v>
      </c>
      <c r="I776">
        <v>801577078</v>
      </c>
      <c r="J776">
        <v>1328960183</v>
      </c>
      <c r="K776">
        <v>735966665</v>
      </c>
      <c r="L776">
        <v>374761595</v>
      </c>
      <c r="M776">
        <v>298509834</v>
      </c>
      <c r="N776">
        <v>333380580</v>
      </c>
      <c r="O776">
        <v>194268560</v>
      </c>
      <c r="P776">
        <v>132</v>
      </c>
      <c r="Q776" t="s">
        <v>1798</v>
      </c>
    </row>
    <row r="777" spans="1:17" x14ac:dyDescent="0.3">
      <c r="A777" t="s">
        <v>75</v>
      </c>
      <c r="B777" t="str">
        <f>"000797"</f>
        <v>000797</v>
      </c>
      <c r="C777" t="s">
        <v>1799</v>
      </c>
      <c r="D777" t="s">
        <v>65</v>
      </c>
      <c r="E777">
        <v>2166639114</v>
      </c>
      <c r="F777">
        <v>1741079969</v>
      </c>
      <c r="G777">
        <v>1408413613</v>
      </c>
      <c r="H777">
        <v>764469354</v>
      </c>
      <c r="I777">
        <v>852506699</v>
      </c>
      <c r="J777">
        <v>683110590</v>
      </c>
      <c r="K777">
        <v>706584643</v>
      </c>
      <c r="L777">
        <v>446769665</v>
      </c>
      <c r="M777">
        <v>504156341</v>
      </c>
      <c r="N777">
        <v>485154817</v>
      </c>
      <c r="O777">
        <v>536636013</v>
      </c>
      <c r="P777">
        <v>121</v>
      </c>
      <c r="Q777" t="s">
        <v>1800</v>
      </c>
    </row>
    <row r="778" spans="1:17" x14ac:dyDescent="0.3">
      <c r="A778" t="s">
        <v>17</v>
      </c>
      <c r="B778" t="str">
        <f>"600483"</f>
        <v>600483</v>
      </c>
      <c r="C778" t="s">
        <v>1801</v>
      </c>
      <c r="D778" t="s">
        <v>457</v>
      </c>
      <c r="E778">
        <v>2162218811</v>
      </c>
      <c r="F778">
        <v>3109429379</v>
      </c>
      <c r="G778">
        <v>1700633947</v>
      </c>
      <c r="H778">
        <v>1775147906</v>
      </c>
      <c r="I778">
        <v>1871999413</v>
      </c>
      <c r="J778">
        <v>1340760002</v>
      </c>
      <c r="K778">
        <v>1266281104</v>
      </c>
      <c r="L778">
        <v>1314223248</v>
      </c>
      <c r="M778">
        <v>125689445</v>
      </c>
      <c r="N778">
        <v>101979321</v>
      </c>
      <c r="O778">
        <v>137705145</v>
      </c>
      <c r="P778">
        <v>331</v>
      </c>
      <c r="Q778" t="s">
        <v>1802</v>
      </c>
    </row>
    <row r="779" spans="1:17" x14ac:dyDescent="0.3">
      <c r="A779" t="s">
        <v>75</v>
      </c>
      <c r="B779" t="str">
        <f>"000589"</f>
        <v>000589</v>
      </c>
      <c r="C779" t="s">
        <v>1803</v>
      </c>
      <c r="D779" t="s">
        <v>904</v>
      </c>
      <c r="E779">
        <v>2159260397</v>
      </c>
      <c r="F779">
        <v>1769906549</v>
      </c>
      <c r="G779">
        <v>1577611144</v>
      </c>
      <c r="H779">
        <v>2094293228</v>
      </c>
      <c r="I779">
        <v>1371287966</v>
      </c>
      <c r="J779">
        <v>1178129035</v>
      </c>
      <c r="K779">
        <v>960696590</v>
      </c>
      <c r="L779">
        <v>1078694418</v>
      </c>
      <c r="M779">
        <v>1157537711</v>
      </c>
      <c r="N779">
        <v>928962593</v>
      </c>
      <c r="O779">
        <v>1152656324</v>
      </c>
      <c r="P779">
        <v>208</v>
      </c>
      <c r="Q779" t="s">
        <v>1804</v>
      </c>
    </row>
    <row r="780" spans="1:17" x14ac:dyDescent="0.3">
      <c r="A780" t="s">
        <v>17</v>
      </c>
      <c r="B780" t="str">
        <f>"600063"</f>
        <v>600063</v>
      </c>
      <c r="C780" t="s">
        <v>1805</v>
      </c>
      <c r="D780" t="s">
        <v>1806</v>
      </c>
      <c r="E780">
        <v>2158423729</v>
      </c>
      <c r="F780">
        <v>1527707025</v>
      </c>
      <c r="G780">
        <v>1111439296</v>
      </c>
      <c r="H780">
        <v>1113841031</v>
      </c>
      <c r="I780">
        <v>989579756</v>
      </c>
      <c r="J780">
        <v>722607686</v>
      </c>
      <c r="K780">
        <v>889082531</v>
      </c>
      <c r="L780">
        <v>1014140707</v>
      </c>
      <c r="M780">
        <v>1014998996</v>
      </c>
      <c r="N780">
        <v>759317305</v>
      </c>
      <c r="O780">
        <v>840210609</v>
      </c>
      <c r="P780">
        <v>224</v>
      </c>
      <c r="Q780" t="s">
        <v>1807</v>
      </c>
    </row>
    <row r="781" spans="1:17" x14ac:dyDescent="0.3">
      <c r="A781" t="s">
        <v>75</v>
      </c>
      <c r="B781" t="str">
        <f>"002065"</f>
        <v>002065</v>
      </c>
      <c r="C781" t="s">
        <v>1808</v>
      </c>
      <c r="D781" t="s">
        <v>224</v>
      </c>
      <c r="E781">
        <v>2158390603</v>
      </c>
      <c r="F781">
        <v>1818708257</v>
      </c>
      <c r="G781">
        <v>1023321110</v>
      </c>
      <c r="H781">
        <v>1368732213</v>
      </c>
      <c r="I781">
        <v>1419878006</v>
      </c>
      <c r="J781">
        <v>991284245</v>
      </c>
      <c r="K781">
        <v>1081178643</v>
      </c>
      <c r="L781">
        <v>664133929</v>
      </c>
      <c r="M781">
        <v>696960703</v>
      </c>
      <c r="N781">
        <v>690644888</v>
      </c>
      <c r="O781">
        <v>577830355</v>
      </c>
      <c r="P781">
        <v>942</v>
      </c>
      <c r="Q781" t="s">
        <v>1809</v>
      </c>
    </row>
    <row r="782" spans="1:17" x14ac:dyDescent="0.3">
      <c r="A782" t="s">
        <v>17</v>
      </c>
      <c r="B782" t="str">
        <f>"600675"</f>
        <v>600675</v>
      </c>
      <c r="C782" t="s">
        <v>1810</v>
      </c>
      <c r="D782" t="s">
        <v>65</v>
      </c>
      <c r="E782">
        <v>2156625029</v>
      </c>
      <c r="F782">
        <v>1441875997</v>
      </c>
      <c r="G782">
        <v>1583420316</v>
      </c>
      <c r="H782">
        <v>3092207993</v>
      </c>
      <c r="I782">
        <v>1197053417</v>
      </c>
      <c r="J782">
        <v>2583495859</v>
      </c>
      <c r="K782">
        <v>2210413499</v>
      </c>
      <c r="L782">
        <v>1412405257</v>
      </c>
      <c r="M782">
        <v>1164311230</v>
      </c>
      <c r="N782">
        <v>1540868981</v>
      </c>
      <c r="O782">
        <v>1126261505</v>
      </c>
      <c r="P782">
        <v>186</v>
      </c>
      <c r="Q782" t="s">
        <v>1811</v>
      </c>
    </row>
    <row r="783" spans="1:17" x14ac:dyDescent="0.3">
      <c r="A783" t="s">
        <v>17</v>
      </c>
      <c r="B783" t="str">
        <f>"600429"</f>
        <v>600429</v>
      </c>
      <c r="C783" t="s">
        <v>1812</v>
      </c>
      <c r="D783" t="s">
        <v>215</v>
      </c>
      <c r="E783">
        <v>2155248356</v>
      </c>
      <c r="F783">
        <v>2077393610</v>
      </c>
      <c r="G783">
        <v>1522058363</v>
      </c>
      <c r="H783">
        <v>1764243907</v>
      </c>
      <c r="I783">
        <v>1617511306</v>
      </c>
      <c r="J783">
        <v>1376408261</v>
      </c>
      <c r="K783">
        <v>1125209521</v>
      </c>
      <c r="L783">
        <v>1289957223</v>
      </c>
      <c r="M783">
        <v>1110664047</v>
      </c>
      <c r="N783">
        <v>949805545</v>
      </c>
      <c r="O783">
        <v>863552491</v>
      </c>
      <c r="P783">
        <v>494</v>
      </c>
      <c r="Q783" t="s">
        <v>1813</v>
      </c>
    </row>
    <row r="784" spans="1:17" x14ac:dyDescent="0.3">
      <c r="A784" t="s">
        <v>17</v>
      </c>
      <c r="B784" t="str">
        <f>"603129"</f>
        <v>603129</v>
      </c>
      <c r="C784" t="s">
        <v>1814</v>
      </c>
      <c r="D784" t="s">
        <v>1457</v>
      </c>
      <c r="E784">
        <v>2155190018</v>
      </c>
      <c r="F784">
        <v>1434308676</v>
      </c>
      <c r="G784">
        <v>648297202</v>
      </c>
      <c r="H784">
        <v>610802785</v>
      </c>
      <c r="I784">
        <v>468831735</v>
      </c>
      <c r="J784">
        <v>410596625</v>
      </c>
      <c r="K784">
        <v>262852818</v>
      </c>
      <c r="P784">
        <v>625</v>
      </c>
      <c r="Q784" t="s">
        <v>1815</v>
      </c>
    </row>
    <row r="785" spans="1:17" x14ac:dyDescent="0.3">
      <c r="A785" t="s">
        <v>17</v>
      </c>
      <c r="B785" t="str">
        <f>"600395"</f>
        <v>600395</v>
      </c>
      <c r="C785" t="s">
        <v>1816</v>
      </c>
      <c r="D785" t="s">
        <v>306</v>
      </c>
      <c r="E785">
        <v>2153627939</v>
      </c>
      <c r="F785">
        <v>1535548390</v>
      </c>
      <c r="G785">
        <v>1185471075</v>
      </c>
      <c r="H785">
        <v>1388312147</v>
      </c>
      <c r="I785">
        <v>1334487800</v>
      </c>
      <c r="J785">
        <v>965541900</v>
      </c>
      <c r="K785">
        <v>695012900</v>
      </c>
      <c r="L785">
        <v>1297598556</v>
      </c>
      <c r="M785">
        <v>1440730969</v>
      </c>
      <c r="N785">
        <v>1604671271</v>
      </c>
      <c r="O785">
        <v>1779211731</v>
      </c>
      <c r="P785">
        <v>517</v>
      </c>
      <c r="Q785" t="s">
        <v>1817</v>
      </c>
    </row>
    <row r="786" spans="1:17" x14ac:dyDescent="0.3">
      <c r="A786" t="s">
        <v>17</v>
      </c>
      <c r="B786" t="str">
        <f>"600389"</f>
        <v>600389</v>
      </c>
      <c r="C786" t="s">
        <v>1818</v>
      </c>
      <c r="D786" t="s">
        <v>811</v>
      </c>
      <c r="E786">
        <v>2152645143</v>
      </c>
      <c r="F786">
        <v>1084989937</v>
      </c>
      <c r="G786">
        <v>831428137</v>
      </c>
      <c r="H786">
        <v>697326830</v>
      </c>
      <c r="I786">
        <v>664324330</v>
      </c>
      <c r="J786">
        <v>515695307</v>
      </c>
      <c r="K786">
        <v>1963155089</v>
      </c>
      <c r="L786">
        <v>578300891</v>
      </c>
      <c r="M786">
        <v>704757655</v>
      </c>
      <c r="N786">
        <v>804334788</v>
      </c>
      <c r="O786">
        <v>495874001</v>
      </c>
      <c r="P786">
        <v>426</v>
      </c>
      <c r="Q786" t="s">
        <v>1819</v>
      </c>
    </row>
    <row r="787" spans="1:17" x14ac:dyDescent="0.3">
      <c r="A787" t="s">
        <v>17</v>
      </c>
      <c r="B787" t="str">
        <f>"603077"</f>
        <v>603077</v>
      </c>
      <c r="C787" t="s">
        <v>1820</v>
      </c>
      <c r="D787" t="s">
        <v>1821</v>
      </c>
      <c r="E787">
        <v>2150617493</v>
      </c>
      <c r="F787">
        <v>1014526421</v>
      </c>
      <c r="G787">
        <v>678485004</v>
      </c>
      <c r="H787">
        <v>695564434</v>
      </c>
      <c r="I787">
        <v>747396787</v>
      </c>
      <c r="J787">
        <v>416443025</v>
      </c>
      <c r="K787">
        <v>597561045</v>
      </c>
      <c r="L787">
        <v>383330359</v>
      </c>
      <c r="M787">
        <v>640200544</v>
      </c>
      <c r="N787">
        <v>256934464</v>
      </c>
      <c r="O787">
        <v>335874592</v>
      </c>
      <c r="P787">
        <v>265</v>
      </c>
      <c r="Q787" t="s">
        <v>1822</v>
      </c>
    </row>
    <row r="788" spans="1:17" x14ac:dyDescent="0.3">
      <c r="A788" t="s">
        <v>17</v>
      </c>
      <c r="B788" t="str">
        <f>"600067"</f>
        <v>600067</v>
      </c>
      <c r="C788" t="s">
        <v>1823</v>
      </c>
      <c r="D788" t="s">
        <v>65</v>
      </c>
      <c r="E788">
        <v>2150159566</v>
      </c>
      <c r="F788">
        <v>2344063035</v>
      </c>
      <c r="G788">
        <v>1268574033</v>
      </c>
      <c r="H788">
        <v>2334613316</v>
      </c>
      <c r="I788">
        <v>1555782949</v>
      </c>
      <c r="J788">
        <v>1489060168</v>
      </c>
      <c r="K788">
        <v>2065094590</v>
      </c>
      <c r="L788">
        <v>1252513214</v>
      </c>
      <c r="M788">
        <v>2447263496</v>
      </c>
      <c r="N788">
        <v>1489332838</v>
      </c>
      <c r="O788">
        <v>1012388438</v>
      </c>
      <c r="P788">
        <v>222</v>
      </c>
      <c r="Q788" t="s">
        <v>1824</v>
      </c>
    </row>
    <row r="789" spans="1:17" x14ac:dyDescent="0.3">
      <c r="A789" t="s">
        <v>75</v>
      </c>
      <c r="B789" t="str">
        <f>"002182"</f>
        <v>002182</v>
      </c>
      <c r="C789" t="s">
        <v>1825</v>
      </c>
      <c r="D789" t="s">
        <v>364</v>
      </c>
      <c r="E789">
        <v>2149854332</v>
      </c>
      <c r="F789">
        <v>1481859968</v>
      </c>
      <c r="G789">
        <v>964673032</v>
      </c>
      <c r="H789">
        <v>1001942336</v>
      </c>
      <c r="I789">
        <v>770595852</v>
      </c>
      <c r="J789">
        <v>766305565</v>
      </c>
      <c r="K789">
        <v>620487939</v>
      </c>
      <c r="L789">
        <v>573545089</v>
      </c>
      <c r="M789">
        <v>920723222</v>
      </c>
      <c r="N789">
        <v>653614125</v>
      </c>
      <c r="O789">
        <v>754319136</v>
      </c>
      <c r="P789">
        <v>372</v>
      </c>
      <c r="Q789" t="s">
        <v>1826</v>
      </c>
    </row>
    <row r="790" spans="1:17" x14ac:dyDescent="0.3">
      <c r="A790" t="s">
        <v>75</v>
      </c>
      <c r="B790" t="str">
        <f>"002572"</f>
        <v>002572</v>
      </c>
      <c r="C790" t="s">
        <v>1827</v>
      </c>
      <c r="D790" t="s">
        <v>1004</v>
      </c>
      <c r="E790">
        <v>2146484828</v>
      </c>
      <c r="F790">
        <v>1713485512</v>
      </c>
      <c r="G790">
        <v>737777146</v>
      </c>
      <c r="H790">
        <v>1153243754</v>
      </c>
      <c r="I790">
        <v>1194975318</v>
      </c>
      <c r="J790">
        <v>1095109430</v>
      </c>
      <c r="K790">
        <v>722276842</v>
      </c>
      <c r="L790">
        <v>540687509</v>
      </c>
      <c r="M790">
        <v>371918998</v>
      </c>
      <c r="N790">
        <v>276364780</v>
      </c>
      <c r="O790">
        <v>176574181</v>
      </c>
      <c r="P790">
        <v>9141</v>
      </c>
      <c r="Q790" t="s">
        <v>1828</v>
      </c>
    </row>
    <row r="791" spans="1:17" x14ac:dyDescent="0.3">
      <c r="A791" t="s">
        <v>75</v>
      </c>
      <c r="B791" t="str">
        <f>"002497"</f>
        <v>002497</v>
      </c>
      <c r="C791" t="s">
        <v>1829</v>
      </c>
      <c r="D791" t="s">
        <v>1830</v>
      </c>
      <c r="E791">
        <v>2138221880</v>
      </c>
      <c r="F791">
        <v>493813824</v>
      </c>
      <c r="G791">
        <v>398518727</v>
      </c>
      <c r="H791">
        <v>496078132</v>
      </c>
      <c r="I791">
        <v>496430577</v>
      </c>
      <c r="J791">
        <v>347669954</v>
      </c>
      <c r="K791">
        <v>240250881</v>
      </c>
      <c r="L791">
        <v>217237924</v>
      </c>
      <c r="M791">
        <v>243959148</v>
      </c>
      <c r="N791">
        <v>254095932</v>
      </c>
      <c r="O791">
        <v>167161470</v>
      </c>
      <c r="P791">
        <v>481</v>
      </c>
      <c r="Q791" t="s">
        <v>1831</v>
      </c>
    </row>
    <row r="792" spans="1:17" x14ac:dyDescent="0.3">
      <c r="A792" t="s">
        <v>75</v>
      </c>
      <c r="B792" t="str">
        <f>"002139"</f>
        <v>002139</v>
      </c>
      <c r="C792" t="s">
        <v>1832</v>
      </c>
      <c r="D792" t="s">
        <v>55</v>
      </c>
      <c r="E792">
        <v>2135393288</v>
      </c>
      <c r="F792">
        <v>1377556529</v>
      </c>
      <c r="G792">
        <v>1035305918</v>
      </c>
      <c r="H792">
        <v>815505078</v>
      </c>
      <c r="I792">
        <v>679710624</v>
      </c>
      <c r="J792">
        <v>561288463</v>
      </c>
      <c r="K792">
        <v>346843034</v>
      </c>
      <c r="L792">
        <v>277321941</v>
      </c>
      <c r="M792">
        <v>255853221</v>
      </c>
      <c r="N792">
        <v>244320597</v>
      </c>
      <c r="O792">
        <v>238794546</v>
      </c>
      <c r="P792">
        <v>919</v>
      </c>
      <c r="Q792" t="s">
        <v>1833</v>
      </c>
    </row>
    <row r="793" spans="1:17" x14ac:dyDescent="0.3">
      <c r="A793" t="s">
        <v>17</v>
      </c>
      <c r="B793" t="str">
        <f>"603355"</f>
        <v>603355</v>
      </c>
      <c r="C793" t="s">
        <v>1834</v>
      </c>
      <c r="D793" t="s">
        <v>1138</v>
      </c>
      <c r="E793">
        <v>2133145426</v>
      </c>
      <c r="F793">
        <v>1797374821</v>
      </c>
      <c r="G793">
        <v>1518963793</v>
      </c>
      <c r="H793">
        <v>1727989461</v>
      </c>
      <c r="I793">
        <v>1672119517</v>
      </c>
      <c r="J793">
        <v>1393574238</v>
      </c>
      <c r="K793">
        <v>1208803402</v>
      </c>
      <c r="L793">
        <v>1168812177</v>
      </c>
      <c r="M793">
        <v>961894758</v>
      </c>
      <c r="P793">
        <v>557</v>
      </c>
      <c r="Q793" t="s">
        <v>1835</v>
      </c>
    </row>
    <row r="794" spans="1:17" x14ac:dyDescent="0.3">
      <c r="A794" t="s">
        <v>75</v>
      </c>
      <c r="B794" t="str">
        <f>"002307"</f>
        <v>002307</v>
      </c>
      <c r="C794" t="s">
        <v>1836</v>
      </c>
      <c r="D794" t="s">
        <v>27</v>
      </c>
      <c r="E794">
        <v>2133068573</v>
      </c>
      <c r="F794">
        <v>2482363186</v>
      </c>
      <c r="G794">
        <v>1238926287</v>
      </c>
      <c r="H794">
        <v>2432760575</v>
      </c>
      <c r="I794">
        <v>1564736269</v>
      </c>
      <c r="J794">
        <v>1193552484</v>
      </c>
      <c r="K794">
        <v>875567457</v>
      </c>
      <c r="L794">
        <v>729595624</v>
      </c>
      <c r="M794">
        <v>628865920</v>
      </c>
      <c r="N794">
        <v>573001102</v>
      </c>
      <c r="O794">
        <v>393359147</v>
      </c>
      <c r="P794">
        <v>90</v>
      </c>
      <c r="Q794" t="s">
        <v>1837</v>
      </c>
    </row>
    <row r="795" spans="1:17" x14ac:dyDescent="0.3">
      <c r="A795" t="s">
        <v>17</v>
      </c>
      <c r="B795" t="str">
        <f>"600828"</f>
        <v>600828</v>
      </c>
      <c r="C795" t="s">
        <v>1838</v>
      </c>
      <c r="D795" t="s">
        <v>582</v>
      </c>
      <c r="E795">
        <v>2132145742</v>
      </c>
      <c r="F795">
        <v>3064838466</v>
      </c>
      <c r="G795">
        <v>1784653461</v>
      </c>
      <c r="H795">
        <v>3737711486</v>
      </c>
      <c r="I795">
        <v>3776597091</v>
      </c>
      <c r="J795">
        <v>3564173567</v>
      </c>
      <c r="K795">
        <v>1902817207</v>
      </c>
      <c r="L795">
        <v>648992753</v>
      </c>
      <c r="M795">
        <v>697257225</v>
      </c>
      <c r="N795">
        <v>693561441</v>
      </c>
      <c r="O795">
        <v>684090607</v>
      </c>
      <c r="P795">
        <v>628</v>
      </c>
      <c r="Q795" t="s">
        <v>1839</v>
      </c>
    </row>
    <row r="796" spans="1:17" x14ac:dyDescent="0.3">
      <c r="A796" t="s">
        <v>75</v>
      </c>
      <c r="B796" t="str">
        <f>"300073"</f>
        <v>300073</v>
      </c>
      <c r="C796" t="s">
        <v>1840</v>
      </c>
      <c r="D796" t="s">
        <v>834</v>
      </c>
      <c r="E796">
        <v>2129115278</v>
      </c>
      <c r="F796">
        <v>695427574</v>
      </c>
      <c r="G796">
        <v>287251068</v>
      </c>
      <c r="H796">
        <v>450311048</v>
      </c>
      <c r="I796">
        <v>364610860</v>
      </c>
      <c r="J796">
        <v>211444544</v>
      </c>
      <c r="K796">
        <v>113257669</v>
      </c>
      <c r="L796">
        <v>72943625</v>
      </c>
      <c r="M796">
        <v>73008118</v>
      </c>
      <c r="N796">
        <v>55541314</v>
      </c>
      <c r="O796">
        <v>77425923</v>
      </c>
      <c r="P796">
        <v>826</v>
      </c>
      <c r="Q796" t="s">
        <v>1841</v>
      </c>
    </row>
    <row r="797" spans="1:17" x14ac:dyDescent="0.3">
      <c r="A797" t="s">
        <v>75</v>
      </c>
      <c r="B797" t="str">
        <f>"002276"</f>
        <v>002276</v>
      </c>
      <c r="C797" t="s">
        <v>1842</v>
      </c>
      <c r="D797" t="s">
        <v>562</v>
      </c>
      <c r="E797">
        <v>2125283164</v>
      </c>
      <c r="F797">
        <v>1876404566</v>
      </c>
      <c r="G797">
        <v>1223820824</v>
      </c>
      <c r="H797">
        <v>1492135144</v>
      </c>
      <c r="I797">
        <v>1229284116</v>
      </c>
      <c r="J797">
        <v>1015701188</v>
      </c>
      <c r="K797">
        <v>881080893</v>
      </c>
      <c r="L797">
        <v>853580115</v>
      </c>
      <c r="M797">
        <v>765575134</v>
      </c>
      <c r="N797">
        <v>742238231</v>
      </c>
      <c r="O797">
        <v>426990785</v>
      </c>
      <c r="P797">
        <v>255</v>
      </c>
      <c r="Q797" t="s">
        <v>1843</v>
      </c>
    </row>
    <row r="798" spans="1:17" x14ac:dyDescent="0.3">
      <c r="A798" t="s">
        <v>17</v>
      </c>
      <c r="B798" t="str">
        <f>"600436"</f>
        <v>600436</v>
      </c>
      <c r="C798" t="s">
        <v>1844</v>
      </c>
      <c r="D798" t="s">
        <v>321</v>
      </c>
      <c r="E798">
        <v>2121807782</v>
      </c>
      <c r="F798">
        <v>1888559508</v>
      </c>
      <c r="G798">
        <v>1524043874</v>
      </c>
      <c r="H798">
        <v>1339384767</v>
      </c>
      <c r="I798">
        <v>1059288732</v>
      </c>
      <c r="J798">
        <v>931747425</v>
      </c>
      <c r="K798">
        <v>519953663</v>
      </c>
      <c r="L798">
        <v>382252916</v>
      </c>
      <c r="M798">
        <v>357625902</v>
      </c>
      <c r="N798">
        <v>316554222</v>
      </c>
      <c r="O798">
        <v>265649111</v>
      </c>
      <c r="P798">
        <v>64361</v>
      </c>
      <c r="Q798" t="s">
        <v>1845</v>
      </c>
    </row>
    <row r="799" spans="1:17" x14ac:dyDescent="0.3">
      <c r="A799" t="s">
        <v>75</v>
      </c>
      <c r="B799" t="str">
        <f>"300240"</f>
        <v>300240</v>
      </c>
      <c r="C799" t="s">
        <v>1846</v>
      </c>
      <c r="D799" t="s">
        <v>367</v>
      </c>
      <c r="E799">
        <v>2121138056</v>
      </c>
      <c r="F799">
        <v>1406941124</v>
      </c>
      <c r="G799">
        <v>863141234</v>
      </c>
      <c r="H799">
        <v>791387203</v>
      </c>
      <c r="I799">
        <v>896287384</v>
      </c>
      <c r="J799">
        <v>692884162</v>
      </c>
      <c r="K799">
        <v>629569384</v>
      </c>
      <c r="L799">
        <v>579211053</v>
      </c>
      <c r="M799">
        <v>705244346</v>
      </c>
      <c r="N799">
        <v>452002647</v>
      </c>
      <c r="O799">
        <v>375558841</v>
      </c>
      <c r="P799">
        <v>67</v>
      </c>
      <c r="Q799" t="s">
        <v>1847</v>
      </c>
    </row>
    <row r="800" spans="1:17" x14ac:dyDescent="0.3">
      <c r="A800" t="s">
        <v>75</v>
      </c>
      <c r="B800" t="str">
        <f>"300136"</f>
        <v>300136</v>
      </c>
      <c r="C800" t="s">
        <v>1848</v>
      </c>
      <c r="D800" t="s">
        <v>55</v>
      </c>
      <c r="E800">
        <v>2119464397</v>
      </c>
      <c r="F800">
        <v>2079926247</v>
      </c>
      <c r="G800">
        <v>1493502052</v>
      </c>
      <c r="H800">
        <v>1142709296</v>
      </c>
      <c r="I800">
        <v>834291851</v>
      </c>
      <c r="J800">
        <v>900373380</v>
      </c>
      <c r="K800">
        <v>404304872</v>
      </c>
      <c r="L800">
        <v>233990952</v>
      </c>
      <c r="M800">
        <v>117842813</v>
      </c>
      <c r="N800">
        <v>91083953</v>
      </c>
      <c r="O800">
        <v>27517905</v>
      </c>
      <c r="P800">
        <v>2618</v>
      </c>
      <c r="Q800" t="s">
        <v>1849</v>
      </c>
    </row>
    <row r="801" spans="1:17" x14ac:dyDescent="0.3">
      <c r="A801" t="s">
        <v>75</v>
      </c>
      <c r="B801" t="str">
        <f>"003022"</f>
        <v>003022</v>
      </c>
      <c r="C801" t="s">
        <v>1850</v>
      </c>
      <c r="D801" t="s">
        <v>1512</v>
      </c>
      <c r="E801">
        <v>2117774810</v>
      </c>
      <c r="F801">
        <v>1968203138</v>
      </c>
      <c r="G801">
        <v>1324350207</v>
      </c>
      <c r="P801">
        <v>205</v>
      </c>
      <c r="Q801" t="s">
        <v>1851</v>
      </c>
    </row>
    <row r="802" spans="1:17" x14ac:dyDescent="0.3">
      <c r="A802" t="s">
        <v>75</v>
      </c>
      <c r="B802" t="str">
        <f>"002584"</f>
        <v>002584</v>
      </c>
      <c r="C802" t="s">
        <v>1852</v>
      </c>
      <c r="D802" t="s">
        <v>1853</v>
      </c>
      <c r="E802">
        <v>2112852202</v>
      </c>
      <c r="F802">
        <v>1697086186</v>
      </c>
      <c r="G802">
        <v>1412339003</v>
      </c>
      <c r="H802">
        <v>909377804</v>
      </c>
      <c r="I802">
        <v>798361443</v>
      </c>
      <c r="J802">
        <v>764035144</v>
      </c>
      <c r="K802">
        <v>518770124</v>
      </c>
      <c r="L802">
        <v>540905135</v>
      </c>
      <c r="M802">
        <v>589042607</v>
      </c>
      <c r="N802">
        <v>502237437</v>
      </c>
      <c r="O802">
        <v>360739305</v>
      </c>
      <c r="P802">
        <v>119</v>
      </c>
      <c r="Q802" t="s">
        <v>1854</v>
      </c>
    </row>
    <row r="803" spans="1:17" x14ac:dyDescent="0.3">
      <c r="A803" t="s">
        <v>17</v>
      </c>
      <c r="B803" t="str">
        <f>"600251"</f>
        <v>600251</v>
      </c>
      <c r="C803" t="s">
        <v>1855</v>
      </c>
      <c r="D803" t="s">
        <v>1856</v>
      </c>
      <c r="E803">
        <v>2111164751</v>
      </c>
      <c r="F803">
        <v>2494935550</v>
      </c>
      <c r="G803">
        <v>671003977</v>
      </c>
      <c r="H803">
        <v>1132201797</v>
      </c>
      <c r="I803">
        <v>771965056</v>
      </c>
      <c r="J803">
        <v>399432764</v>
      </c>
      <c r="K803">
        <v>303642845</v>
      </c>
      <c r="L803">
        <v>377521284</v>
      </c>
      <c r="M803">
        <v>535159169</v>
      </c>
      <c r="N803">
        <v>252234003</v>
      </c>
      <c r="O803">
        <v>301644254</v>
      </c>
      <c r="P803">
        <v>148</v>
      </c>
      <c r="Q803" t="s">
        <v>1857</v>
      </c>
    </row>
    <row r="804" spans="1:17" x14ac:dyDescent="0.3">
      <c r="A804" t="s">
        <v>75</v>
      </c>
      <c r="B804" t="str">
        <f>"002371"</f>
        <v>002371</v>
      </c>
      <c r="C804" t="s">
        <v>1858</v>
      </c>
      <c r="D804" t="s">
        <v>1859</v>
      </c>
      <c r="E804">
        <v>2102721879</v>
      </c>
      <c r="F804">
        <v>2755132008</v>
      </c>
      <c r="G804">
        <v>1779728303</v>
      </c>
      <c r="H804">
        <v>652095554</v>
      </c>
      <c r="I804">
        <v>528312912</v>
      </c>
      <c r="J804">
        <v>458290266</v>
      </c>
      <c r="K804">
        <v>212324653</v>
      </c>
      <c r="L804">
        <v>136047618</v>
      </c>
      <c r="M804">
        <v>145029776</v>
      </c>
      <c r="N804">
        <v>155709109</v>
      </c>
      <c r="O804">
        <v>95692426</v>
      </c>
      <c r="P804">
        <v>1587</v>
      </c>
      <c r="Q804" t="s">
        <v>1860</v>
      </c>
    </row>
    <row r="805" spans="1:17" x14ac:dyDescent="0.3">
      <c r="A805" t="s">
        <v>75</v>
      </c>
      <c r="B805" t="str">
        <f>"300759"</f>
        <v>300759</v>
      </c>
      <c r="C805" t="s">
        <v>1861</v>
      </c>
      <c r="D805" t="s">
        <v>716</v>
      </c>
      <c r="E805">
        <v>2098537797</v>
      </c>
      <c r="F805">
        <v>1553581827</v>
      </c>
      <c r="G805">
        <v>1055538496</v>
      </c>
      <c r="H805">
        <v>801557404</v>
      </c>
      <c r="I805">
        <v>614669130</v>
      </c>
      <c r="P805">
        <v>1080</v>
      </c>
      <c r="Q805" t="s">
        <v>1862</v>
      </c>
    </row>
    <row r="806" spans="1:17" x14ac:dyDescent="0.3">
      <c r="A806" t="s">
        <v>75</v>
      </c>
      <c r="B806" t="str">
        <f>"002216"</f>
        <v>002216</v>
      </c>
      <c r="C806" t="s">
        <v>1863</v>
      </c>
      <c r="D806" t="s">
        <v>1312</v>
      </c>
      <c r="E806">
        <v>2098206316</v>
      </c>
      <c r="F806">
        <v>1958409111</v>
      </c>
      <c r="G806">
        <v>1910275405</v>
      </c>
      <c r="H806">
        <v>1614866808</v>
      </c>
      <c r="I806">
        <v>1653210188</v>
      </c>
      <c r="J806">
        <v>1590257222</v>
      </c>
      <c r="K806">
        <v>1493837086</v>
      </c>
      <c r="L806">
        <v>1168705410</v>
      </c>
      <c r="M806">
        <v>1184068570</v>
      </c>
      <c r="N806">
        <v>937475969</v>
      </c>
      <c r="O806">
        <v>764916287</v>
      </c>
      <c r="P806">
        <v>1276</v>
      </c>
      <c r="Q806" t="s">
        <v>1864</v>
      </c>
    </row>
    <row r="807" spans="1:17" x14ac:dyDescent="0.3">
      <c r="A807" t="s">
        <v>17</v>
      </c>
      <c r="B807" t="str">
        <f>"600822"</f>
        <v>600822</v>
      </c>
      <c r="C807" t="s">
        <v>1865</v>
      </c>
      <c r="D807" t="s">
        <v>150</v>
      </c>
      <c r="E807">
        <v>2097791821</v>
      </c>
      <c r="F807">
        <v>1383014474</v>
      </c>
      <c r="G807">
        <v>1112094378</v>
      </c>
      <c r="H807">
        <v>1385660899</v>
      </c>
      <c r="I807">
        <v>2079513306</v>
      </c>
      <c r="J807">
        <v>1942632624</v>
      </c>
      <c r="K807">
        <v>10042566403</v>
      </c>
      <c r="L807">
        <v>17047859825</v>
      </c>
      <c r="M807">
        <v>21002609450</v>
      </c>
      <c r="N807">
        <v>30383139047</v>
      </c>
      <c r="O807">
        <v>23910613068</v>
      </c>
      <c r="P807">
        <v>75</v>
      </c>
      <c r="Q807" t="s">
        <v>1866</v>
      </c>
    </row>
    <row r="808" spans="1:17" x14ac:dyDescent="0.3">
      <c r="A808" t="s">
        <v>17</v>
      </c>
      <c r="B808" t="str">
        <f>"603970"</f>
        <v>603970</v>
      </c>
      <c r="C808" t="s">
        <v>1867</v>
      </c>
      <c r="D808" t="s">
        <v>811</v>
      </c>
      <c r="E808">
        <v>2094497469</v>
      </c>
      <c r="F808">
        <v>1657722003</v>
      </c>
      <c r="G808">
        <v>1195289357</v>
      </c>
      <c r="H808">
        <v>866061389</v>
      </c>
      <c r="I808">
        <v>835087101</v>
      </c>
      <c r="J808">
        <v>786730736</v>
      </c>
      <c r="P808">
        <v>90</v>
      </c>
      <c r="Q808" t="s">
        <v>1868</v>
      </c>
    </row>
    <row r="809" spans="1:17" x14ac:dyDescent="0.3">
      <c r="A809" t="s">
        <v>17</v>
      </c>
      <c r="B809" t="str">
        <f>"603118"</f>
        <v>603118</v>
      </c>
      <c r="C809" t="s">
        <v>1869</v>
      </c>
      <c r="D809" t="s">
        <v>556</v>
      </c>
      <c r="E809">
        <v>2094065528</v>
      </c>
      <c r="F809">
        <v>2033261073</v>
      </c>
      <c r="G809">
        <v>1677929247</v>
      </c>
      <c r="H809">
        <v>2064073464</v>
      </c>
      <c r="I809">
        <v>1837894334</v>
      </c>
      <c r="J809">
        <v>1421940829</v>
      </c>
      <c r="K809">
        <v>1867637536</v>
      </c>
      <c r="L809">
        <v>969367458</v>
      </c>
      <c r="M809">
        <v>1047333300</v>
      </c>
      <c r="P809">
        <v>243</v>
      </c>
      <c r="Q809" t="s">
        <v>1870</v>
      </c>
    </row>
    <row r="810" spans="1:17" x14ac:dyDescent="0.3">
      <c r="A810" t="s">
        <v>75</v>
      </c>
      <c r="B810" t="str">
        <f>"000683"</f>
        <v>000683</v>
      </c>
      <c r="C810" t="s">
        <v>1871</v>
      </c>
      <c r="D810" t="s">
        <v>1821</v>
      </c>
      <c r="E810">
        <v>2092277977</v>
      </c>
      <c r="F810">
        <v>1802663072</v>
      </c>
      <c r="G810">
        <v>1387634890</v>
      </c>
      <c r="H810">
        <v>1278335837</v>
      </c>
      <c r="I810">
        <v>1349689524</v>
      </c>
      <c r="J810">
        <v>1457670904</v>
      </c>
      <c r="K810">
        <v>1014144270</v>
      </c>
      <c r="L810">
        <v>949477111</v>
      </c>
      <c r="M810">
        <v>811120182</v>
      </c>
      <c r="N810">
        <v>427067012</v>
      </c>
      <c r="O810">
        <v>757625735</v>
      </c>
      <c r="P810">
        <v>314</v>
      </c>
      <c r="Q810" t="s">
        <v>1872</v>
      </c>
    </row>
    <row r="811" spans="1:17" x14ac:dyDescent="0.3">
      <c r="A811" t="s">
        <v>17</v>
      </c>
      <c r="B811" t="str">
        <f>"600397"</f>
        <v>600397</v>
      </c>
      <c r="C811" t="s">
        <v>1873</v>
      </c>
      <c r="D811" t="s">
        <v>71</v>
      </c>
      <c r="E811">
        <v>2083576611</v>
      </c>
      <c r="F811">
        <v>1989993743</v>
      </c>
      <c r="G811">
        <v>746295361</v>
      </c>
      <c r="H811">
        <v>1008286814</v>
      </c>
      <c r="I811">
        <v>796905693</v>
      </c>
      <c r="J811">
        <v>984363865</v>
      </c>
      <c r="K811">
        <v>559095787</v>
      </c>
      <c r="L811">
        <v>1038623885</v>
      </c>
      <c r="M811">
        <v>1685921472</v>
      </c>
      <c r="N811">
        <v>2890177088</v>
      </c>
      <c r="O811">
        <v>2800598965</v>
      </c>
      <c r="P811">
        <v>91</v>
      </c>
      <c r="Q811" t="s">
        <v>1874</v>
      </c>
    </row>
    <row r="812" spans="1:17" x14ac:dyDescent="0.3">
      <c r="A812" t="s">
        <v>17</v>
      </c>
      <c r="B812" t="str">
        <f>"601101"</f>
        <v>601101</v>
      </c>
      <c r="C812" t="s">
        <v>1875</v>
      </c>
      <c r="D812" t="s">
        <v>71</v>
      </c>
      <c r="E812">
        <v>2081883524</v>
      </c>
      <c r="F812">
        <v>1623749989</v>
      </c>
      <c r="G812">
        <v>1031634466</v>
      </c>
      <c r="H812">
        <v>1413360318</v>
      </c>
      <c r="I812">
        <v>1569626003</v>
      </c>
      <c r="J812">
        <v>1462565995</v>
      </c>
      <c r="K812">
        <v>801389253</v>
      </c>
      <c r="L812">
        <v>885789633</v>
      </c>
      <c r="M812">
        <v>1511825161</v>
      </c>
      <c r="N812">
        <v>1639656876</v>
      </c>
      <c r="O812">
        <v>1869674703</v>
      </c>
      <c r="P812">
        <v>281</v>
      </c>
      <c r="Q812" t="s">
        <v>1876</v>
      </c>
    </row>
    <row r="813" spans="1:17" x14ac:dyDescent="0.3">
      <c r="A813" t="s">
        <v>17</v>
      </c>
      <c r="B813" t="str">
        <f>"600858"</f>
        <v>600858</v>
      </c>
      <c r="C813" t="s">
        <v>1877</v>
      </c>
      <c r="D813" t="s">
        <v>359</v>
      </c>
      <c r="E813">
        <v>2071414136</v>
      </c>
      <c r="F813">
        <v>2090085259</v>
      </c>
      <c r="G813">
        <v>2799624455</v>
      </c>
      <c r="H813">
        <v>4092889350</v>
      </c>
      <c r="I813">
        <v>4357768045</v>
      </c>
      <c r="J813">
        <v>4158516476</v>
      </c>
      <c r="K813">
        <v>4125287209</v>
      </c>
      <c r="L813">
        <v>4597783160</v>
      </c>
      <c r="M813">
        <v>4776686261</v>
      </c>
      <c r="N813">
        <v>4690661309</v>
      </c>
      <c r="O813">
        <v>4095363207</v>
      </c>
      <c r="P813">
        <v>91</v>
      </c>
      <c r="Q813" t="s">
        <v>1878</v>
      </c>
    </row>
    <row r="814" spans="1:17" x14ac:dyDescent="0.3">
      <c r="A814" t="s">
        <v>17</v>
      </c>
      <c r="B814" t="str">
        <f>"603108"</f>
        <v>603108</v>
      </c>
      <c r="C814" t="s">
        <v>1879</v>
      </c>
      <c r="D814" t="s">
        <v>1490</v>
      </c>
      <c r="E814">
        <v>2068506923</v>
      </c>
      <c r="F814">
        <v>1910812928</v>
      </c>
      <c r="G814">
        <v>1597584203</v>
      </c>
      <c r="H814">
        <v>1647825591</v>
      </c>
      <c r="I814">
        <v>1340184762</v>
      </c>
      <c r="J814">
        <v>814163277</v>
      </c>
      <c r="K814">
        <v>447423282</v>
      </c>
      <c r="L814">
        <v>322591163</v>
      </c>
      <c r="M814">
        <v>263285650</v>
      </c>
      <c r="P814">
        <v>336</v>
      </c>
      <c r="Q814" t="s">
        <v>1880</v>
      </c>
    </row>
    <row r="815" spans="1:17" x14ac:dyDescent="0.3">
      <c r="A815" t="s">
        <v>17</v>
      </c>
      <c r="B815" t="str">
        <f>"600116"</f>
        <v>600116</v>
      </c>
      <c r="C815" t="s">
        <v>1881</v>
      </c>
      <c r="D815" t="s">
        <v>457</v>
      </c>
      <c r="E815">
        <v>2066999245</v>
      </c>
      <c r="F815">
        <v>1746113692</v>
      </c>
      <c r="G815">
        <v>256971356</v>
      </c>
      <c r="H815">
        <v>353545998</v>
      </c>
      <c r="I815">
        <v>299365015</v>
      </c>
      <c r="J815">
        <v>286689993</v>
      </c>
      <c r="K815">
        <v>310774550</v>
      </c>
      <c r="L815">
        <v>355234550</v>
      </c>
      <c r="M815">
        <v>364942827</v>
      </c>
      <c r="N815">
        <v>304526050</v>
      </c>
      <c r="O815">
        <v>251397107</v>
      </c>
      <c r="P815">
        <v>236</v>
      </c>
      <c r="Q815" t="s">
        <v>1882</v>
      </c>
    </row>
    <row r="816" spans="1:17" x14ac:dyDescent="0.3">
      <c r="A816" t="s">
        <v>17</v>
      </c>
      <c r="B816" t="str">
        <f>"601388"</f>
        <v>601388</v>
      </c>
      <c r="C816" t="s">
        <v>1883</v>
      </c>
      <c r="D816" t="s">
        <v>96</v>
      </c>
      <c r="E816">
        <v>2060881083</v>
      </c>
      <c r="F816">
        <v>1812022381</v>
      </c>
      <c r="G816">
        <v>1083486755</v>
      </c>
      <c r="H816">
        <v>1366957177</v>
      </c>
      <c r="I816">
        <v>1796956910</v>
      </c>
      <c r="J816">
        <v>1184590375</v>
      </c>
      <c r="K816">
        <v>723553972</v>
      </c>
      <c r="L816">
        <v>1018774237</v>
      </c>
      <c r="M816">
        <v>1168760755</v>
      </c>
      <c r="N816">
        <v>1093297053</v>
      </c>
      <c r="O816">
        <v>1489661148</v>
      </c>
      <c r="P816">
        <v>206</v>
      </c>
      <c r="Q816" t="s">
        <v>1884</v>
      </c>
    </row>
    <row r="817" spans="1:17" x14ac:dyDescent="0.3">
      <c r="A817" t="s">
        <v>17</v>
      </c>
      <c r="B817" t="str">
        <f>"601636"</f>
        <v>601636</v>
      </c>
      <c r="C817" t="s">
        <v>1885</v>
      </c>
      <c r="D817" t="s">
        <v>1436</v>
      </c>
      <c r="E817">
        <v>2059660728</v>
      </c>
      <c r="F817">
        <v>2342004275</v>
      </c>
      <c r="G817">
        <v>992461871</v>
      </c>
      <c r="H817">
        <v>1208256120</v>
      </c>
      <c r="I817">
        <v>1108266799</v>
      </c>
      <c r="J817">
        <v>1053922332</v>
      </c>
      <c r="K817">
        <v>913127709</v>
      </c>
      <c r="L817">
        <v>576963465</v>
      </c>
      <c r="M817">
        <v>740684742</v>
      </c>
      <c r="N817">
        <v>791197894</v>
      </c>
      <c r="O817">
        <v>456358410</v>
      </c>
      <c r="P817">
        <v>1517</v>
      </c>
      <c r="Q817" t="s">
        <v>1886</v>
      </c>
    </row>
    <row r="818" spans="1:17" x14ac:dyDescent="0.3">
      <c r="A818" t="s">
        <v>17</v>
      </c>
      <c r="B818" t="str">
        <f>"600477"</f>
        <v>600477</v>
      </c>
      <c r="C818" t="s">
        <v>1887</v>
      </c>
      <c r="D818" t="s">
        <v>1028</v>
      </c>
      <c r="E818">
        <v>2059524458</v>
      </c>
      <c r="F818">
        <v>1810082764</v>
      </c>
      <c r="G818">
        <v>1323032278</v>
      </c>
      <c r="H818">
        <v>1483909513</v>
      </c>
      <c r="I818">
        <v>1204069607</v>
      </c>
      <c r="J818">
        <v>977309736</v>
      </c>
      <c r="K818">
        <v>963126172</v>
      </c>
      <c r="L818">
        <v>854619127</v>
      </c>
      <c r="M818">
        <v>999727052</v>
      </c>
      <c r="N818">
        <v>880570570</v>
      </c>
      <c r="O818">
        <v>649120772</v>
      </c>
      <c r="P818">
        <v>347</v>
      </c>
      <c r="Q818" t="s">
        <v>1888</v>
      </c>
    </row>
    <row r="819" spans="1:17" x14ac:dyDescent="0.3">
      <c r="A819" t="s">
        <v>17</v>
      </c>
      <c r="B819" t="str">
        <f>"600396"</f>
        <v>600396</v>
      </c>
      <c r="C819" t="s">
        <v>1889</v>
      </c>
      <c r="D819" t="s">
        <v>88</v>
      </c>
      <c r="E819">
        <v>2058726582</v>
      </c>
      <c r="F819">
        <v>1733788651</v>
      </c>
      <c r="G819">
        <v>1712570646</v>
      </c>
      <c r="H819">
        <v>1826774572</v>
      </c>
      <c r="I819">
        <v>1980456813</v>
      </c>
      <c r="J819">
        <v>1601760905</v>
      </c>
      <c r="K819">
        <v>1540496018</v>
      </c>
      <c r="L819">
        <v>1226813605</v>
      </c>
      <c r="M819">
        <v>1368841441</v>
      </c>
      <c r="N819">
        <v>1266153288</v>
      </c>
      <c r="O819">
        <v>971332879</v>
      </c>
      <c r="P819">
        <v>107</v>
      </c>
      <c r="Q819" t="s">
        <v>1890</v>
      </c>
    </row>
    <row r="820" spans="1:17" x14ac:dyDescent="0.3">
      <c r="A820" t="s">
        <v>17</v>
      </c>
      <c r="B820" t="str">
        <f>"600475"</f>
        <v>600475</v>
      </c>
      <c r="C820" t="s">
        <v>1891</v>
      </c>
      <c r="D820" t="s">
        <v>255</v>
      </c>
      <c r="E820">
        <v>2056421898</v>
      </c>
      <c r="F820">
        <v>2269102625</v>
      </c>
      <c r="G820">
        <v>1317086284</v>
      </c>
      <c r="H820">
        <v>1820584079</v>
      </c>
      <c r="I820">
        <v>1213567087</v>
      </c>
      <c r="J820">
        <v>1157062336</v>
      </c>
      <c r="K820">
        <v>825720180</v>
      </c>
      <c r="L820">
        <v>928559914</v>
      </c>
      <c r="M820">
        <v>564975662</v>
      </c>
      <c r="N820">
        <v>353997627</v>
      </c>
      <c r="O820">
        <v>397636704</v>
      </c>
      <c r="P820">
        <v>169</v>
      </c>
      <c r="Q820" t="s">
        <v>1892</v>
      </c>
    </row>
    <row r="821" spans="1:17" x14ac:dyDescent="0.3">
      <c r="A821" t="s">
        <v>17</v>
      </c>
      <c r="B821" t="str">
        <f>"603013"</f>
        <v>603013</v>
      </c>
      <c r="C821" t="s">
        <v>1893</v>
      </c>
      <c r="D821" t="s">
        <v>172</v>
      </c>
      <c r="E821">
        <v>2049911535</v>
      </c>
      <c r="F821">
        <v>2153044327</v>
      </c>
      <c r="G821">
        <v>2230373953</v>
      </c>
      <c r="H821">
        <v>1667603053</v>
      </c>
      <c r="I821">
        <v>1818201820</v>
      </c>
      <c r="P821">
        <v>236</v>
      </c>
      <c r="Q821" t="s">
        <v>1894</v>
      </c>
    </row>
    <row r="822" spans="1:17" x14ac:dyDescent="0.3">
      <c r="A822" t="s">
        <v>75</v>
      </c>
      <c r="B822" t="str">
        <f>"002812"</f>
        <v>002812</v>
      </c>
      <c r="C822" t="s">
        <v>1895</v>
      </c>
      <c r="D822" t="s">
        <v>834</v>
      </c>
      <c r="E822">
        <v>2046303061</v>
      </c>
      <c r="F822">
        <v>797898382</v>
      </c>
      <c r="G822">
        <v>333832377</v>
      </c>
      <c r="H822">
        <v>383575958</v>
      </c>
      <c r="I822">
        <v>193502770</v>
      </c>
      <c r="J822">
        <v>220551822</v>
      </c>
      <c r="K822">
        <v>54706709</v>
      </c>
      <c r="P822">
        <v>1583</v>
      </c>
      <c r="Q822" t="s">
        <v>1896</v>
      </c>
    </row>
    <row r="823" spans="1:17" x14ac:dyDescent="0.3">
      <c r="A823" t="s">
        <v>75</v>
      </c>
      <c r="B823" t="str">
        <f>"300390"</f>
        <v>300390</v>
      </c>
      <c r="C823" t="s">
        <v>1897</v>
      </c>
      <c r="D823" t="s">
        <v>221</v>
      </c>
      <c r="E823">
        <v>2044486809</v>
      </c>
      <c r="F823">
        <v>594204313</v>
      </c>
      <c r="G823">
        <v>331957238</v>
      </c>
      <c r="H823">
        <v>195528396</v>
      </c>
      <c r="I823">
        <v>187158485</v>
      </c>
      <c r="J823">
        <v>174313280</v>
      </c>
      <c r="K823">
        <v>167615898</v>
      </c>
      <c r="L823">
        <v>125455629</v>
      </c>
      <c r="M823">
        <v>0</v>
      </c>
      <c r="N823">
        <v>0</v>
      </c>
      <c r="P823">
        <v>460</v>
      </c>
      <c r="Q823" t="s">
        <v>1898</v>
      </c>
    </row>
    <row r="824" spans="1:17" x14ac:dyDescent="0.3">
      <c r="A824" t="s">
        <v>17</v>
      </c>
      <c r="B824" t="str">
        <f>"601339"</f>
        <v>601339</v>
      </c>
      <c r="C824" t="s">
        <v>1899</v>
      </c>
      <c r="D824" t="s">
        <v>1050</v>
      </c>
      <c r="E824">
        <v>2030807089</v>
      </c>
      <c r="F824">
        <v>1938402980</v>
      </c>
      <c r="G824">
        <v>1324815815</v>
      </c>
      <c r="H824">
        <v>1355692382</v>
      </c>
      <c r="I824">
        <v>1412243182</v>
      </c>
      <c r="J824">
        <v>1253792235</v>
      </c>
      <c r="K824">
        <v>1074316023</v>
      </c>
      <c r="L824">
        <v>1005362675</v>
      </c>
      <c r="M824">
        <v>963135473</v>
      </c>
      <c r="N824">
        <v>981684411</v>
      </c>
      <c r="O824">
        <v>923351689</v>
      </c>
      <c r="P824">
        <v>207</v>
      </c>
      <c r="Q824" t="s">
        <v>1900</v>
      </c>
    </row>
    <row r="825" spans="1:17" x14ac:dyDescent="0.3">
      <c r="A825" t="s">
        <v>75</v>
      </c>
      <c r="B825" t="str">
        <f>"002106"</f>
        <v>002106</v>
      </c>
      <c r="C825" t="s">
        <v>1901</v>
      </c>
      <c r="D825" t="s">
        <v>128</v>
      </c>
      <c r="E825">
        <v>2030531708</v>
      </c>
      <c r="F825">
        <v>1881218244</v>
      </c>
      <c r="G825">
        <v>1352735233</v>
      </c>
      <c r="H825">
        <v>1265908029</v>
      </c>
      <c r="I825">
        <v>1143856119</v>
      </c>
      <c r="J825">
        <v>1223282932</v>
      </c>
      <c r="K825">
        <v>680223839</v>
      </c>
      <c r="L825">
        <v>785981944</v>
      </c>
      <c r="M825">
        <v>586980075</v>
      </c>
      <c r="N825">
        <v>299488796</v>
      </c>
      <c r="O825">
        <v>220439419</v>
      </c>
      <c r="P825">
        <v>296</v>
      </c>
      <c r="Q825" t="s">
        <v>1902</v>
      </c>
    </row>
    <row r="826" spans="1:17" x14ac:dyDescent="0.3">
      <c r="A826" t="s">
        <v>17</v>
      </c>
      <c r="B826" t="str">
        <f>"603897"</f>
        <v>603897</v>
      </c>
      <c r="C826" t="s">
        <v>1903</v>
      </c>
      <c r="D826" t="s">
        <v>562</v>
      </c>
      <c r="E826">
        <v>2023929194</v>
      </c>
      <c r="F826">
        <v>2298829018</v>
      </c>
      <c r="G826">
        <v>1062374281</v>
      </c>
      <c r="H826">
        <v>1256840703</v>
      </c>
      <c r="I826">
        <v>840854369</v>
      </c>
      <c r="J826">
        <v>854218083</v>
      </c>
      <c r="P826">
        <v>137</v>
      </c>
      <c r="Q826" t="s">
        <v>1904</v>
      </c>
    </row>
    <row r="827" spans="1:17" x14ac:dyDescent="0.3">
      <c r="A827" t="s">
        <v>75</v>
      </c>
      <c r="B827" t="str">
        <f>"000700"</f>
        <v>000700</v>
      </c>
      <c r="C827" t="s">
        <v>1905</v>
      </c>
      <c r="D827" t="s">
        <v>194</v>
      </c>
      <c r="E827">
        <v>2018092634</v>
      </c>
      <c r="F827">
        <v>2123510556</v>
      </c>
      <c r="G827">
        <v>1410315082</v>
      </c>
      <c r="H827">
        <v>1397066167</v>
      </c>
      <c r="I827">
        <v>1361046977</v>
      </c>
      <c r="J827">
        <v>1024535614</v>
      </c>
      <c r="K827">
        <v>944707058</v>
      </c>
      <c r="L827">
        <v>999553710</v>
      </c>
      <c r="M827">
        <v>823534837</v>
      </c>
      <c r="N827">
        <v>833492052</v>
      </c>
      <c r="O827">
        <v>571389678</v>
      </c>
      <c r="P827">
        <v>259</v>
      </c>
      <c r="Q827" t="s">
        <v>1906</v>
      </c>
    </row>
    <row r="828" spans="1:17" x14ac:dyDescent="0.3">
      <c r="A828" t="s">
        <v>17</v>
      </c>
      <c r="B828" t="str">
        <f>"600812"</f>
        <v>600812</v>
      </c>
      <c r="C828" t="s">
        <v>1907</v>
      </c>
      <c r="D828" t="s">
        <v>543</v>
      </c>
      <c r="E828">
        <v>2016755498</v>
      </c>
      <c r="F828">
        <v>1758014929</v>
      </c>
      <c r="G828">
        <v>1777475010</v>
      </c>
      <c r="H828">
        <v>2060256352</v>
      </c>
      <c r="I828">
        <v>1951457158</v>
      </c>
      <c r="J828">
        <v>1535317417</v>
      </c>
      <c r="K828">
        <v>1314621950</v>
      </c>
      <c r="L828">
        <v>1059441869</v>
      </c>
      <c r="M828">
        <v>2089735244</v>
      </c>
      <c r="N828">
        <v>1946886759</v>
      </c>
      <c r="O828">
        <v>1099638740</v>
      </c>
      <c r="P828">
        <v>226</v>
      </c>
      <c r="Q828" t="s">
        <v>1908</v>
      </c>
    </row>
    <row r="829" spans="1:17" x14ac:dyDescent="0.3">
      <c r="A829" t="s">
        <v>17</v>
      </c>
      <c r="B829" t="str">
        <f>"600888"</f>
        <v>600888</v>
      </c>
      <c r="C829" t="s">
        <v>1909</v>
      </c>
      <c r="D829" t="s">
        <v>96</v>
      </c>
      <c r="E829">
        <v>2014826929</v>
      </c>
      <c r="F829">
        <v>1699226078</v>
      </c>
      <c r="G829">
        <v>833227785</v>
      </c>
      <c r="H829">
        <v>1502357185</v>
      </c>
      <c r="I829">
        <v>1637447070</v>
      </c>
      <c r="J829">
        <v>611735775</v>
      </c>
      <c r="K829">
        <v>1283010221</v>
      </c>
      <c r="L829">
        <v>1245022578</v>
      </c>
      <c r="M829">
        <v>545752844</v>
      </c>
      <c r="N829">
        <v>401515502</v>
      </c>
      <c r="O829">
        <v>351508389</v>
      </c>
      <c r="P829">
        <v>183</v>
      </c>
      <c r="Q829" t="s">
        <v>1910</v>
      </c>
    </row>
    <row r="830" spans="1:17" x14ac:dyDescent="0.3">
      <c r="A830" t="s">
        <v>17</v>
      </c>
      <c r="B830" t="str">
        <f>"600323"</f>
        <v>600323</v>
      </c>
      <c r="C830" t="s">
        <v>1911</v>
      </c>
      <c r="D830" t="s">
        <v>1187</v>
      </c>
      <c r="E830">
        <v>2013228080</v>
      </c>
      <c r="F830">
        <v>1684775326</v>
      </c>
      <c r="G830">
        <v>1133213159</v>
      </c>
      <c r="H830">
        <v>1056710587</v>
      </c>
      <c r="I830">
        <v>955346003</v>
      </c>
      <c r="J830">
        <v>847617228</v>
      </c>
      <c r="K830">
        <v>807359270</v>
      </c>
      <c r="L830">
        <v>793009383</v>
      </c>
      <c r="M830">
        <v>246773983</v>
      </c>
      <c r="N830">
        <v>221892228</v>
      </c>
      <c r="O830">
        <v>216628288</v>
      </c>
      <c r="P830">
        <v>1149</v>
      </c>
      <c r="Q830" t="s">
        <v>1912</v>
      </c>
    </row>
    <row r="831" spans="1:17" x14ac:dyDescent="0.3">
      <c r="A831" t="s">
        <v>75</v>
      </c>
      <c r="B831" t="str">
        <f>"002511"</f>
        <v>002511</v>
      </c>
      <c r="C831" t="s">
        <v>1913</v>
      </c>
      <c r="D831" t="s">
        <v>1636</v>
      </c>
      <c r="E831">
        <v>2013189895</v>
      </c>
      <c r="F831">
        <v>2255658190</v>
      </c>
      <c r="G831">
        <v>1672054265</v>
      </c>
      <c r="H831">
        <v>1669754761</v>
      </c>
      <c r="I831">
        <v>1315236391</v>
      </c>
      <c r="J831">
        <v>1098766466</v>
      </c>
      <c r="K831">
        <v>903436739</v>
      </c>
      <c r="L831">
        <v>703612399</v>
      </c>
      <c r="M831">
        <v>656871937</v>
      </c>
      <c r="N831">
        <v>583035914</v>
      </c>
      <c r="O831">
        <v>566704045</v>
      </c>
      <c r="P831">
        <v>2513</v>
      </c>
      <c r="Q831" t="s">
        <v>1914</v>
      </c>
    </row>
    <row r="832" spans="1:17" x14ac:dyDescent="0.3">
      <c r="A832" t="s">
        <v>75</v>
      </c>
      <c r="B832" t="str">
        <f>"000912"</f>
        <v>000912</v>
      </c>
      <c r="C832" t="s">
        <v>1915</v>
      </c>
      <c r="D832" t="s">
        <v>1035</v>
      </c>
      <c r="E832">
        <v>1997078299</v>
      </c>
      <c r="F832">
        <v>894273133</v>
      </c>
      <c r="G832">
        <v>1160993337</v>
      </c>
      <c r="H832">
        <v>1187990108</v>
      </c>
      <c r="I832">
        <v>825475271</v>
      </c>
      <c r="J832">
        <v>928897991</v>
      </c>
      <c r="K832">
        <v>746219609</v>
      </c>
      <c r="L832">
        <v>1245562172</v>
      </c>
      <c r="M832">
        <v>1227146474</v>
      </c>
      <c r="N832">
        <v>822688700</v>
      </c>
      <c r="O832">
        <v>1172053595</v>
      </c>
      <c r="P832">
        <v>110</v>
      </c>
      <c r="Q832" t="s">
        <v>1916</v>
      </c>
    </row>
    <row r="833" spans="1:17" x14ac:dyDescent="0.3">
      <c r="A833" t="s">
        <v>75</v>
      </c>
      <c r="B833" t="str">
        <f>"000632"</f>
        <v>000632</v>
      </c>
      <c r="C833" t="s">
        <v>1917</v>
      </c>
      <c r="D833" t="s">
        <v>1284</v>
      </c>
      <c r="E833">
        <v>1997051517</v>
      </c>
      <c r="F833">
        <v>2096235185</v>
      </c>
      <c r="G833">
        <v>1325900261</v>
      </c>
      <c r="H833">
        <v>1691930194</v>
      </c>
      <c r="I833">
        <v>1536991004</v>
      </c>
      <c r="J833">
        <v>1138025611</v>
      </c>
      <c r="K833">
        <v>792834994</v>
      </c>
      <c r="L833">
        <v>589910469</v>
      </c>
      <c r="M833">
        <v>868005557</v>
      </c>
      <c r="N833">
        <v>1490720700</v>
      </c>
      <c r="O833">
        <v>999261569</v>
      </c>
      <c r="P833">
        <v>69</v>
      </c>
      <c r="Q833" t="s">
        <v>1918</v>
      </c>
    </row>
    <row r="834" spans="1:17" x14ac:dyDescent="0.3">
      <c r="A834" t="s">
        <v>75</v>
      </c>
      <c r="B834" t="str">
        <f>"000881"</f>
        <v>000881</v>
      </c>
      <c r="C834" t="s">
        <v>1919</v>
      </c>
      <c r="D834" t="s">
        <v>292</v>
      </c>
      <c r="E834">
        <v>1991772375</v>
      </c>
      <c r="F834">
        <v>1463689601</v>
      </c>
      <c r="G834">
        <v>1309073912</v>
      </c>
      <c r="H834">
        <v>1328374346</v>
      </c>
      <c r="I834">
        <v>1121954774</v>
      </c>
      <c r="J834">
        <v>1123257736</v>
      </c>
      <c r="K834">
        <v>635453337</v>
      </c>
      <c r="L834">
        <v>403502563</v>
      </c>
      <c r="M834">
        <v>379538017</v>
      </c>
      <c r="N834">
        <v>299197586</v>
      </c>
      <c r="O834">
        <v>474555144</v>
      </c>
      <c r="P834">
        <v>169</v>
      </c>
      <c r="Q834" t="s">
        <v>1920</v>
      </c>
    </row>
    <row r="835" spans="1:17" x14ac:dyDescent="0.3">
      <c r="A835" t="s">
        <v>75</v>
      </c>
      <c r="B835" t="str">
        <f>"300001"</f>
        <v>300001</v>
      </c>
      <c r="C835" t="s">
        <v>1921</v>
      </c>
      <c r="D835" t="s">
        <v>347</v>
      </c>
      <c r="E835">
        <v>1989464310</v>
      </c>
      <c r="F835">
        <v>1681380485</v>
      </c>
      <c r="G835">
        <v>1007331533</v>
      </c>
      <c r="H835">
        <v>1310951448</v>
      </c>
      <c r="I835">
        <v>1029659453</v>
      </c>
      <c r="J835">
        <v>1199670528</v>
      </c>
      <c r="K835">
        <v>684958695</v>
      </c>
      <c r="L835">
        <v>349991900</v>
      </c>
      <c r="M835">
        <v>266382950</v>
      </c>
      <c r="N835">
        <v>144620394</v>
      </c>
      <c r="O835">
        <v>83546189</v>
      </c>
      <c r="P835">
        <v>530</v>
      </c>
      <c r="Q835" t="s">
        <v>1922</v>
      </c>
    </row>
    <row r="836" spans="1:17" x14ac:dyDescent="0.3">
      <c r="A836" t="s">
        <v>17</v>
      </c>
      <c r="B836" t="str">
        <f>"600336"</f>
        <v>600336</v>
      </c>
      <c r="C836" t="s">
        <v>1923</v>
      </c>
      <c r="D836" t="s">
        <v>110</v>
      </c>
      <c r="E836">
        <v>1988306527</v>
      </c>
      <c r="F836">
        <v>2034601396</v>
      </c>
      <c r="G836">
        <v>1189468309</v>
      </c>
      <c r="H836">
        <v>1408802157</v>
      </c>
      <c r="I836">
        <v>1185256452</v>
      </c>
      <c r="J836">
        <v>955130191</v>
      </c>
      <c r="K836">
        <v>896241700</v>
      </c>
      <c r="L836">
        <v>873807985</v>
      </c>
      <c r="M836">
        <v>1027896536</v>
      </c>
      <c r="N836">
        <v>936765474</v>
      </c>
      <c r="O836">
        <v>964468529</v>
      </c>
      <c r="P836">
        <v>223</v>
      </c>
      <c r="Q836" t="s">
        <v>1924</v>
      </c>
    </row>
    <row r="837" spans="1:17" x14ac:dyDescent="0.3">
      <c r="A837" t="s">
        <v>17</v>
      </c>
      <c r="B837" t="str">
        <f>"600179"</f>
        <v>600179</v>
      </c>
      <c r="C837" t="s">
        <v>1925</v>
      </c>
      <c r="D837" t="s">
        <v>62</v>
      </c>
      <c r="E837">
        <v>1986699979</v>
      </c>
      <c r="F837">
        <v>1223007131</v>
      </c>
      <c r="G837">
        <v>730649982</v>
      </c>
      <c r="H837">
        <v>1439273152</v>
      </c>
      <c r="I837">
        <v>1616805682</v>
      </c>
      <c r="J837">
        <v>974944978</v>
      </c>
      <c r="K837">
        <v>24638524</v>
      </c>
      <c r="L837">
        <v>311832077</v>
      </c>
      <c r="M837">
        <v>415383931</v>
      </c>
      <c r="N837">
        <v>404578147</v>
      </c>
      <c r="O837">
        <v>397337834</v>
      </c>
      <c r="P837">
        <v>128</v>
      </c>
      <c r="Q837" t="s">
        <v>1926</v>
      </c>
    </row>
    <row r="838" spans="1:17" x14ac:dyDescent="0.3">
      <c r="A838" t="s">
        <v>17</v>
      </c>
      <c r="B838" t="str">
        <f>"600512"</f>
        <v>600512</v>
      </c>
      <c r="C838" t="s">
        <v>1927</v>
      </c>
      <c r="D838" t="s">
        <v>27</v>
      </c>
      <c r="E838">
        <v>1983290240</v>
      </c>
      <c r="F838">
        <v>2200220044</v>
      </c>
      <c r="G838">
        <v>1584596032</v>
      </c>
      <c r="H838">
        <v>1554940570</v>
      </c>
      <c r="I838">
        <v>1017712660</v>
      </c>
      <c r="J838">
        <v>872332700</v>
      </c>
      <c r="K838">
        <v>963903520</v>
      </c>
      <c r="L838">
        <v>781928081</v>
      </c>
      <c r="M838">
        <v>672083532</v>
      </c>
      <c r="N838">
        <v>589966705</v>
      </c>
      <c r="O838">
        <v>343954039</v>
      </c>
      <c r="P838">
        <v>161</v>
      </c>
      <c r="Q838" t="s">
        <v>1928</v>
      </c>
    </row>
    <row r="839" spans="1:17" x14ac:dyDescent="0.3">
      <c r="A839" t="s">
        <v>75</v>
      </c>
      <c r="B839" t="str">
        <f>"300677"</f>
        <v>300677</v>
      </c>
      <c r="C839" t="s">
        <v>1929</v>
      </c>
      <c r="D839" t="s">
        <v>1538</v>
      </c>
      <c r="E839">
        <v>1977957759</v>
      </c>
      <c r="F839">
        <v>5396786425</v>
      </c>
      <c r="G839">
        <v>940858257</v>
      </c>
      <c r="H839">
        <v>508347609</v>
      </c>
      <c r="I839">
        <v>445928270</v>
      </c>
      <c r="J839">
        <v>364222333</v>
      </c>
      <c r="K839">
        <v>0</v>
      </c>
      <c r="P839">
        <v>1821</v>
      </c>
      <c r="Q839" t="s">
        <v>1930</v>
      </c>
    </row>
    <row r="840" spans="1:17" x14ac:dyDescent="0.3">
      <c r="A840" t="s">
        <v>75</v>
      </c>
      <c r="B840" t="str">
        <f>"300296"</f>
        <v>300296</v>
      </c>
      <c r="C840" t="s">
        <v>1931</v>
      </c>
      <c r="D840" t="s">
        <v>1044</v>
      </c>
      <c r="E840">
        <v>1977085157</v>
      </c>
      <c r="F840">
        <v>1816453177</v>
      </c>
      <c r="G840">
        <v>1510584583</v>
      </c>
      <c r="H840">
        <v>1672098889</v>
      </c>
      <c r="I840">
        <v>1837961998</v>
      </c>
      <c r="J840">
        <v>1097621453</v>
      </c>
      <c r="K840">
        <v>847774936</v>
      </c>
      <c r="L840">
        <v>225334250</v>
      </c>
      <c r="M840">
        <v>137818210</v>
      </c>
      <c r="N840">
        <v>106772415</v>
      </c>
      <c r="O840">
        <v>59634274</v>
      </c>
      <c r="P840">
        <v>1699</v>
      </c>
      <c r="Q840" t="s">
        <v>1932</v>
      </c>
    </row>
    <row r="841" spans="1:17" x14ac:dyDescent="0.3">
      <c r="A841" t="s">
        <v>17</v>
      </c>
      <c r="B841" t="str">
        <f>"600829"</f>
        <v>600829</v>
      </c>
      <c r="C841" t="s">
        <v>1933</v>
      </c>
      <c r="D841" t="s">
        <v>123</v>
      </c>
      <c r="E841">
        <v>1975683903</v>
      </c>
      <c r="F841">
        <v>1983864116</v>
      </c>
      <c r="G841">
        <v>2188431699</v>
      </c>
      <c r="H841">
        <v>1512333332</v>
      </c>
      <c r="I841">
        <v>1889301025</v>
      </c>
      <c r="J841">
        <v>2020706561</v>
      </c>
      <c r="K841">
        <v>1921597227</v>
      </c>
      <c r="L841">
        <v>1952253987</v>
      </c>
      <c r="M841">
        <v>602912469</v>
      </c>
      <c r="N841">
        <v>707271116</v>
      </c>
      <c r="O841">
        <v>1033918544</v>
      </c>
      <c r="P841">
        <v>1902</v>
      </c>
      <c r="Q841" t="s">
        <v>1934</v>
      </c>
    </row>
    <row r="842" spans="1:17" x14ac:dyDescent="0.3">
      <c r="A842" t="s">
        <v>17</v>
      </c>
      <c r="B842" t="str">
        <f>"603313"</f>
        <v>603313</v>
      </c>
      <c r="C842" t="s">
        <v>1935</v>
      </c>
      <c r="D842" t="s">
        <v>1123</v>
      </c>
      <c r="E842">
        <v>1972819252</v>
      </c>
      <c r="F842">
        <v>1773387806</v>
      </c>
      <c r="G842">
        <v>1140484927</v>
      </c>
      <c r="H842">
        <v>890406224</v>
      </c>
      <c r="I842">
        <v>695850510</v>
      </c>
      <c r="J842">
        <v>448007525</v>
      </c>
      <c r="K842">
        <v>382627222</v>
      </c>
      <c r="P842">
        <v>580</v>
      </c>
      <c r="Q842" t="s">
        <v>1936</v>
      </c>
    </row>
    <row r="843" spans="1:17" x14ac:dyDescent="0.3">
      <c r="A843" t="s">
        <v>17</v>
      </c>
      <c r="B843" t="str">
        <f>"600216"</f>
        <v>600216</v>
      </c>
      <c r="C843" t="s">
        <v>1937</v>
      </c>
      <c r="D843" t="s">
        <v>1242</v>
      </c>
      <c r="E843">
        <v>1971841428</v>
      </c>
      <c r="F843">
        <v>2053739488</v>
      </c>
      <c r="G843">
        <v>1752711133</v>
      </c>
      <c r="H843">
        <v>1806281975</v>
      </c>
      <c r="I843">
        <v>1753993053</v>
      </c>
      <c r="J843">
        <v>1232859879</v>
      </c>
      <c r="K843">
        <v>1235554419</v>
      </c>
      <c r="L843">
        <v>1201837602</v>
      </c>
      <c r="M843">
        <v>1144931120</v>
      </c>
      <c r="N843">
        <v>1241260199</v>
      </c>
      <c r="O843">
        <v>1264848090</v>
      </c>
      <c r="P843">
        <v>461</v>
      </c>
      <c r="Q843" t="s">
        <v>1938</v>
      </c>
    </row>
    <row r="844" spans="1:17" x14ac:dyDescent="0.3">
      <c r="A844" t="s">
        <v>17</v>
      </c>
      <c r="B844" t="str">
        <f>"600682"</f>
        <v>600682</v>
      </c>
      <c r="C844" t="s">
        <v>1939</v>
      </c>
      <c r="D844" t="s">
        <v>1533</v>
      </c>
      <c r="E844">
        <v>1971105900</v>
      </c>
      <c r="F844">
        <v>2133331548</v>
      </c>
      <c r="G844">
        <v>1887529739</v>
      </c>
      <c r="H844">
        <v>2076118427</v>
      </c>
      <c r="I844">
        <v>3795750890</v>
      </c>
      <c r="J844">
        <v>3853287250</v>
      </c>
      <c r="K844">
        <v>4132942049</v>
      </c>
      <c r="L844">
        <v>3753250107</v>
      </c>
      <c r="M844">
        <v>929713019</v>
      </c>
      <c r="N844">
        <v>803457747</v>
      </c>
      <c r="O844">
        <v>833809441</v>
      </c>
      <c r="P844">
        <v>237</v>
      </c>
      <c r="Q844" t="s">
        <v>1940</v>
      </c>
    </row>
    <row r="845" spans="1:17" x14ac:dyDescent="0.3">
      <c r="A845" t="s">
        <v>17</v>
      </c>
      <c r="B845" t="str">
        <f>"600415"</f>
        <v>600415</v>
      </c>
      <c r="C845" t="s">
        <v>1941</v>
      </c>
      <c r="D845" t="s">
        <v>378</v>
      </c>
      <c r="E845">
        <v>1969715196</v>
      </c>
      <c r="F845">
        <v>650358354</v>
      </c>
      <c r="G845">
        <v>359670242</v>
      </c>
      <c r="H845">
        <v>365880275</v>
      </c>
      <c r="I845">
        <v>412678918</v>
      </c>
      <c r="J845">
        <v>645093253</v>
      </c>
      <c r="K845">
        <v>953243291</v>
      </c>
      <c r="L845">
        <v>947546204</v>
      </c>
      <c r="M845">
        <v>319244639</v>
      </c>
      <c r="N845">
        <v>250068816</v>
      </c>
      <c r="O845">
        <v>440618443</v>
      </c>
      <c r="P845">
        <v>327</v>
      </c>
      <c r="Q845" t="s">
        <v>1942</v>
      </c>
    </row>
    <row r="846" spans="1:17" x14ac:dyDescent="0.3">
      <c r="A846" t="s">
        <v>17</v>
      </c>
      <c r="B846" t="str">
        <f>"603659"</f>
        <v>603659</v>
      </c>
      <c r="C846" t="s">
        <v>1943</v>
      </c>
      <c r="D846" t="s">
        <v>834</v>
      </c>
      <c r="E846">
        <v>1962751879</v>
      </c>
      <c r="F846">
        <v>1481468241</v>
      </c>
      <c r="G846">
        <v>822027253</v>
      </c>
      <c r="H846">
        <v>562952008</v>
      </c>
      <c r="I846">
        <v>463961149</v>
      </c>
      <c r="J846">
        <v>299691023</v>
      </c>
      <c r="P846">
        <v>1047</v>
      </c>
      <c r="Q846" t="s">
        <v>1944</v>
      </c>
    </row>
    <row r="847" spans="1:17" x14ac:dyDescent="0.3">
      <c r="A847" t="s">
        <v>75</v>
      </c>
      <c r="B847" t="str">
        <f>"000597"</f>
        <v>000597</v>
      </c>
      <c r="C847" t="s">
        <v>1945</v>
      </c>
      <c r="D847" t="s">
        <v>543</v>
      </c>
      <c r="E847">
        <v>1961929624</v>
      </c>
      <c r="F847">
        <v>1804389225</v>
      </c>
      <c r="G847">
        <v>1924913245</v>
      </c>
      <c r="H847">
        <v>1888540081</v>
      </c>
      <c r="I847">
        <v>1538541085</v>
      </c>
      <c r="J847">
        <v>1224269077</v>
      </c>
      <c r="K847">
        <v>748748186</v>
      </c>
      <c r="L847">
        <v>735691591</v>
      </c>
      <c r="M847">
        <v>754292254</v>
      </c>
      <c r="N847">
        <v>670550966</v>
      </c>
      <c r="O847">
        <v>638550797</v>
      </c>
      <c r="P847">
        <v>131</v>
      </c>
      <c r="Q847" t="s">
        <v>1946</v>
      </c>
    </row>
    <row r="848" spans="1:17" x14ac:dyDescent="0.3">
      <c r="A848" t="s">
        <v>75</v>
      </c>
      <c r="B848" t="str">
        <f>"002204"</f>
        <v>002204</v>
      </c>
      <c r="C848" t="s">
        <v>1947</v>
      </c>
      <c r="D848" t="s">
        <v>786</v>
      </c>
      <c r="E848">
        <v>1961631179</v>
      </c>
      <c r="F848">
        <v>1975716589</v>
      </c>
      <c r="G848">
        <v>1449406065</v>
      </c>
      <c r="H848">
        <v>1419043442</v>
      </c>
      <c r="I848">
        <v>1088779059</v>
      </c>
      <c r="J848">
        <v>1047341216</v>
      </c>
      <c r="K848">
        <v>1392291372</v>
      </c>
      <c r="L848">
        <v>1777464014</v>
      </c>
      <c r="M848">
        <v>1570640775</v>
      </c>
      <c r="N848">
        <v>1698316249</v>
      </c>
      <c r="O848">
        <v>2406652579</v>
      </c>
      <c r="P848">
        <v>137</v>
      </c>
      <c r="Q848" t="s">
        <v>1948</v>
      </c>
    </row>
    <row r="849" spans="1:17" x14ac:dyDescent="0.3">
      <c r="A849" t="s">
        <v>75</v>
      </c>
      <c r="B849" t="str">
        <f>"002463"</f>
        <v>002463</v>
      </c>
      <c r="C849" t="s">
        <v>1949</v>
      </c>
      <c r="D849" t="s">
        <v>567</v>
      </c>
      <c r="E849">
        <v>1960622186</v>
      </c>
      <c r="F849">
        <v>1734535529</v>
      </c>
      <c r="G849">
        <v>2064451773</v>
      </c>
      <c r="H849">
        <v>1573494591</v>
      </c>
      <c r="I849">
        <v>1220936348</v>
      </c>
      <c r="J849">
        <v>868098989</v>
      </c>
      <c r="K849">
        <v>819227972</v>
      </c>
      <c r="L849">
        <v>728620948</v>
      </c>
      <c r="M849">
        <v>732053874</v>
      </c>
      <c r="N849">
        <v>680712340</v>
      </c>
      <c r="O849">
        <v>701511719</v>
      </c>
      <c r="P849">
        <v>3004</v>
      </c>
      <c r="Q849" t="s">
        <v>1950</v>
      </c>
    </row>
    <row r="850" spans="1:17" x14ac:dyDescent="0.3">
      <c r="A850" t="s">
        <v>75</v>
      </c>
      <c r="B850" t="str">
        <f>"002028"</f>
        <v>002028</v>
      </c>
      <c r="C850" t="s">
        <v>1951</v>
      </c>
      <c r="D850" t="s">
        <v>347</v>
      </c>
      <c r="E850">
        <v>1957867604</v>
      </c>
      <c r="F850">
        <v>1521796392</v>
      </c>
      <c r="G850">
        <v>1054699508</v>
      </c>
      <c r="H850">
        <v>1205839489</v>
      </c>
      <c r="I850">
        <v>853454872</v>
      </c>
      <c r="J850">
        <v>816004942</v>
      </c>
      <c r="K850">
        <v>662704427</v>
      </c>
      <c r="L850">
        <v>714706113</v>
      </c>
      <c r="M850">
        <v>490578464</v>
      </c>
      <c r="N850">
        <v>485590947</v>
      </c>
      <c r="O850">
        <v>364201698</v>
      </c>
      <c r="P850">
        <v>603</v>
      </c>
      <c r="Q850" t="s">
        <v>1952</v>
      </c>
    </row>
    <row r="851" spans="1:17" x14ac:dyDescent="0.3">
      <c r="A851" t="s">
        <v>75</v>
      </c>
      <c r="B851" t="str">
        <f>"002264"</f>
        <v>002264</v>
      </c>
      <c r="C851" t="s">
        <v>1953</v>
      </c>
      <c r="D851" t="s">
        <v>208</v>
      </c>
      <c r="E851">
        <v>1953622138</v>
      </c>
      <c r="F851">
        <v>1860293925</v>
      </c>
      <c r="G851">
        <v>1680345859</v>
      </c>
      <c r="H851">
        <v>2099264356</v>
      </c>
      <c r="I851">
        <v>2070924462</v>
      </c>
      <c r="J851">
        <v>2176079999</v>
      </c>
      <c r="K851">
        <v>2135814343</v>
      </c>
      <c r="L851">
        <v>2066148900</v>
      </c>
      <c r="M851">
        <v>2241448926</v>
      </c>
      <c r="N851">
        <v>2487056305</v>
      </c>
      <c r="O851">
        <v>2152367035</v>
      </c>
      <c r="P851">
        <v>96</v>
      </c>
      <c r="Q851" t="s">
        <v>1954</v>
      </c>
    </row>
    <row r="852" spans="1:17" x14ac:dyDescent="0.3">
      <c r="A852" t="s">
        <v>17</v>
      </c>
      <c r="B852" t="str">
        <f>"688606"</f>
        <v>688606</v>
      </c>
      <c r="C852" t="s">
        <v>1955</v>
      </c>
      <c r="D852" t="s">
        <v>967</v>
      </c>
      <c r="E852">
        <v>1950738686</v>
      </c>
      <c r="F852">
        <v>224147349</v>
      </c>
      <c r="G852">
        <v>191845414</v>
      </c>
      <c r="P852">
        <v>104</v>
      </c>
      <c r="Q852" t="s">
        <v>1956</v>
      </c>
    </row>
    <row r="853" spans="1:17" x14ac:dyDescent="0.3">
      <c r="A853" t="s">
        <v>75</v>
      </c>
      <c r="B853" t="str">
        <f>"002373"</f>
        <v>002373</v>
      </c>
      <c r="C853" t="s">
        <v>1957</v>
      </c>
      <c r="D853" t="s">
        <v>224</v>
      </c>
      <c r="E853">
        <v>1949012498</v>
      </c>
      <c r="F853">
        <v>2014816029</v>
      </c>
      <c r="G853">
        <v>1785794894</v>
      </c>
      <c r="H853">
        <v>1459998151</v>
      </c>
      <c r="I853">
        <v>1318083231</v>
      </c>
      <c r="J853">
        <v>488842568</v>
      </c>
      <c r="K853">
        <v>395893364</v>
      </c>
      <c r="L853">
        <v>141013492</v>
      </c>
      <c r="M853">
        <v>57469304</v>
      </c>
      <c r="N853">
        <v>119859858</v>
      </c>
      <c r="O853">
        <v>119288325</v>
      </c>
      <c r="P853">
        <v>713</v>
      </c>
      <c r="Q853" t="s">
        <v>1958</v>
      </c>
    </row>
    <row r="854" spans="1:17" x14ac:dyDescent="0.3">
      <c r="A854" t="s">
        <v>17</v>
      </c>
      <c r="B854" t="str">
        <f>"600273"</f>
        <v>600273</v>
      </c>
      <c r="C854" t="s">
        <v>1959</v>
      </c>
      <c r="D854" t="s">
        <v>292</v>
      </c>
      <c r="E854">
        <v>1948774075</v>
      </c>
      <c r="F854">
        <v>903433805</v>
      </c>
      <c r="G854">
        <v>916044557</v>
      </c>
      <c r="H854">
        <v>1174388137</v>
      </c>
      <c r="I854">
        <v>1031864735</v>
      </c>
      <c r="J854">
        <v>787890154</v>
      </c>
      <c r="K854">
        <v>615025894</v>
      </c>
      <c r="L854">
        <v>430174165</v>
      </c>
      <c r="M854">
        <v>260300387</v>
      </c>
      <c r="N854">
        <v>339671018</v>
      </c>
      <c r="O854">
        <v>341323081</v>
      </c>
      <c r="P854">
        <v>3517</v>
      </c>
      <c r="Q854" t="s">
        <v>1960</v>
      </c>
    </row>
    <row r="855" spans="1:17" x14ac:dyDescent="0.3">
      <c r="A855" t="s">
        <v>17</v>
      </c>
      <c r="B855" t="str">
        <f>"600280"</f>
        <v>600280</v>
      </c>
      <c r="C855" t="s">
        <v>1961</v>
      </c>
      <c r="D855" t="s">
        <v>582</v>
      </c>
      <c r="E855">
        <v>1948656273</v>
      </c>
      <c r="F855">
        <v>2207932638</v>
      </c>
      <c r="G855">
        <v>1330572943</v>
      </c>
      <c r="H855">
        <v>2592009276</v>
      </c>
      <c r="I855">
        <v>2421319311</v>
      </c>
      <c r="J855">
        <v>2359219220</v>
      </c>
      <c r="K855">
        <v>2347416588</v>
      </c>
      <c r="L855">
        <v>2905882854</v>
      </c>
      <c r="M855">
        <v>2441786911</v>
      </c>
      <c r="N855">
        <v>3157641102</v>
      </c>
      <c r="O855">
        <v>2415184238</v>
      </c>
      <c r="P855">
        <v>81</v>
      </c>
      <c r="Q855" t="s">
        <v>1962</v>
      </c>
    </row>
    <row r="856" spans="1:17" x14ac:dyDescent="0.3">
      <c r="A856" t="s">
        <v>75</v>
      </c>
      <c r="B856" t="str">
        <f>"000555"</f>
        <v>000555</v>
      </c>
      <c r="C856" t="s">
        <v>1963</v>
      </c>
      <c r="D856" t="s">
        <v>224</v>
      </c>
      <c r="E856">
        <v>1946278864</v>
      </c>
      <c r="F856">
        <v>1980005232</v>
      </c>
      <c r="G856">
        <v>1377943966</v>
      </c>
      <c r="H856">
        <v>1429686304</v>
      </c>
      <c r="I856">
        <v>1729667269</v>
      </c>
      <c r="J856">
        <v>1241075997</v>
      </c>
      <c r="K856">
        <v>1174106848</v>
      </c>
      <c r="L856">
        <v>1037565426</v>
      </c>
      <c r="M856">
        <v>1481093301</v>
      </c>
      <c r="N856">
        <v>5001452</v>
      </c>
      <c r="O856">
        <v>18106417</v>
      </c>
      <c r="P856">
        <v>374</v>
      </c>
      <c r="Q856" t="s">
        <v>1964</v>
      </c>
    </row>
    <row r="857" spans="1:17" x14ac:dyDescent="0.3">
      <c r="A857" t="s">
        <v>17</v>
      </c>
      <c r="B857" t="str">
        <f>"601100"</f>
        <v>601100</v>
      </c>
      <c r="C857" t="s">
        <v>1965</v>
      </c>
      <c r="D857" t="s">
        <v>1966</v>
      </c>
      <c r="E857">
        <v>1945840764</v>
      </c>
      <c r="F857">
        <v>2080408814</v>
      </c>
      <c r="G857">
        <v>980383863</v>
      </c>
      <c r="H857">
        <v>1085943634</v>
      </c>
      <c r="I857">
        <v>764823042</v>
      </c>
      <c r="J857">
        <v>510398005</v>
      </c>
      <c r="K857">
        <v>262672477</v>
      </c>
      <c r="L857">
        <v>316186264</v>
      </c>
      <c r="M857">
        <v>321398954</v>
      </c>
      <c r="N857">
        <v>285767834</v>
      </c>
      <c r="O857">
        <v>337918815</v>
      </c>
      <c r="P857">
        <v>1782</v>
      </c>
      <c r="Q857" t="s">
        <v>1967</v>
      </c>
    </row>
    <row r="858" spans="1:17" x14ac:dyDescent="0.3">
      <c r="A858" t="s">
        <v>17</v>
      </c>
      <c r="B858" t="str">
        <f>"600151"</f>
        <v>600151</v>
      </c>
      <c r="C858" t="s">
        <v>1968</v>
      </c>
      <c r="D858" t="s">
        <v>417</v>
      </c>
      <c r="E858">
        <v>1941928942</v>
      </c>
      <c r="F858">
        <v>1425207432</v>
      </c>
      <c r="G858">
        <v>1436279482</v>
      </c>
      <c r="H858">
        <v>1550845111</v>
      </c>
      <c r="I858">
        <v>1643951635</v>
      </c>
      <c r="J858">
        <v>1161009130</v>
      </c>
      <c r="K858">
        <v>1045653596</v>
      </c>
      <c r="L858">
        <v>486793080</v>
      </c>
      <c r="M858">
        <v>439010427</v>
      </c>
      <c r="N858">
        <v>292764277</v>
      </c>
      <c r="O858">
        <v>203704701</v>
      </c>
      <c r="P858">
        <v>165</v>
      </c>
      <c r="Q858" t="s">
        <v>1969</v>
      </c>
    </row>
    <row r="859" spans="1:17" x14ac:dyDescent="0.3">
      <c r="A859" t="s">
        <v>17</v>
      </c>
      <c r="B859" t="str">
        <f>"600535"</f>
        <v>600535</v>
      </c>
      <c r="C859" t="s">
        <v>1970</v>
      </c>
      <c r="D859" t="s">
        <v>321</v>
      </c>
      <c r="E859">
        <v>1937128729</v>
      </c>
      <c r="F859">
        <v>2343959643</v>
      </c>
      <c r="G859">
        <v>4305387367</v>
      </c>
      <c r="H859">
        <v>4884839788</v>
      </c>
      <c r="I859">
        <v>4184309198</v>
      </c>
      <c r="J859">
        <v>2739146936</v>
      </c>
      <c r="K859">
        <v>3438981174</v>
      </c>
      <c r="L859">
        <v>2598329280</v>
      </c>
      <c r="M859">
        <v>3121387249</v>
      </c>
      <c r="N859">
        <v>2342307994</v>
      </c>
      <c r="O859">
        <v>1841551166</v>
      </c>
      <c r="P859">
        <v>12549</v>
      </c>
      <c r="Q859" t="s">
        <v>1971</v>
      </c>
    </row>
    <row r="860" spans="1:17" x14ac:dyDescent="0.3">
      <c r="A860" t="s">
        <v>17</v>
      </c>
      <c r="B860" t="str">
        <f>"601107"</f>
        <v>601107</v>
      </c>
      <c r="C860" t="s">
        <v>1972</v>
      </c>
      <c r="D860" t="s">
        <v>1248</v>
      </c>
      <c r="E860">
        <v>1932841130</v>
      </c>
      <c r="F860">
        <v>1825310194</v>
      </c>
      <c r="G860">
        <v>1221205544</v>
      </c>
      <c r="H860">
        <v>1948279652</v>
      </c>
      <c r="I860">
        <v>1517000382</v>
      </c>
      <c r="J860">
        <v>2140961239</v>
      </c>
      <c r="K860">
        <v>2385493794</v>
      </c>
      <c r="L860">
        <v>1976343682</v>
      </c>
      <c r="M860">
        <v>1995555575</v>
      </c>
      <c r="N860">
        <v>1179361757</v>
      </c>
      <c r="O860">
        <v>661611017</v>
      </c>
      <c r="P860">
        <v>231</v>
      </c>
      <c r="Q860" t="s">
        <v>1973</v>
      </c>
    </row>
    <row r="861" spans="1:17" x14ac:dyDescent="0.3">
      <c r="A861" t="s">
        <v>75</v>
      </c>
      <c r="B861" t="str">
        <f>"001213"</f>
        <v>001213</v>
      </c>
      <c r="C861" t="s">
        <v>1974</v>
      </c>
      <c r="D861" t="s">
        <v>486</v>
      </c>
      <c r="E861">
        <v>1932741087</v>
      </c>
      <c r="F861">
        <v>2146904902</v>
      </c>
      <c r="G861">
        <v>1768546407</v>
      </c>
      <c r="P861">
        <v>27</v>
      </c>
      <c r="Q861" t="s">
        <v>1975</v>
      </c>
    </row>
    <row r="862" spans="1:17" x14ac:dyDescent="0.3">
      <c r="A862" t="s">
        <v>17</v>
      </c>
      <c r="B862" t="str">
        <f>"600081"</f>
        <v>600081</v>
      </c>
      <c r="C862" t="s">
        <v>1976</v>
      </c>
      <c r="D862" t="s">
        <v>194</v>
      </c>
      <c r="E862">
        <v>1931794937</v>
      </c>
      <c r="F862">
        <v>1508843229</v>
      </c>
      <c r="G862">
        <v>994664651</v>
      </c>
      <c r="H862">
        <v>991097000</v>
      </c>
      <c r="I862">
        <v>1298598660</v>
      </c>
      <c r="J862">
        <v>1137623743</v>
      </c>
      <c r="K862">
        <v>1201859494</v>
      </c>
      <c r="L862">
        <v>1101481522</v>
      </c>
      <c r="M862">
        <v>1127238703</v>
      </c>
      <c r="N862">
        <v>390928657</v>
      </c>
      <c r="O862">
        <v>435333842</v>
      </c>
      <c r="P862">
        <v>205</v>
      </c>
      <c r="Q862" t="s">
        <v>1977</v>
      </c>
    </row>
    <row r="863" spans="1:17" x14ac:dyDescent="0.3">
      <c r="A863" t="s">
        <v>17</v>
      </c>
      <c r="B863" t="str">
        <f>"603527"</f>
        <v>603527</v>
      </c>
      <c r="C863" t="s">
        <v>1978</v>
      </c>
      <c r="D863" t="s">
        <v>45</v>
      </c>
      <c r="E863">
        <v>1931340691</v>
      </c>
      <c r="F863">
        <v>1410912028</v>
      </c>
      <c r="G863">
        <v>758004984</v>
      </c>
      <c r="H863">
        <v>758227277</v>
      </c>
      <c r="I863">
        <v>858484036</v>
      </c>
      <c r="J863">
        <v>686332195</v>
      </c>
      <c r="P863">
        <v>53</v>
      </c>
      <c r="Q863" t="s">
        <v>1979</v>
      </c>
    </row>
    <row r="864" spans="1:17" x14ac:dyDescent="0.3">
      <c r="A864" t="s">
        <v>75</v>
      </c>
      <c r="B864" t="str">
        <f>"001965"</f>
        <v>001965</v>
      </c>
      <c r="C864" t="s">
        <v>1980</v>
      </c>
      <c r="D864" t="s">
        <v>1248</v>
      </c>
      <c r="E864">
        <v>1930240706</v>
      </c>
      <c r="F864">
        <v>1907864540</v>
      </c>
      <c r="G864">
        <v>1129566735</v>
      </c>
      <c r="H864">
        <v>1738881916</v>
      </c>
      <c r="I864">
        <v>1339142459</v>
      </c>
      <c r="J864">
        <v>1387666065</v>
      </c>
      <c r="P864">
        <v>359</v>
      </c>
      <c r="Q864" t="s">
        <v>1981</v>
      </c>
    </row>
    <row r="865" spans="1:17" x14ac:dyDescent="0.3">
      <c r="A865" t="s">
        <v>17</v>
      </c>
      <c r="B865" t="str">
        <f>"600422"</f>
        <v>600422</v>
      </c>
      <c r="C865" t="s">
        <v>1982</v>
      </c>
      <c r="D865" t="s">
        <v>321</v>
      </c>
      <c r="E865">
        <v>1914795235</v>
      </c>
      <c r="F865">
        <v>2015531879</v>
      </c>
      <c r="G865">
        <v>2007281770</v>
      </c>
      <c r="H865">
        <v>1759293862</v>
      </c>
      <c r="I865">
        <v>1544432143</v>
      </c>
      <c r="J865">
        <v>1099766487</v>
      </c>
      <c r="K865">
        <v>1095698974</v>
      </c>
      <c r="L865">
        <v>830967442</v>
      </c>
      <c r="M865">
        <v>808921429</v>
      </c>
      <c r="N865">
        <v>672932999</v>
      </c>
      <c r="O865">
        <v>686245351</v>
      </c>
      <c r="P865">
        <v>452</v>
      </c>
      <c r="Q865" t="s">
        <v>1983</v>
      </c>
    </row>
    <row r="866" spans="1:17" x14ac:dyDescent="0.3">
      <c r="A866" t="s">
        <v>17</v>
      </c>
      <c r="B866" t="str">
        <f>"600903"</f>
        <v>600903</v>
      </c>
      <c r="C866" t="s">
        <v>1984</v>
      </c>
      <c r="D866" t="s">
        <v>147</v>
      </c>
      <c r="E866">
        <v>1912767012</v>
      </c>
      <c r="F866">
        <v>1502902299</v>
      </c>
      <c r="G866">
        <v>944483175</v>
      </c>
      <c r="H866">
        <v>1241793001</v>
      </c>
      <c r="I866">
        <v>904478479</v>
      </c>
      <c r="J866">
        <v>863918339</v>
      </c>
      <c r="P866">
        <v>186</v>
      </c>
      <c r="Q866" t="s">
        <v>1985</v>
      </c>
    </row>
    <row r="867" spans="1:17" x14ac:dyDescent="0.3">
      <c r="A867" t="s">
        <v>17</v>
      </c>
      <c r="B867" t="str">
        <f>"600509"</f>
        <v>600509</v>
      </c>
      <c r="C867" t="s">
        <v>1986</v>
      </c>
      <c r="D867" t="s">
        <v>88</v>
      </c>
      <c r="E867">
        <v>1908643128</v>
      </c>
      <c r="F867">
        <v>1402733001</v>
      </c>
      <c r="G867">
        <v>811068130</v>
      </c>
      <c r="H867">
        <v>1332442817</v>
      </c>
      <c r="I867">
        <v>902356716</v>
      </c>
      <c r="J867">
        <v>607040023</v>
      </c>
      <c r="K867">
        <v>521581939</v>
      </c>
      <c r="L867">
        <v>995660303</v>
      </c>
      <c r="M867">
        <v>900673984</v>
      </c>
      <c r="N867">
        <v>740042167</v>
      </c>
      <c r="O867">
        <v>401081484</v>
      </c>
      <c r="P867">
        <v>142</v>
      </c>
      <c r="Q867" t="s">
        <v>1987</v>
      </c>
    </row>
    <row r="868" spans="1:17" x14ac:dyDescent="0.3">
      <c r="A868" t="s">
        <v>75</v>
      </c>
      <c r="B868" t="str">
        <f>"002840"</f>
        <v>002840</v>
      </c>
      <c r="C868" t="s">
        <v>1988</v>
      </c>
      <c r="D868" t="s">
        <v>399</v>
      </c>
      <c r="E868">
        <v>1905123605</v>
      </c>
      <c r="F868">
        <v>3084328477</v>
      </c>
      <c r="G868">
        <v>2290262422</v>
      </c>
      <c r="H868">
        <v>1450494200</v>
      </c>
      <c r="I868">
        <v>1386438013</v>
      </c>
      <c r="J868">
        <v>1283282605</v>
      </c>
      <c r="K868">
        <v>854272279</v>
      </c>
      <c r="P868">
        <v>600</v>
      </c>
      <c r="Q868" t="s">
        <v>1989</v>
      </c>
    </row>
    <row r="869" spans="1:17" x14ac:dyDescent="0.3">
      <c r="A869" t="s">
        <v>75</v>
      </c>
      <c r="B869" t="str">
        <f>"000156"</f>
        <v>000156</v>
      </c>
      <c r="C869" t="s">
        <v>1990</v>
      </c>
      <c r="D869" t="s">
        <v>1991</v>
      </c>
      <c r="E869">
        <v>1904090730</v>
      </c>
      <c r="F869">
        <v>1858558009</v>
      </c>
      <c r="G869">
        <v>725639899</v>
      </c>
      <c r="H869">
        <v>729627300</v>
      </c>
      <c r="I869">
        <v>674774445</v>
      </c>
      <c r="J869">
        <v>605837345</v>
      </c>
      <c r="K869">
        <v>599035168</v>
      </c>
      <c r="L869">
        <v>524025449</v>
      </c>
      <c r="M869">
        <v>504598131</v>
      </c>
      <c r="N869">
        <v>357918230</v>
      </c>
      <c r="O869">
        <v>255923467</v>
      </c>
      <c r="P869">
        <v>309</v>
      </c>
      <c r="Q869" t="s">
        <v>1992</v>
      </c>
    </row>
    <row r="870" spans="1:17" x14ac:dyDescent="0.3">
      <c r="A870" t="s">
        <v>75</v>
      </c>
      <c r="B870" t="str">
        <f>"300026"</f>
        <v>300026</v>
      </c>
      <c r="C870" t="s">
        <v>1993</v>
      </c>
      <c r="D870" t="s">
        <v>321</v>
      </c>
      <c r="E870">
        <v>1900874478</v>
      </c>
      <c r="F870">
        <v>1703803532</v>
      </c>
      <c r="G870">
        <v>1098422118</v>
      </c>
      <c r="H870">
        <v>1117532591</v>
      </c>
      <c r="I870">
        <v>1151753241</v>
      </c>
      <c r="J870">
        <v>877677745</v>
      </c>
      <c r="K870">
        <v>824127200</v>
      </c>
      <c r="L870">
        <v>599789036</v>
      </c>
      <c r="M870">
        <v>580275625</v>
      </c>
      <c r="N870">
        <v>415282505</v>
      </c>
      <c r="O870">
        <v>201041116</v>
      </c>
      <c r="P870">
        <v>417</v>
      </c>
      <c r="Q870" t="s">
        <v>1994</v>
      </c>
    </row>
    <row r="871" spans="1:17" x14ac:dyDescent="0.3">
      <c r="A871" t="s">
        <v>75</v>
      </c>
      <c r="B871" t="str">
        <f>"001696"</f>
        <v>001696</v>
      </c>
      <c r="C871" t="s">
        <v>1995</v>
      </c>
      <c r="D871" t="s">
        <v>1424</v>
      </c>
      <c r="E871">
        <v>1899071702</v>
      </c>
      <c r="F871">
        <v>1658866517</v>
      </c>
      <c r="G871">
        <v>1141284600</v>
      </c>
      <c r="H871">
        <v>1142306258</v>
      </c>
      <c r="I871">
        <v>1156059561</v>
      </c>
      <c r="J871">
        <v>1207688010</v>
      </c>
      <c r="K871">
        <v>1096458017</v>
      </c>
      <c r="L871">
        <v>1031745030</v>
      </c>
      <c r="M871">
        <v>1216724627</v>
      </c>
      <c r="N871">
        <v>1087824575</v>
      </c>
      <c r="O871">
        <v>1263330152</v>
      </c>
      <c r="P871">
        <v>274</v>
      </c>
      <c r="Q871" t="s">
        <v>1996</v>
      </c>
    </row>
    <row r="872" spans="1:17" x14ac:dyDescent="0.3">
      <c r="A872" t="s">
        <v>17</v>
      </c>
      <c r="B872" t="str">
        <f>"600746"</f>
        <v>600746</v>
      </c>
      <c r="C872" t="s">
        <v>1997</v>
      </c>
      <c r="D872" t="s">
        <v>589</v>
      </c>
      <c r="E872">
        <v>1896681634</v>
      </c>
      <c r="F872">
        <v>1321536438</v>
      </c>
      <c r="G872">
        <v>776707315</v>
      </c>
      <c r="H872">
        <v>101169792</v>
      </c>
      <c r="I872">
        <v>112091455</v>
      </c>
      <c r="J872">
        <v>193999834</v>
      </c>
      <c r="K872">
        <v>134571621</v>
      </c>
      <c r="L872">
        <v>118419787</v>
      </c>
      <c r="M872">
        <v>141114995</v>
      </c>
      <c r="N872">
        <v>155938175</v>
      </c>
      <c r="O872">
        <v>126647745</v>
      </c>
      <c r="P872">
        <v>230</v>
      </c>
      <c r="Q872" t="s">
        <v>1998</v>
      </c>
    </row>
    <row r="873" spans="1:17" x14ac:dyDescent="0.3">
      <c r="A873" t="s">
        <v>17</v>
      </c>
      <c r="B873" t="str">
        <f>"601608"</f>
        <v>601608</v>
      </c>
      <c r="C873" t="s">
        <v>1999</v>
      </c>
      <c r="D873" t="s">
        <v>786</v>
      </c>
      <c r="E873">
        <v>1888738924</v>
      </c>
      <c r="F873">
        <v>2021692767</v>
      </c>
      <c r="G873">
        <v>1451168902</v>
      </c>
      <c r="H873">
        <v>1380492358</v>
      </c>
      <c r="I873">
        <v>1268308690</v>
      </c>
      <c r="J873">
        <v>1304656692</v>
      </c>
      <c r="K873">
        <v>688912136</v>
      </c>
      <c r="L873">
        <v>843015482</v>
      </c>
      <c r="M873">
        <v>1140497409</v>
      </c>
      <c r="N873">
        <v>1294951914</v>
      </c>
      <c r="O873">
        <v>1424292807</v>
      </c>
      <c r="P873">
        <v>178</v>
      </c>
      <c r="Q873" t="s">
        <v>2000</v>
      </c>
    </row>
    <row r="874" spans="1:17" x14ac:dyDescent="0.3">
      <c r="A874" t="s">
        <v>17</v>
      </c>
      <c r="B874" t="str">
        <f>"600077"</f>
        <v>600077</v>
      </c>
      <c r="C874" t="s">
        <v>2001</v>
      </c>
      <c r="D874" t="s">
        <v>65</v>
      </c>
      <c r="E874">
        <v>1886162776</v>
      </c>
      <c r="F874">
        <v>2849750027</v>
      </c>
      <c r="G874">
        <v>1205184241</v>
      </c>
      <c r="H874">
        <v>1623998774</v>
      </c>
      <c r="I874">
        <v>1885933093</v>
      </c>
      <c r="J874">
        <v>1172892960</v>
      </c>
      <c r="K874">
        <v>1515247866</v>
      </c>
      <c r="L874">
        <v>541144434</v>
      </c>
      <c r="M874">
        <v>596168748</v>
      </c>
      <c r="N874">
        <v>620438260</v>
      </c>
      <c r="O874">
        <v>479487316</v>
      </c>
      <c r="P874">
        <v>126</v>
      </c>
      <c r="Q874" t="s">
        <v>2002</v>
      </c>
    </row>
    <row r="875" spans="1:17" x14ac:dyDescent="0.3">
      <c r="A875" t="s">
        <v>17</v>
      </c>
      <c r="B875" t="str">
        <f>"603517"</f>
        <v>603517</v>
      </c>
      <c r="C875" t="s">
        <v>2003</v>
      </c>
      <c r="D875" t="s">
        <v>2004</v>
      </c>
      <c r="E875">
        <v>1885661301</v>
      </c>
      <c r="F875">
        <v>1681855982</v>
      </c>
      <c r="G875">
        <v>1214626369</v>
      </c>
      <c r="H875">
        <v>1337446050</v>
      </c>
      <c r="I875">
        <v>1128408236</v>
      </c>
      <c r="J875">
        <v>1033084481</v>
      </c>
      <c r="K875">
        <v>848653893</v>
      </c>
      <c r="P875">
        <v>2367</v>
      </c>
      <c r="Q875" t="s">
        <v>2005</v>
      </c>
    </row>
    <row r="876" spans="1:17" x14ac:dyDescent="0.3">
      <c r="A876" t="s">
        <v>75</v>
      </c>
      <c r="B876" t="str">
        <f>"002498"</f>
        <v>002498</v>
      </c>
      <c r="C876" t="s">
        <v>2006</v>
      </c>
      <c r="D876" t="s">
        <v>562</v>
      </c>
      <c r="E876">
        <v>1885440915</v>
      </c>
      <c r="F876">
        <v>1720549180</v>
      </c>
      <c r="G876">
        <v>1489459100</v>
      </c>
      <c r="H876">
        <v>1263989728</v>
      </c>
      <c r="I876">
        <v>1116832485</v>
      </c>
      <c r="J876">
        <v>870820972</v>
      </c>
      <c r="K876">
        <v>635850456</v>
      </c>
      <c r="L876">
        <v>1008938413</v>
      </c>
      <c r="M876">
        <v>940002087</v>
      </c>
      <c r="N876">
        <v>802470055</v>
      </c>
      <c r="O876">
        <v>916963136</v>
      </c>
      <c r="P876">
        <v>282</v>
      </c>
      <c r="Q876" t="s">
        <v>2007</v>
      </c>
    </row>
    <row r="877" spans="1:17" x14ac:dyDescent="0.3">
      <c r="A877" t="s">
        <v>75</v>
      </c>
      <c r="B877" t="str">
        <f>"002441"</f>
        <v>002441</v>
      </c>
      <c r="C877" t="s">
        <v>2008</v>
      </c>
      <c r="D877" t="s">
        <v>546</v>
      </c>
      <c r="E877">
        <v>1882699421</v>
      </c>
      <c r="F877">
        <v>1804148292</v>
      </c>
      <c r="G877">
        <v>1229350043</v>
      </c>
      <c r="H877">
        <v>1581198089</v>
      </c>
      <c r="I877">
        <v>1535524262</v>
      </c>
      <c r="J877">
        <v>1141671139</v>
      </c>
      <c r="K877">
        <v>1188550314</v>
      </c>
      <c r="L877">
        <v>1300258740</v>
      </c>
      <c r="M877">
        <v>1179159825</v>
      </c>
      <c r="N877">
        <v>1202074481</v>
      </c>
      <c r="O877">
        <v>901543700</v>
      </c>
      <c r="P877">
        <v>134</v>
      </c>
      <c r="Q877" t="s">
        <v>2009</v>
      </c>
    </row>
    <row r="878" spans="1:17" x14ac:dyDescent="0.3">
      <c r="A878" t="s">
        <v>17</v>
      </c>
      <c r="B878" t="str">
        <f>"601028"</f>
        <v>601028</v>
      </c>
      <c r="C878" t="s">
        <v>2010</v>
      </c>
      <c r="D878" t="s">
        <v>142</v>
      </c>
      <c r="E878">
        <v>1873949726</v>
      </c>
      <c r="F878">
        <v>2696937107</v>
      </c>
      <c r="G878">
        <v>1298334090</v>
      </c>
      <c r="H878">
        <v>131529989</v>
      </c>
      <c r="I878">
        <v>219018770</v>
      </c>
      <c r="J878">
        <v>373327768</v>
      </c>
      <c r="K878">
        <v>503797890</v>
      </c>
      <c r="L878">
        <v>892181730</v>
      </c>
      <c r="M878">
        <v>717023489</v>
      </c>
      <c r="N878">
        <v>687803802</v>
      </c>
      <c r="O878">
        <v>794499775</v>
      </c>
      <c r="P878">
        <v>87</v>
      </c>
      <c r="Q878" t="s">
        <v>2011</v>
      </c>
    </row>
    <row r="879" spans="1:17" x14ac:dyDescent="0.3">
      <c r="A879" t="s">
        <v>17</v>
      </c>
      <c r="B879" t="str">
        <f>"600733"</f>
        <v>600733</v>
      </c>
      <c r="C879" t="s">
        <v>2012</v>
      </c>
      <c r="D879" t="s">
        <v>38</v>
      </c>
      <c r="E879">
        <v>1868070648</v>
      </c>
      <c r="F879">
        <v>2973799554</v>
      </c>
      <c r="G879">
        <v>1573141808</v>
      </c>
      <c r="H879">
        <v>2745431814</v>
      </c>
      <c r="I879">
        <v>310863</v>
      </c>
      <c r="J879">
        <v>64762</v>
      </c>
      <c r="K879">
        <v>4321182</v>
      </c>
      <c r="L879">
        <v>2286760</v>
      </c>
      <c r="M879">
        <v>2355682</v>
      </c>
      <c r="N879">
        <v>14591168</v>
      </c>
      <c r="O879">
        <v>4779313</v>
      </c>
      <c r="P879">
        <v>369</v>
      </c>
      <c r="Q879" t="s">
        <v>2013</v>
      </c>
    </row>
    <row r="880" spans="1:17" x14ac:dyDescent="0.3">
      <c r="A880" t="s">
        <v>17</v>
      </c>
      <c r="B880" t="str">
        <f>"603299"</f>
        <v>603299</v>
      </c>
      <c r="C880" t="s">
        <v>2014</v>
      </c>
      <c r="D880" t="s">
        <v>1275</v>
      </c>
      <c r="E880">
        <v>1868025836</v>
      </c>
      <c r="F880">
        <v>1039642758</v>
      </c>
      <c r="G880">
        <v>901628909</v>
      </c>
      <c r="H880">
        <v>1109325335</v>
      </c>
      <c r="I880">
        <v>643072584</v>
      </c>
      <c r="J880">
        <v>562356569</v>
      </c>
      <c r="K880">
        <v>590762194</v>
      </c>
      <c r="L880">
        <v>556197162</v>
      </c>
      <c r="P880">
        <v>139</v>
      </c>
      <c r="Q880" t="s">
        <v>2015</v>
      </c>
    </row>
    <row r="881" spans="1:17" x14ac:dyDescent="0.3">
      <c r="A881" t="s">
        <v>17</v>
      </c>
      <c r="B881" t="str">
        <f>"600521"</f>
        <v>600521</v>
      </c>
      <c r="C881" t="s">
        <v>2016</v>
      </c>
      <c r="D881" t="s">
        <v>543</v>
      </c>
      <c r="E881">
        <v>1862969128</v>
      </c>
      <c r="F881">
        <v>1620493878</v>
      </c>
      <c r="G881">
        <v>1431521484</v>
      </c>
      <c r="H881">
        <v>1319492126</v>
      </c>
      <c r="I881">
        <v>1076223157</v>
      </c>
      <c r="J881">
        <v>953251987</v>
      </c>
      <c r="K881">
        <v>825486315</v>
      </c>
      <c r="L881">
        <v>688535973</v>
      </c>
      <c r="M881">
        <v>595841335</v>
      </c>
      <c r="N881">
        <v>514485864</v>
      </c>
      <c r="O881">
        <v>424245956</v>
      </c>
      <c r="P881">
        <v>964</v>
      </c>
      <c r="Q881" t="s">
        <v>2017</v>
      </c>
    </row>
    <row r="882" spans="1:17" x14ac:dyDescent="0.3">
      <c r="A882" t="s">
        <v>17</v>
      </c>
      <c r="B882" t="str">
        <f>"688425"</f>
        <v>688425</v>
      </c>
      <c r="C882" t="s">
        <v>2018</v>
      </c>
      <c r="D882" t="s">
        <v>262</v>
      </c>
      <c r="E882">
        <v>1862479595</v>
      </c>
      <c r="F882">
        <v>1753203698</v>
      </c>
      <c r="G882">
        <v>1422712438</v>
      </c>
      <c r="P882">
        <v>40</v>
      </c>
      <c r="Q882" t="s">
        <v>2019</v>
      </c>
    </row>
    <row r="883" spans="1:17" x14ac:dyDescent="0.3">
      <c r="A883" t="s">
        <v>17</v>
      </c>
      <c r="B883" t="str">
        <f>"601900"</f>
        <v>601900</v>
      </c>
      <c r="C883" t="s">
        <v>2020</v>
      </c>
      <c r="D883" t="s">
        <v>1433</v>
      </c>
      <c r="E883">
        <v>1861066653</v>
      </c>
      <c r="F883">
        <v>1071337457</v>
      </c>
      <c r="G883">
        <v>585351031</v>
      </c>
      <c r="H883">
        <v>1359082601</v>
      </c>
      <c r="I883">
        <v>757135468</v>
      </c>
      <c r="J883">
        <v>1082671120</v>
      </c>
      <c r="K883">
        <v>715852588</v>
      </c>
      <c r="L883">
        <v>621182372</v>
      </c>
      <c r="P883">
        <v>244</v>
      </c>
      <c r="Q883" t="s">
        <v>2021</v>
      </c>
    </row>
    <row r="884" spans="1:17" x14ac:dyDescent="0.3">
      <c r="A884" t="s">
        <v>75</v>
      </c>
      <c r="B884" t="str">
        <f>"002821"</f>
        <v>002821</v>
      </c>
      <c r="C884" t="s">
        <v>2022</v>
      </c>
      <c r="D884" t="s">
        <v>716</v>
      </c>
      <c r="E884">
        <v>1855113552</v>
      </c>
      <c r="F884">
        <v>914340634</v>
      </c>
      <c r="G884">
        <v>564915459</v>
      </c>
      <c r="H884">
        <v>560499875</v>
      </c>
      <c r="I884">
        <v>449565422</v>
      </c>
      <c r="J884">
        <v>377556803</v>
      </c>
      <c r="K884">
        <v>236310203</v>
      </c>
      <c r="P884">
        <v>2412</v>
      </c>
      <c r="Q884" t="s">
        <v>2023</v>
      </c>
    </row>
    <row r="885" spans="1:17" x14ac:dyDescent="0.3">
      <c r="A885" t="s">
        <v>17</v>
      </c>
      <c r="B885" t="str">
        <f>"600127"</f>
        <v>600127</v>
      </c>
      <c r="C885" t="s">
        <v>2024</v>
      </c>
      <c r="D885" t="s">
        <v>113</v>
      </c>
      <c r="E885">
        <v>1850595194</v>
      </c>
      <c r="F885">
        <v>1870933618</v>
      </c>
      <c r="G885">
        <v>1131996447</v>
      </c>
      <c r="H885">
        <v>1088721801</v>
      </c>
      <c r="I885">
        <v>727808170</v>
      </c>
      <c r="J885">
        <v>616915848</v>
      </c>
      <c r="K885">
        <v>557002704</v>
      </c>
      <c r="L885">
        <v>469680666</v>
      </c>
      <c r="M885">
        <v>379273287</v>
      </c>
      <c r="N885">
        <v>434072902</v>
      </c>
      <c r="O885">
        <v>383249185</v>
      </c>
      <c r="P885">
        <v>231</v>
      </c>
      <c r="Q885" t="s">
        <v>2025</v>
      </c>
    </row>
    <row r="886" spans="1:17" x14ac:dyDescent="0.3">
      <c r="A886" t="s">
        <v>17</v>
      </c>
      <c r="B886" t="str">
        <f>"600223"</f>
        <v>600223</v>
      </c>
      <c r="C886" t="s">
        <v>2026</v>
      </c>
      <c r="D886" t="s">
        <v>65</v>
      </c>
      <c r="E886">
        <v>1849433507</v>
      </c>
      <c r="F886">
        <v>3571795541</v>
      </c>
      <c r="G886">
        <v>1880504638</v>
      </c>
      <c r="H886">
        <v>2488047842</v>
      </c>
      <c r="I886">
        <v>2117340720</v>
      </c>
      <c r="J886">
        <v>3437638526</v>
      </c>
      <c r="K886">
        <v>1196880783</v>
      </c>
      <c r="L886">
        <v>1255553882</v>
      </c>
      <c r="M886">
        <v>1134508561</v>
      </c>
      <c r="N886">
        <v>1399348256</v>
      </c>
      <c r="O886">
        <v>424514404</v>
      </c>
      <c r="P886">
        <v>361</v>
      </c>
      <c r="Q886" t="s">
        <v>2027</v>
      </c>
    </row>
    <row r="887" spans="1:17" x14ac:dyDescent="0.3">
      <c r="A887" t="s">
        <v>75</v>
      </c>
      <c r="B887" t="str">
        <f>"002585"</f>
        <v>002585</v>
      </c>
      <c r="C887" t="s">
        <v>2028</v>
      </c>
      <c r="D887" t="s">
        <v>2029</v>
      </c>
      <c r="E887">
        <v>1848221543</v>
      </c>
      <c r="F887">
        <v>1291567759</v>
      </c>
      <c r="G887">
        <v>983005218</v>
      </c>
      <c r="H887">
        <v>1077368345</v>
      </c>
      <c r="I887">
        <v>819259600</v>
      </c>
      <c r="J887">
        <v>497894442</v>
      </c>
      <c r="K887">
        <v>589199812</v>
      </c>
      <c r="L887">
        <v>540195151</v>
      </c>
      <c r="M887">
        <v>571820870</v>
      </c>
      <c r="N887">
        <v>466774947</v>
      </c>
      <c r="O887">
        <v>400677422</v>
      </c>
      <c r="P887">
        <v>382</v>
      </c>
      <c r="Q887" t="s">
        <v>2030</v>
      </c>
    </row>
    <row r="888" spans="1:17" x14ac:dyDescent="0.3">
      <c r="A888" t="s">
        <v>17</v>
      </c>
      <c r="B888" t="str">
        <f>"600637"</f>
        <v>600637</v>
      </c>
      <c r="C888" t="s">
        <v>2031</v>
      </c>
      <c r="D888" t="s">
        <v>1991</v>
      </c>
      <c r="E888">
        <v>1845518898</v>
      </c>
      <c r="F888">
        <v>2816808332</v>
      </c>
      <c r="G888">
        <v>3128114963</v>
      </c>
      <c r="H888">
        <v>3168690214</v>
      </c>
      <c r="I888">
        <v>3291452865</v>
      </c>
      <c r="J888">
        <v>4831734860</v>
      </c>
      <c r="K888">
        <v>4554340406</v>
      </c>
      <c r="L888">
        <v>864161908</v>
      </c>
      <c r="M888">
        <v>431090424</v>
      </c>
      <c r="N888">
        <v>315336196</v>
      </c>
      <c r="O888">
        <v>248140655</v>
      </c>
      <c r="P888">
        <v>442</v>
      </c>
      <c r="Q888" t="s">
        <v>2032</v>
      </c>
    </row>
    <row r="889" spans="1:17" x14ac:dyDescent="0.3">
      <c r="A889" t="s">
        <v>75</v>
      </c>
      <c r="B889" t="str">
        <f>"000926"</f>
        <v>000926</v>
      </c>
      <c r="C889" t="s">
        <v>2033</v>
      </c>
      <c r="D889" t="s">
        <v>65</v>
      </c>
      <c r="E889">
        <v>1844826272</v>
      </c>
      <c r="F889">
        <v>3021599113</v>
      </c>
      <c r="G889">
        <v>1850733225</v>
      </c>
      <c r="H889">
        <v>2995248985</v>
      </c>
      <c r="I889">
        <v>2906836044</v>
      </c>
      <c r="J889">
        <v>2907093046</v>
      </c>
      <c r="K889">
        <v>2063395292</v>
      </c>
      <c r="L889">
        <v>1160087694</v>
      </c>
      <c r="M889">
        <v>1603811895</v>
      </c>
      <c r="N889">
        <v>1754046351</v>
      </c>
      <c r="O889">
        <v>1550809748</v>
      </c>
      <c r="P889">
        <v>239</v>
      </c>
      <c r="Q889" t="s">
        <v>2034</v>
      </c>
    </row>
    <row r="890" spans="1:17" x14ac:dyDescent="0.3">
      <c r="A890" t="s">
        <v>17</v>
      </c>
      <c r="B890" t="str">
        <f>"600676"</f>
        <v>600676</v>
      </c>
      <c r="C890" t="s">
        <v>2035</v>
      </c>
      <c r="D890" t="s">
        <v>1284</v>
      </c>
      <c r="E890">
        <v>1836871962</v>
      </c>
      <c r="F890">
        <v>2376470727</v>
      </c>
      <c r="G890">
        <v>1725250793</v>
      </c>
      <c r="H890">
        <v>2309850754</v>
      </c>
      <c r="I890">
        <v>2689263316</v>
      </c>
      <c r="J890">
        <v>2343902624</v>
      </c>
      <c r="K890">
        <v>2529634241</v>
      </c>
      <c r="L890">
        <v>2204470001</v>
      </c>
      <c r="M890">
        <v>2248797011</v>
      </c>
      <c r="N890">
        <v>2021528405</v>
      </c>
      <c r="O890">
        <v>1817948142</v>
      </c>
      <c r="P890">
        <v>88</v>
      </c>
      <c r="Q890" t="s">
        <v>2036</v>
      </c>
    </row>
    <row r="891" spans="1:17" x14ac:dyDescent="0.3">
      <c r="A891" t="s">
        <v>75</v>
      </c>
      <c r="B891" t="str">
        <f>"000421"</f>
        <v>000421</v>
      </c>
      <c r="C891" t="s">
        <v>2037</v>
      </c>
      <c r="D891" t="s">
        <v>147</v>
      </c>
      <c r="E891">
        <v>1833380491</v>
      </c>
      <c r="F891">
        <v>1288008769</v>
      </c>
      <c r="G891">
        <v>874360011</v>
      </c>
      <c r="H891">
        <v>1183819038</v>
      </c>
      <c r="I891">
        <v>1409804522</v>
      </c>
      <c r="J891">
        <v>1093660514</v>
      </c>
      <c r="K891">
        <v>1119040557</v>
      </c>
      <c r="L891">
        <v>1309677101</v>
      </c>
      <c r="M891">
        <v>366977900</v>
      </c>
      <c r="N891">
        <v>429917303</v>
      </c>
      <c r="O891">
        <v>367550577</v>
      </c>
      <c r="P891">
        <v>159</v>
      </c>
      <c r="Q891" t="s">
        <v>2038</v>
      </c>
    </row>
    <row r="892" spans="1:17" x14ac:dyDescent="0.3">
      <c r="A892" t="s">
        <v>75</v>
      </c>
      <c r="B892" t="str">
        <f>"000612"</f>
        <v>000612</v>
      </c>
      <c r="C892" t="s">
        <v>2039</v>
      </c>
      <c r="D892" t="s">
        <v>96</v>
      </c>
      <c r="E892">
        <v>1832906956</v>
      </c>
      <c r="F892">
        <v>1697373685</v>
      </c>
      <c r="G892">
        <v>1097440233</v>
      </c>
      <c r="H892">
        <v>1322621212</v>
      </c>
      <c r="I892">
        <v>1141372538</v>
      </c>
      <c r="J892">
        <v>1162656287</v>
      </c>
      <c r="K892">
        <v>1109485237</v>
      </c>
      <c r="L892">
        <v>1141255010</v>
      </c>
      <c r="M892">
        <v>1004648559</v>
      </c>
      <c r="N892">
        <v>1353335539</v>
      </c>
      <c r="O892">
        <v>1721360525</v>
      </c>
      <c r="P892">
        <v>199</v>
      </c>
      <c r="Q892" t="s">
        <v>2040</v>
      </c>
    </row>
    <row r="893" spans="1:17" x14ac:dyDescent="0.3">
      <c r="A893" t="s">
        <v>17</v>
      </c>
      <c r="B893" t="str">
        <f>"600683"</f>
        <v>600683</v>
      </c>
      <c r="C893" t="s">
        <v>2041</v>
      </c>
      <c r="D893" t="s">
        <v>65</v>
      </c>
      <c r="E893">
        <v>1831978644</v>
      </c>
      <c r="F893">
        <v>2868903607</v>
      </c>
      <c r="G893">
        <v>1207885450</v>
      </c>
      <c r="H893">
        <v>830257593</v>
      </c>
      <c r="I893">
        <v>1302186453</v>
      </c>
      <c r="J893">
        <v>1431483385</v>
      </c>
      <c r="K893">
        <v>1271548021</v>
      </c>
      <c r="L893">
        <v>1366674991</v>
      </c>
      <c r="M893">
        <v>239782609</v>
      </c>
      <c r="N893">
        <v>192863293</v>
      </c>
      <c r="O893">
        <v>349378911</v>
      </c>
      <c r="P893">
        <v>224</v>
      </c>
      <c r="Q893" t="s">
        <v>2042</v>
      </c>
    </row>
    <row r="894" spans="1:17" x14ac:dyDescent="0.3">
      <c r="A894" t="s">
        <v>75</v>
      </c>
      <c r="B894" t="str">
        <f>"000541"</f>
        <v>000541</v>
      </c>
      <c r="C894" t="s">
        <v>2043</v>
      </c>
      <c r="D894" t="s">
        <v>2044</v>
      </c>
      <c r="E894">
        <v>1830797471</v>
      </c>
      <c r="F894">
        <v>1031138656</v>
      </c>
      <c r="G894">
        <v>666737548</v>
      </c>
      <c r="H894">
        <v>860544424</v>
      </c>
      <c r="I894">
        <v>888818670</v>
      </c>
      <c r="J894">
        <v>891447570</v>
      </c>
      <c r="K894">
        <v>751648546</v>
      </c>
      <c r="L894">
        <v>657694684</v>
      </c>
      <c r="M894">
        <v>644453167</v>
      </c>
      <c r="N894">
        <v>559487109</v>
      </c>
      <c r="O894">
        <v>507231146</v>
      </c>
      <c r="P894">
        <v>437</v>
      </c>
      <c r="Q894" t="s">
        <v>2045</v>
      </c>
    </row>
    <row r="895" spans="1:17" x14ac:dyDescent="0.3">
      <c r="A895" t="s">
        <v>75</v>
      </c>
      <c r="B895" t="str">
        <f>"000065"</f>
        <v>000065</v>
      </c>
      <c r="C895" t="s">
        <v>2046</v>
      </c>
      <c r="D895" t="s">
        <v>797</v>
      </c>
      <c r="E895">
        <v>1830134780</v>
      </c>
      <c r="F895">
        <v>1913029607</v>
      </c>
      <c r="G895">
        <v>1710862210</v>
      </c>
      <c r="H895">
        <v>1408536152</v>
      </c>
      <c r="I895">
        <v>1237239323</v>
      </c>
      <c r="J895">
        <v>2408778511</v>
      </c>
      <c r="K895">
        <v>361326125</v>
      </c>
      <c r="L895">
        <v>115328139</v>
      </c>
      <c r="M895">
        <v>279821024</v>
      </c>
      <c r="N895">
        <v>338883751</v>
      </c>
      <c r="O895">
        <v>208017505</v>
      </c>
      <c r="P895">
        <v>394</v>
      </c>
      <c r="Q895" t="s">
        <v>2047</v>
      </c>
    </row>
    <row r="896" spans="1:17" x14ac:dyDescent="0.3">
      <c r="A896" t="s">
        <v>75</v>
      </c>
      <c r="B896" t="str">
        <f>"200726"</f>
        <v>200726</v>
      </c>
      <c r="C896" t="s">
        <v>2048</v>
      </c>
      <c r="E896">
        <v>1824551900.1199999</v>
      </c>
      <c r="F896">
        <v>1181835772.8510001</v>
      </c>
      <c r="G896">
        <v>1460189147.8025999</v>
      </c>
      <c r="H896">
        <v>1746687807.2456999</v>
      </c>
      <c r="I896">
        <v>1852815717.4549999</v>
      </c>
      <c r="J896">
        <v>1539684004.0711999</v>
      </c>
      <c r="K896">
        <v>1536378105.6552999</v>
      </c>
      <c r="L896">
        <v>1761652903.75</v>
      </c>
      <c r="M896">
        <v>2106506984.086</v>
      </c>
      <c r="N896">
        <v>1998531296.322</v>
      </c>
      <c r="O896">
        <v>1795766136.1919999</v>
      </c>
      <c r="P896">
        <v>329</v>
      </c>
      <c r="Q896" t="s">
        <v>2049</v>
      </c>
    </row>
    <row r="897" spans="1:17" x14ac:dyDescent="0.3">
      <c r="A897" t="s">
        <v>75</v>
      </c>
      <c r="B897" t="str">
        <f>"002614"</f>
        <v>002614</v>
      </c>
      <c r="C897" t="s">
        <v>2050</v>
      </c>
      <c r="D897" t="s">
        <v>2051</v>
      </c>
      <c r="E897">
        <v>1818839585</v>
      </c>
      <c r="F897">
        <v>2097285040</v>
      </c>
      <c r="G897">
        <v>1502335280</v>
      </c>
      <c r="H897">
        <v>1657809786</v>
      </c>
      <c r="I897">
        <v>1173880070</v>
      </c>
      <c r="J897">
        <v>1118847628</v>
      </c>
      <c r="K897">
        <v>661999313</v>
      </c>
      <c r="L897">
        <v>665125957</v>
      </c>
      <c r="M897">
        <v>597455307</v>
      </c>
      <c r="N897">
        <v>446180532</v>
      </c>
      <c r="O897">
        <v>389631129</v>
      </c>
      <c r="P897">
        <v>525</v>
      </c>
      <c r="Q897" t="s">
        <v>2052</v>
      </c>
    </row>
    <row r="898" spans="1:17" x14ac:dyDescent="0.3">
      <c r="A898" t="s">
        <v>17</v>
      </c>
      <c r="B898" t="str">
        <f>"600702"</f>
        <v>600702</v>
      </c>
      <c r="C898" t="s">
        <v>2053</v>
      </c>
      <c r="D898" t="s">
        <v>201</v>
      </c>
      <c r="E898">
        <v>1818298272</v>
      </c>
      <c r="F898">
        <v>1250415645</v>
      </c>
      <c r="G898">
        <v>484807607</v>
      </c>
      <c r="H898">
        <v>804986580</v>
      </c>
      <c r="I898">
        <v>880336393</v>
      </c>
      <c r="J898">
        <v>436871779</v>
      </c>
      <c r="K898">
        <v>371909381</v>
      </c>
      <c r="L898">
        <v>414595506</v>
      </c>
      <c r="M898">
        <v>351178037</v>
      </c>
      <c r="N898">
        <v>801368278</v>
      </c>
      <c r="O898">
        <v>515637186</v>
      </c>
      <c r="P898">
        <v>1462</v>
      </c>
      <c r="Q898" t="s">
        <v>2054</v>
      </c>
    </row>
    <row r="899" spans="1:17" x14ac:dyDescent="0.3">
      <c r="A899" t="s">
        <v>17</v>
      </c>
      <c r="B899" t="str">
        <f>"603588"</f>
        <v>603588</v>
      </c>
      <c r="C899" t="s">
        <v>2055</v>
      </c>
      <c r="D899" t="s">
        <v>1187</v>
      </c>
      <c r="E899">
        <v>1817085776</v>
      </c>
      <c r="F899">
        <v>1756694866</v>
      </c>
      <c r="G899">
        <v>1067307914</v>
      </c>
      <c r="H899">
        <v>817912437</v>
      </c>
      <c r="I899">
        <v>443089151</v>
      </c>
      <c r="J899">
        <v>342548357</v>
      </c>
      <c r="K899">
        <v>207815937</v>
      </c>
      <c r="L899">
        <v>171921759</v>
      </c>
      <c r="M899">
        <v>160136395</v>
      </c>
      <c r="P899">
        <v>580</v>
      </c>
      <c r="Q899" t="s">
        <v>2056</v>
      </c>
    </row>
    <row r="900" spans="1:17" x14ac:dyDescent="0.3">
      <c r="A900" t="s">
        <v>75</v>
      </c>
      <c r="B900" t="str">
        <f>"000970"</f>
        <v>000970</v>
      </c>
      <c r="C900" t="s">
        <v>2057</v>
      </c>
      <c r="D900" t="s">
        <v>1096</v>
      </c>
      <c r="E900">
        <v>1807153354</v>
      </c>
      <c r="F900">
        <v>1451203953</v>
      </c>
      <c r="G900">
        <v>939487891</v>
      </c>
      <c r="H900">
        <v>1014573364</v>
      </c>
      <c r="I900">
        <v>1144413346</v>
      </c>
      <c r="J900">
        <v>827844918</v>
      </c>
      <c r="K900">
        <v>947938555</v>
      </c>
      <c r="L900">
        <v>1006692920</v>
      </c>
      <c r="M900">
        <v>1023370661</v>
      </c>
      <c r="N900">
        <v>938898496</v>
      </c>
      <c r="O900">
        <v>1609527055</v>
      </c>
      <c r="P900">
        <v>364</v>
      </c>
      <c r="Q900" t="s">
        <v>2058</v>
      </c>
    </row>
    <row r="901" spans="1:17" x14ac:dyDescent="0.3">
      <c r="A901" t="s">
        <v>75</v>
      </c>
      <c r="B901" t="str">
        <f>"002399"</f>
        <v>002399</v>
      </c>
      <c r="C901" t="s">
        <v>2059</v>
      </c>
      <c r="D901" t="s">
        <v>1242</v>
      </c>
      <c r="E901">
        <v>1797252830</v>
      </c>
      <c r="F901">
        <v>1622062742</v>
      </c>
      <c r="G901">
        <v>1134379481</v>
      </c>
      <c r="H901">
        <v>935193244</v>
      </c>
      <c r="I901">
        <v>766189003</v>
      </c>
      <c r="J901">
        <v>440065557</v>
      </c>
      <c r="K901">
        <v>665187872</v>
      </c>
      <c r="L901">
        <v>620694032</v>
      </c>
      <c r="M901">
        <v>302872483</v>
      </c>
      <c r="N901">
        <v>437459548</v>
      </c>
      <c r="O901">
        <v>635408044</v>
      </c>
      <c r="P901">
        <v>285</v>
      </c>
      <c r="Q901" t="s">
        <v>2060</v>
      </c>
    </row>
    <row r="902" spans="1:17" x14ac:dyDescent="0.3">
      <c r="A902" t="s">
        <v>17</v>
      </c>
      <c r="B902" t="str">
        <f>"603689"</f>
        <v>603689</v>
      </c>
      <c r="C902" t="s">
        <v>2061</v>
      </c>
      <c r="D902" t="s">
        <v>147</v>
      </c>
      <c r="E902">
        <v>1791106889</v>
      </c>
      <c r="F902">
        <v>1555807269</v>
      </c>
      <c r="G902">
        <v>1367309893</v>
      </c>
      <c r="H902">
        <v>1254480388</v>
      </c>
      <c r="I902">
        <v>866246532</v>
      </c>
      <c r="J902">
        <v>806488950</v>
      </c>
      <c r="K902">
        <v>662582429</v>
      </c>
      <c r="P902">
        <v>117</v>
      </c>
      <c r="Q902" t="s">
        <v>2062</v>
      </c>
    </row>
    <row r="903" spans="1:17" x14ac:dyDescent="0.3">
      <c r="A903" t="s">
        <v>17</v>
      </c>
      <c r="B903" t="str">
        <f>"600959"</f>
        <v>600959</v>
      </c>
      <c r="C903" t="s">
        <v>2063</v>
      </c>
      <c r="D903" t="s">
        <v>1991</v>
      </c>
      <c r="E903">
        <v>1788384175</v>
      </c>
      <c r="F903">
        <v>1945353688</v>
      </c>
      <c r="G903">
        <v>2007631440</v>
      </c>
      <c r="H903">
        <v>2056413777</v>
      </c>
      <c r="I903">
        <v>2258324778</v>
      </c>
      <c r="J903">
        <v>2246704672</v>
      </c>
      <c r="K903">
        <v>1220713134</v>
      </c>
      <c r="L903">
        <v>1099608590</v>
      </c>
      <c r="M903">
        <v>980750601</v>
      </c>
      <c r="P903">
        <v>150</v>
      </c>
      <c r="Q903" t="s">
        <v>2064</v>
      </c>
    </row>
    <row r="904" spans="1:17" x14ac:dyDescent="0.3">
      <c r="A904" t="s">
        <v>75</v>
      </c>
      <c r="B904" t="str">
        <f>"300138"</f>
        <v>300138</v>
      </c>
      <c r="C904" t="s">
        <v>2065</v>
      </c>
      <c r="D904" t="s">
        <v>831</v>
      </c>
      <c r="E904">
        <v>1787491895</v>
      </c>
      <c r="F904">
        <v>1113715575</v>
      </c>
      <c r="G904">
        <v>706168262</v>
      </c>
      <c r="H904">
        <v>801608359</v>
      </c>
      <c r="I904">
        <v>707464982</v>
      </c>
      <c r="J904">
        <v>648690865</v>
      </c>
      <c r="K904">
        <v>487220617</v>
      </c>
      <c r="L904">
        <v>330154924</v>
      </c>
      <c r="M904">
        <v>331070006</v>
      </c>
      <c r="N904">
        <v>344460963</v>
      </c>
      <c r="O904">
        <v>261536518</v>
      </c>
      <c r="P904">
        <v>264</v>
      </c>
      <c r="Q904" t="s">
        <v>2066</v>
      </c>
    </row>
    <row r="905" spans="1:17" x14ac:dyDescent="0.3">
      <c r="A905" t="s">
        <v>75</v>
      </c>
      <c r="B905" t="str">
        <f>"301015"</f>
        <v>301015</v>
      </c>
      <c r="C905" t="s">
        <v>2067</v>
      </c>
      <c r="D905" t="s">
        <v>123</v>
      </c>
      <c r="E905">
        <v>1783844852</v>
      </c>
      <c r="F905">
        <v>1591018814</v>
      </c>
      <c r="G905">
        <v>936529574</v>
      </c>
      <c r="P905">
        <v>45</v>
      </c>
      <c r="Q905" t="s">
        <v>2068</v>
      </c>
    </row>
    <row r="906" spans="1:17" x14ac:dyDescent="0.3">
      <c r="A906" t="s">
        <v>17</v>
      </c>
      <c r="B906" t="str">
        <f>"601000"</f>
        <v>601000</v>
      </c>
      <c r="C906" t="s">
        <v>2069</v>
      </c>
      <c r="D906" t="s">
        <v>383</v>
      </c>
      <c r="E906">
        <v>1783556783</v>
      </c>
      <c r="F906">
        <v>1938139498</v>
      </c>
      <c r="G906">
        <v>2043782444</v>
      </c>
      <c r="H906">
        <v>2444175917</v>
      </c>
      <c r="I906">
        <v>1806302243</v>
      </c>
      <c r="J906">
        <v>1379347130</v>
      </c>
      <c r="K906">
        <v>1265137123</v>
      </c>
      <c r="L906">
        <v>1125472523</v>
      </c>
      <c r="M906">
        <v>922063595</v>
      </c>
      <c r="N906">
        <v>1046907529</v>
      </c>
      <c r="O906">
        <v>997043164</v>
      </c>
      <c r="P906">
        <v>892</v>
      </c>
      <c r="Q906" t="s">
        <v>2070</v>
      </c>
    </row>
    <row r="907" spans="1:17" x14ac:dyDescent="0.3">
      <c r="A907" t="s">
        <v>17</v>
      </c>
      <c r="B907" t="str">
        <f>"600470"</f>
        <v>600470</v>
      </c>
      <c r="C907" t="s">
        <v>2071</v>
      </c>
      <c r="D907" t="s">
        <v>354</v>
      </c>
      <c r="E907">
        <v>1781565950</v>
      </c>
      <c r="F907">
        <v>882611882</v>
      </c>
      <c r="G907">
        <v>902828334</v>
      </c>
      <c r="H907">
        <v>770739193</v>
      </c>
      <c r="I907">
        <v>778349191</v>
      </c>
      <c r="J907">
        <v>831185821</v>
      </c>
      <c r="K907">
        <v>876697779</v>
      </c>
      <c r="L907">
        <v>1010070874</v>
      </c>
      <c r="M907">
        <v>787559264</v>
      </c>
      <c r="N907">
        <v>854576116</v>
      </c>
      <c r="O907">
        <v>987014150</v>
      </c>
      <c r="P907">
        <v>91</v>
      </c>
      <c r="Q907" t="s">
        <v>2072</v>
      </c>
    </row>
    <row r="908" spans="1:17" x14ac:dyDescent="0.3">
      <c r="A908" t="s">
        <v>17</v>
      </c>
      <c r="B908" t="str">
        <f>"601678"</f>
        <v>601678</v>
      </c>
      <c r="C908" t="s">
        <v>2073</v>
      </c>
      <c r="D908" t="s">
        <v>311</v>
      </c>
      <c r="E908">
        <v>1778653751</v>
      </c>
      <c r="F908">
        <v>2174339315</v>
      </c>
      <c r="G908">
        <v>1149509657</v>
      </c>
      <c r="H908">
        <v>1325927643</v>
      </c>
      <c r="I908">
        <v>1399942443</v>
      </c>
      <c r="J908">
        <v>1321011469</v>
      </c>
      <c r="K908">
        <v>1064432039</v>
      </c>
      <c r="L908">
        <v>871395991</v>
      </c>
      <c r="M908">
        <v>1215493970</v>
      </c>
      <c r="N908">
        <v>799717726</v>
      </c>
      <c r="O908">
        <v>1081916169</v>
      </c>
      <c r="P908">
        <v>353</v>
      </c>
      <c r="Q908" t="s">
        <v>2074</v>
      </c>
    </row>
    <row r="909" spans="1:17" x14ac:dyDescent="0.3">
      <c r="A909" t="s">
        <v>75</v>
      </c>
      <c r="B909" t="str">
        <f>"000997"</f>
        <v>000997</v>
      </c>
      <c r="C909" t="s">
        <v>2075</v>
      </c>
      <c r="D909" t="s">
        <v>508</v>
      </c>
      <c r="E909">
        <v>1776049038</v>
      </c>
      <c r="F909">
        <v>1493361665</v>
      </c>
      <c r="G909">
        <v>1235124257</v>
      </c>
      <c r="H909">
        <v>1272350856</v>
      </c>
      <c r="I909">
        <v>1120673902</v>
      </c>
      <c r="J909">
        <v>958044621</v>
      </c>
      <c r="K909">
        <v>838748979</v>
      </c>
      <c r="L909">
        <v>487538430</v>
      </c>
      <c r="M909">
        <v>495655552</v>
      </c>
      <c r="N909">
        <v>472531708</v>
      </c>
      <c r="O909">
        <v>166611992</v>
      </c>
      <c r="P909">
        <v>581</v>
      </c>
      <c r="Q909" t="s">
        <v>2076</v>
      </c>
    </row>
    <row r="910" spans="1:17" x14ac:dyDescent="0.3">
      <c r="A910" t="s">
        <v>17</v>
      </c>
      <c r="B910" t="str">
        <f>"600138"</f>
        <v>600138</v>
      </c>
      <c r="C910" t="s">
        <v>2077</v>
      </c>
      <c r="D910" t="s">
        <v>2078</v>
      </c>
      <c r="E910">
        <v>1774396818</v>
      </c>
      <c r="F910">
        <v>2013741522</v>
      </c>
      <c r="G910">
        <v>1919754558</v>
      </c>
      <c r="H910">
        <v>2936166596</v>
      </c>
      <c r="I910">
        <v>2800669520</v>
      </c>
      <c r="J910">
        <v>2355271569</v>
      </c>
      <c r="K910">
        <v>2187660073</v>
      </c>
      <c r="L910">
        <v>2112784320</v>
      </c>
      <c r="M910">
        <v>2089967208</v>
      </c>
      <c r="N910">
        <v>1940529744</v>
      </c>
      <c r="O910">
        <v>1520531074</v>
      </c>
      <c r="P910">
        <v>486</v>
      </c>
      <c r="Q910" t="s">
        <v>2079</v>
      </c>
    </row>
    <row r="911" spans="1:17" x14ac:dyDescent="0.3">
      <c r="A911" t="s">
        <v>17</v>
      </c>
      <c r="B911" t="str">
        <f>"600653"</f>
        <v>600653</v>
      </c>
      <c r="C911" t="s">
        <v>2080</v>
      </c>
      <c r="D911" t="s">
        <v>150</v>
      </c>
      <c r="E911">
        <v>1770054051</v>
      </c>
      <c r="F911">
        <v>2246544248</v>
      </c>
      <c r="G911">
        <v>1393562432</v>
      </c>
      <c r="H911">
        <v>1739547554</v>
      </c>
      <c r="I911">
        <v>1383993343</v>
      </c>
      <c r="J911">
        <v>610877300</v>
      </c>
      <c r="K911">
        <v>811572363</v>
      </c>
      <c r="L911">
        <v>377549094</v>
      </c>
      <c r="M911">
        <v>371730344</v>
      </c>
      <c r="N911">
        <v>566814191</v>
      </c>
      <c r="O911">
        <v>1531396116</v>
      </c>
      <c r="P911">
        <v>93</v>
      </c>
      <c r="Q911" t="s">
        <v>2081</v>
      </c>
    </row>
    <row r="912" spans="1:17" x14ac:dyDescent="0.3">
      <c r="A912" t="s">
        <v>17</v>
      </c>
      <c r="B912" t="str">
        <f>"600879"</f>
        <v>600879</v>
      </c>
      <c r="C912" t="s">
        <v>2082</v>
      </c>
      <c r="D912" t="s">
        <v>2083</v>
      </c>
      <c r="E912">
        <v>1767106835</v>
      </c>
      <c r="F912">
        <v>2185729421</v>
      </c>
      <c r="G912">
        <v>1583008093</v>
      </c>
      <c r="H912">
        <v>2044814212</v>
      </c>
      <c r="I912">
        <v>1370276395</v>
      </c>
      <c r="J912">
        <v>1657536983</v>
      </c>
      <c r="K912">
        <v>732930339</v>
      </c>
      <c r="L912">
        <v>573217262</v>
      </c>
      <c r="M912">
        <v>636464609</v>
      </c>
      <c r="N912">
        <v>645442351</v>
      </c>
      <c r="O912">
        <v>526231971</v>
      </c>
      <c r="P912">
        <v>359</v>
      </c>
      <c r="Q912" t="s">
        <v>2084</v>
      </c>
    </row>
    <row r="913" spans="1:17" x14ac:dyDescent="0.3">
      <c r="A913" t="s">
        <v>17</v>
      </c>
      <c r="B913" t="str">
        <f>"601968"</f>
        <v>601968</v>
      </c>
      <c r="C913" t="s">
        <v>2085</v>
      </c>
      <c r="D913" t="s">
        <v>1347</v>
      </c>
      <c r="E913">
        <v>1762911037</v>
      </c>
      <c r="F913">
        <v>1473585289</v>
      </c>
      <c r="G913">
        <v>1242617456</v>
      </c>
      <c r="H913">
        <v>1220755519</v>
      </c>
      <c r="I913">
        <v>1109733051</v>
      </c>
      <c r="J913">
        <v>932769672</v>
      </c>
      <c r="K913">
        <v>978833352</v>
      </c>
      <c r="L913">
        <v>0</v>
      </c>
      <c r="P913">
        <v>108</v>
      </c>
      <c r="Q913" t="s">
        <v>2086</v>
      </c>
    </row>
    <row r="914" spans="1:17" x14ac:dyDescent="0.3">
      <c r="A914" t="s">
        <v>75</v>
      </c>
      <c r="B914" t="str">
        <f>"300347"</f>
        <v>300347</v>
      </c>
      <c r="C914" t="s">
        <v>2087</v>
      </c>
      <c r="D914" t="s">
        <v>716</v>
      </c>
      <c r="E914">
        <v>1756953624</v>
      </c>
      <c r="F914">
        <v>970767440</v>
      </c>
      <c r="G914">
        <v>631849246</v>
      </c>
      <c r="H914">
        <v>577615854</v>
      </c>
      <c r="I914">
        <v>412155605</v>
      </c>
      <c r="J914">
        <v>345584976</v>
      </c>
      <c r="K914">
        <v>221154727</v>
      </c>
      <c r="L914">
        <v>208291649</v>
      </c>
      <c r="M914">
        <v>74491364</v>
      </c>
      <c r="N914">
        <v>60994048</v>
      </c>
      <c r="O914">
        <v>36046892</v>
      </c>
      <c r="P914">
        <v>3109</v>
      </c>
      <c r="Q914" t="s">
        <v>2088</v>
      </c>
    </row>
    <row r="915" spans="1:17" x14ac:dyDescent="0.3">
      <c r="A915" t="s">
        <v>75</v>
      </c>
      <c r="B915" t="str">
        <f>"002277"</f>
        <v>002277</v>
      </c>
      <c r="C915" t="s">
        <v>2089</v>
      </c>
      <c r="D915" t="s">
        <v>582</v>
      </c>
      <c r="E915">
        <v>1753275362</v>
      </c>
      <c r="F915">
        <v>2006458777</v>
      </c>
      <c r="G915">
        <v>1381643332</v>
      </c>
      <c r="H915">
        <v>1964584573</v>
      </c>
      <c r="I915">
        <v>2349348998</v>
      </c>
      <c r="J915">
        <v>2303013722</v>
      </c>
      <c r="K915">
        <v>2202903274</v>
      </c>
      <c r="L915">
        <v>2246305642</v>
      </c>
      <c r="M915">
        <v>2113005246</v>
      </c>
      <c r="N915">
        <v>2359984508</v>
      </c>
      <c r="O915">
        <v>1875172517</v>
      </c>
      <c r="P915">
        <v>145</v>
      </c>
      <c r="Q915" t="s">
        <v>2090</v>
      </c>
    </row>
    <row r="916" spans="1:17" x14ac:dyDescent="0.3">
      <c r="A916" t="s">
        <v>17</v>
      </c>
      <c r="B916" t="str">
        <f>"600461"</f>
        <v>600461</v>
      </c>
      <c r="C916" t="s">
        <v>2091</v>
      </c>
      <c r="D916" t="s">
        <v>1107</v>
      </c>
      <c r="E916">
        <v>1752017597</v>
      </c>
      <c r="F916">
        <v>1965076214</v>
      </c>
      <c r="G916">
        <v>1178687349</v>
      </c>
      <c r="H916">
        <v>1183436379</v>
      </c>
      <c r="I916">
        <v>1180122907</v>
      </c>
      <c r="J916">
        <v>876140083</v>
      </c>
      <c r="K916">
        <v>358707079</v>
      </c>
      <c r="L916">
        <v>370865992</v>
      </c>
      <c r="M916">
        <v>269746378</v>
      </c>
      <c r="N916">
        <v>236080002</v>
      </c>
      <c r="O916">
        <v>222187658</v>
      </c>
      <c r="P916">
        <v>366</v>
      </c>
      <c r="Q916" t="s">
        <v>2092</v>
      </c>
    </row>
    <row r="917" spans="1:17" x14ac:dyDescent="0.3">
      <c r="A917" t="s">
        <v>75</v>
      </c>
      <c r="B917" t="str">
        <f>"300409"</f>
        <v>300409</v>
      </c>
      <c r="C917" t="s">
        <v>2093</v>
      </c>
      <c r="D917" t="s">
        <v>834</v>
      </c>
      <c r="E917">
        <v>1746240110</v>
      </c>
      <c r="F917">
        <v>965261024</v>
      </c>
      <c r="G917">
        <v>493046182</v>
      </c>
      <c r="H917">
        <v>718584763</v>
      </c>
      <c r="I917">
        <v>445368573</v>
      </c>
      <c r="J917">
        <v>164899378</v>
      </c>
      <c r="K917">
        <v>105186544</v>
      </c>
      <c r="L917">
        <v>60412327</v>
      </c>
      <c r="M917">
        <v>51412226</v>
      </c>
      <c r="P917">
        <v>240</v>
      </c>
      <c r="Q917" t="s">
        <v>2094</v>
      </c>
    </row>
    <row r="918" spans="1:17" x14ac:dyDescent="0.3">
      <c r="A918" t="s">
        <v>17</v>
      </c>
      <c r="B918" t="str">
        <f>"600963"</f>
        <v>600963</v>
      </c>
      <c r="C918" t="s">
        <v>2095</v>
      </c>
      <c r="D918" t="s">
        <v>540</v>
      </c>
      <c r="E918">
        <v>1741384527</v>
      </c>
      <c r="F918">
        <v>1444698980</v>
      </c>
      <c r="G918">
        <v>1047679039</v>
      </c>
      <c r="H918">
        <v>1034415716</v>
      </c>
      <c r="I918">
        <v>1298566225</v>
      </c>
      <c r="J918">
        <v>981997701</v>
      </c>
      <c r="K918">
        <v>462717361</v>
      </c>
      <c r="L918">
        <v>778893471</v>
      </c>
      <c r="M918">
        <v>1362344116</v>
      </c>
      <c r="N918">
        <v>972506447</v>
      </c>
      <c r="O918">
        <v>962563541</v>
      </c>
      <c r="P918">
        <v>201</v>
      </c>
      <c r="Q918" t="s">
        <v>2096</v>
      </c>
    </row>
    <row r="919" spans="1:17" x14ac:dyDescent="0.3">
      <c r="A919" t="s">
        <v>75</v>
      </c>
      <c r="B919" t="str">
        <f>"300735"</f>
        <v>300735</v>
      </c>
      <c r="C919" t="s">
        <v>2097</v>
      </c>
      <c r="D919" t="s">
        <v>55</v>
      </c>
      <c r="E919">
        <v>1741084265</v>
      </c>
      <c r="F919">
        <v>367718056</v>
      </c>
      <c r="G919">
        <v>645792614</v>
      </c>
      <c r="H919">
        <v>566663640</v>
      </c>
      <c r="I919">
        <v>301450517</v>
      </c>
      <c r="J919">
        <v>401334857</v>
      </c>
      <c r="P919">
        <v>453</v>
      </c>
      <c r="Q919" t="s">
        <v>2098</v>
      </c>
    </row>
    <row r="920" spans="1:17" x14ac:dyDescent="0.3">
      <c r="A920" t="s">
        <v>75</v>
      </c>
      <c r="B920" t="str">
        <f>"300146"</f>
        <v>300146</v>
      </c>
      <c r="C920" t="s">
        <v>2099</v>
      </c>
      <c r="D920" t="s">
        <v>2100</v>
      </c>
      <c r="E920">
        <v>1736716953</v>
      </c>
      <c r="F920">
        <v>1667207039</v>
      </c>
      <c r="G920">
        <v>1061847124</v>
      </c>
      <c r="H920">
        <v>1319430312</v>
      </c>
      <c r="I920">
        <v>956576987</v>
      </c>
      <c r="J920">
        <v>661470234</v>
      </c>
      <c r="K920">
        <v>596895065</v>
      </c>
      <c r="L920">
        <v>540568956</v>
      </c>
      <c r="M920">
        <v>421305986</v>
      </c>
      <c r="N920">
        <v>337148737</v>
      </c>
      <c r="O920">
        <v>232354070</v>
      </c>
      <c r="P920">
        <v>2832</v>
      </c>
      <c r="Q920" t="s">
        <v>2101</v>
      </c>
    </row>
    <row r="921" spans="1:17" x14ac:dyDescent="0.3">
      <c r="A921" t="s">
        <v>17</v>
      </c>
      <c r="B921" t="str">
        <f>"600718"</f>
        <v>600718</v>
      </c>
      <c r="C921" t="s">
        <v>2102</v>
      </c>
      <c r="D921" t="s">
        <v>224</v>
      </c>
      <c r="E921">
        <v>1734211957</v>
      </c>
      <c r="F921">
        <v>1466652375</v>
      </c>
      <c r="G921">
        <v>1329534345</v>
      </c>
      <c r="H921">
        <v>1152267776</v>
      </c>
      <c r="I921">
        <v>1063782740</v>
      </c>
      <c r="J921">
        <v>1051039807</v>
      </c>
      <c r="K921">
        <v>1374271494</v>
      </c>
      <c r="L921">
        <v>1452094069</v>
      </c>
      <c r="M921">
        <v>1439161010</v>
      </c>
      <c r="N921">
        <v>1280620292</v>
      </c>
      <c r="O921">
        <v>1227441072</v>
      </c>
      <c r="P921">
        <v>396</v>
      </c>
      <c r="Q921" t="s">
        <v>2103</v>
      </c>
    </row>
    <row r="922" spans="1:17" x14ac:dyDescent="0.3">
      <c r="A922" t="s">
        <v>17</v>
      </c>
      <c r="B922" t="str">
        <f>"600178"</f>
        <v>600178</v>
      </c>
      <c r="C922" t="s">
        <v>2104</v>
      </c>
      <c r="D922" t="s">
        <v>172</v>
      </c>
      <c r="E922">
        <v>1733628807</v>
      </c>
      <c r="F922">
        <v>1469799732</v>
      </c>
      <c r="G922">
        <v>614133828</v>
      </c>
      <c r="H922">
        <v>401835476</v>
      </c>
      <c r="I922">
        <v>712629587</v>
      </c>
      <c r="J922">
        <v>672598519</v>
      </c>
      <c r="K922">
        <v>415597437</v>
      </c>
      <c r="L922">
        <v>242626229</v>
      </c>
      <c r="M922">
        <v>173485025</v>
      </c>
      <c r="N922">
        <v>211749230</v>
      </c>
      <c r="O922">
        <v>329876287</v>
      </c>
      <c r="P922">
        <v>119</v>
      </c>
      <c r="Q922" t="s">
        <v>2105</v>
      </c>
    </row>
    <row r="923" spans="1:17" x14ac:dyDescent="0.3">
      <c r="A923" t="s">
        <v>75</v>
      </c>
      <c r="B923" t="str">
        <f>"002281"</f>
        <v>002281</v>
      </c>
      <c r="C923" t="s">
        <v>2106</v>
      </c>
      <c r="D923" t="s">
        <v>169</v>
      </c>
      <c r="E923">
        <v>1727558315</v>
      </c>
      <c r="F923">
        <v>1763254452</v>
      </c>
      <c r="G923">
        <v>1431521179</v>
      </c>
      <c r="H923">
        <v>1464984620</v>
      </c>
      <c r="I923">
        <v>992637254</v>
      </c>
      <c r="J923">
        <v>1054939065</v>
      </c>
      <c r="K923">
        <v>816993265</v>
      </c>
      <c r="L923">
        <v>794770540</v>
      </c>
      <c r="M923">
        <v>379818417</v>
      </c>
      <c r="N923">
        <v>453200377</v>
      </c>
      <c r="O923">
        <v>252897118</v>
      </c>
      <c r="P923">
        <v>894</v>
      </c>
      <c r="Q923" t="s">
        <v>2107</v>
      </c>
    </row>
    <row r="924" spans="1:17" x14ac:dyDescent="0.3">
      <c r="A924" t="s">
        <v>75</v>
      </c>
      <c r="B924" t="str">
        <f>"300408"</f>
        <v>300408</v>
      </c>
      <c r="C924" t="s">
        <v>2108</v>
      </c>
      <c r="D924" t="s">
        <v>2109</v>
      </c>
      <c r="E924">
        <v>1726567343</v>
      </c>
      <c r="F924">
        <v>1316553805</v>
      </c>
      <c r="G924">
        <v>718138191</v>
      </c>
      <c r="H924">
        <v>1172519530</v>
      </c>
      <c r="I924">
        <v>993352766</v>
      </c>
      <c r="J924">
        <v>993879875</v>
      </c>
      <c r="K924">
        <v>921733548</v>
      </c>
      <c r="L924">
        <v>506615422</v>
      </c>
      <c r="M924">
        <v>552362368</v>
      </c>
      <c r="P924">
        <v>1510</v>
      </c>
      <c r="Q924" t="s">
        <v>2110</v>
      </c>
    </row>
    <row r="925" spans="1:17" x14ac:dyDescent="0.3">
      <c r="A925" t="s">
        <v>17</v>
      </c>
      <c r="B925" t="str">
        <f>"600736"</f>
        <v>600736</v>
      </c>
      <c r="C925" t="s">
        <v>2111</v>
      </c>
      <c r="D925" t="s">
        <v>65</v>
      </c>
      <c r="E925">
        <v>1724372256</v>
      </c>
      <c r="F925">
        <v>4524766316</v>
      </c>
      <c r="G925">
        <v>1721505736</v>
      </c>
      <c r="H925">
        <v>1226602416</v>
      </c>
      <c r="I925">
        <v>1363750187</v>
      </c>
      <c r="J925">
        <v>710477664</v>
      </c>
      <c r="K925">
        <v>1596660669</v>
      </c>
      <c r="L925">
        <v>379375275</v>
      </c>
      <c r="M925">
        <v>580585125</v>
      </c>
      <c r="N925">
        <v>866318691</v>
      </c>
      <c r="O925">
        <v>338181518</v>
      </c>
      <c r="P925">
        <v>142</v>
      </c>
      <c r="Q925" t="s">
        <v>2112</v>
      </c>
    </row>
    <row r="926" spans="1:17" x14ac:dyDescent="0.3">
      <c r="A926" t="s">
        <v>17</v>
      </c>
      <c r="B926" t="str">
        <f>"600312"</f>
        <v>600312</v>
      </c>
      <c r="C926" t="s">
        <v>2113</v>
      </c>
      <c r="D926" t="s">
        <v>347</v>
      </c>
      <c r="E926">
        <v>1723138897</v>
      </c>
      <c r="F926">
        <v>1735379380</v>
      </c>
      <c r="G926">
        <v>1453578910</v>
      </c>
      <c r="H926">
        <v>1638978009</v>
      </c>
      <c r="I926">
        <v>993155657</v>
      </c>
      <c r="J926">
        <v>889520583</v>
      </c>
      <c r="K926">
        <v>795367138</v>
      </c>
      <c r="L926">
        <v>812401221</v>
      </c>
      <c r="M926">
        <v>769902243</v>
      </c>
      <c r="N926">
        <v>286816248</v>
      </c>
      <c r="O926">
        <v>371962506</v>
      </c>
      <c r="P926">
        <v>634</v>
      </c>
      <c r="Q926" t="s">
        <v>2114</v>
      </c>
    </row>
    <row r="927" spans="1:17" x14ac:dyDescent="0.3">
      <c r="A927" t="s">
        <v>75</v>
      </c>
      <c r="B927" t="str">
        <f>"002666"</f>
        <v>002666</v>
      </c>
      <c r="C927" t="s">
        <v>2115</v>
      </c>
      <c r="D927" t="s">
        <v>292</v>
      </c>
      <c r="E927">
        <v>1721944424</v>
      </c>
      <c r="F927">
        <v>1380637480</v>
      </c>
      <c r="G927">
        <v>1292548026</v>
      </c>
      <c r="H927">
        <v>968615170</v>
      </c>
      <c r="I927">
        <v>945402999</v>
      </c>
      <c r="J927">
        <v>599272576</v>
      </c>
      <c r="K927">
        <v>548545412</v>
      </c>
      <c r="L927">
        <v>464389567</v>
      </c>
      <c r="M927">
        <v>392695379</v>
      </c>
      <c r="N927">
        <v>305866709</v>
      </c>
      <c r="O927">
        <v>264308769</v>
      </c>
      <c r="P927">
        <v>110</v>
      </c>
      <c r="Q927" t="s">
        <v>2116</v>
      </c>
    </row>
    <row r="928" spans="1:17" x14ac:dyDescent="0.3">
      <c r="A928" t="s">
        <v>17</v>
      </c>
      <c r="B928" t="str">
        <f>"600629"</f>
        <v>600629</v>
      </c>
      <c r="C928" t="s">
        <v>2117</v>
      </c>
      <c r="D928" t="s">
        <v>2118</v>
      </c>
      <c r="E928">
        <v>1711821584</v>
      </c>
      <c r="F928">
        <v>2387872212</v>
      </c>
      <c r="G928">
        <v>1775928396</v>
      </c>
      <c r="H928">
        <v>1611678891</v>
      </c>
      <c r="I928">
        <v>1365463974</v>
      </c>
      <c r="J928">
        <v>1218112278</v>
      </c>
      <c r="K928">
        <v>855269442</v>
      </c>
      <c r="L928">
        <v>82629433</v>
      </c>
      <c r="M928">
        <v>58455471</v>
      </c>
      <c r="N928">
        <v>78562784</v>
      </c>
      <c r="O928">
        <v>104729171</v>
      </c>
      <c r="P928">
        <v>151</v>
      </c>
      <c r="Q928" t="s">
        <v>2119</v>
      </c>
    </row>
    <row r="929" spans="1:17" x14ac:dyDescent="0.3">
      <c r="A929" t="s">
        <v>17</v>
      </c>
      <c r="B929" t="str">
        <f>"600743"</f>
        <v>600743</v>
      </c>
      <c r="C929" t="s">
        <v>2120</v>
      </c>
      <c r="D929" t="s">
        <v>65</v>
      </c>
      <c r="E929">
        <v>1708685680</v>
      </c>
      <c r="F929">
        <v>3074249572</v>
      </c>
      <c r="G929">
        <v>1544575740</v>
      </c>
      <c r="H929">
        <v>1927847967</v>
      </c>
      <c r="I929">
        <v>1589509480</v>
      </c>
      <c r="J929">
        <v>2254313073</v>
      </c>
      <c r="K929">
        <v>859271873</v>
      </c>
      <c r="L929">
        <v>1030322034</v>
      </c>
      <c r="M929">
        <v>697577340</v>
      </c>
      <c r="N929">
        <v>1126033271</v>
      </c>
      <c r="O929">
        <v>806156089</v>
      </c>
      <c r="P929">
        <v>603</v>
      </c>
      <c r="Q929" t="s">
        <v>2121</v>
      </c>
    </row>
    <row r="930" spans="1:17" x14ac:dyDescent="0.3">
      <c r="A930" t="s">
        <v>17</v>
      </c>
      <c r="B930" t="str">
        <f>"600639"</f>
        <v>600639</v>
      </c>
      <c r="C930" t="s">
        <v>2122</v>
      </c>
      <c r="D930" t="s">
        <v>806</v>
      </c>
      <c r="E930">
        <v>1706242417</v>
      </c>
      <c r="F930">
        <v>431924613</v>
      </c>
      <c r="G930">
        <v>395145573</v>
      </c>
      <c r="H930">
        <v>512564692</v>
      </c>
      <c r="I930">
        <v>430655607</v>
      </c>
      <c r="J930">
        <v>651760300</v>
      </c>
      <c r="K930">
        <v>326556515</v>
      </c>
      <c r="L930">
        <v>279689803</v>
      </c>
      <c r="M930">
        <v>426934238</v>
      </c>
      <c r="N930">
        <v>238361205</v>
      </c>
      <c r="O930">
        <v>235792930</v>
      </c>
      <c r="P930">
        <v>189</v>
      </c>
      <c r="Q930" t="s">
        <v>2123</v>
      </c>
    </row>
    <row r="931" spans="1:17" x14ac:dyDescent="0.3">
      <c r="A931" t="s">
        <v>75</v>
      </c>
      <c r="B931" t="str">
        <f>"002036"</f>
        <v>002036</v>
      </c>
      <c r="C931" t="s">
        <v>2124</v>
      </c>
      <c r="D931" t="s">
        <v>975</v>
      </c>
      <c r="E931">
        <v>1705575742</v>
      </c>
      <c r="F931">
        <v>1810142111</v>
      </c>
      <c r="G931">
        <v>1346616326</v>
      </c>
      <c r="H931">
        <v>1198531635</v>
      </c>
      <c r="I931">
        <v>1180305260</v>
      </c>
      <c r="J931">
        <v>804101518</v>
      </c>
      <c r="K931">
        <v>343241158</v>
      </c>
      <c r="L931">
        <v>110268754</v>
      </c>
      <c r="M931">
        <v>75794530</v>
      </c>
      <c r="N931">
        <v>71855597</v>
      </c>
      <c r="O931">
        <v>81854118</v>
      </c>
      <c r="P931">
        <v>548</v>
      </c>
      <c r="Q931" t="s">
        <v>2125</v>
      </c>
    </row>
    <row r="932" spans="1:17" x14ac:dyDescent="0.3">
      <c r="A932" t="s">
        <v>17</v>
      </c>
      <c r="B932" t="str">
        <f>"600329"</f>
        <v>600329</v>
      </c>
      <c r="C932" t="s">
        <v>2126</v>
      </c>
      <c r="D932" t="s">
        <v>321</v>
      </c>
      <c r="E932">
        <v>1696685996</v>
      </c>
      <c r="F932">
        <v>1518564274</v>
      </c>
      <c r="G932">
        <v>1194225469</v>
      </c>
      <c r="H932">
        <v>1436734452</v>
      </c>
      <c r="I932">
        <v>1483915957</v>
      </c>
      <c r="J932">
        <v>1236002942</v>
      </c>
      <c r="K932">
        <v>1416047274</v>
      </c>
      <c r="L932">
        <v>1505974569</v>
      </c>
      <c r="M932">
        <v>1189166276</v>
      </c>
      <c r="N932">
        <v>1134374161</v>
      </c>
      <c r="O932">
        <v>921279287</v>
      </c>
      <c r="P932">
        <v>553</v>
      </c>
      <c r="Q932" t="s">
        <v>2127</v>
      </c>
    </row>
    <row r="933" spans="1:17" x14ac:dyDescent="0.3">
      <c r="A933" t="s">
        <v>75</v>
      </c>
      <c r="B933" t="str">
        <f>"000672"</f>
        <v>000672</v>
      </c>
      <c r="C933" t="s">
        <v>2128</v>
      </c>
      <c r="D933" t="s">
        <v>191</v>
      </c>
      <c r="E933">
        <v>1696031434</v>
      </c>
      <c r="F933">
        <v>1243773893</v>
      </c>
      <c r="G933">
        <v>1291527608</v>
      </c>
      <c r="H933">
        <v>1731834739</v>
      </c>
      <c r="I933">
        <v>974360603</v>
      </c>
      <c r="J933">
        <v>932861969</v>
      </c>
      <c r="K933">
        <v>483425925</v>
      </c>
      <c r="L933">
        <v>671828014</v>
      </c>
      <c r="M933">
        <v>932921489</v>
      </c>
      <c r="N933">
        <v>2368740</v>
      </c>
      <c r="O933">
        <v>4759223</v>
      </c>
      <c r="P933">
        <v>1263</v>
      </c>
      <c r="Q933" t="s">
        <v>2129</v>
      </c>
    </row>
    <row r="934" spans="1:17" x14ac:dyDescent="0.3">
      <c r="A934" t="s">
        <v>17</v>
      </c>
      <c r="B934" t="str">
        <f>"600663"</f>
        <v>600663</v>
      </c>
      <c r="C934" t="s">
        <v>2130</v>
      </c>
      <c r="D934" t="s">
        <v>179</v>
      </c>
      <c r="E934">
        <v>1692763049</v>
      </c>
      <c r="F934">
        <v>3636897267</v>
      </c>
      <c r="G934">
        <v>1216826501</v>
      </c>
      <c r="H934">
        <v>2385921970</v>
      </c>
      <c r="I934">
        <v>1180886924</v>
      </c>
      <c r="J934">
        <v>1417341213</v>
      </c>
      <c r="K934">
        <v>2108575540</v>
      </c>
      <c r="L934">
        <v>1249641418</v>
      </c>
      <c r="M934">
        <v>1230338563</v>
      </c>
      <c r="N934">
        <v>1182674671</v>
      </c>
      <c r="O934">
        <v>1867556273</v>
      </c>
      <c r="P934">
        <v>700</v>
      </c>
      <c r="Q934" t="s">
        <v>2131</v>
      </c>
    </row>
    <row r="935" spans="1:17" x14ac:dyDescent="0.3">
      <c r="A935" t="s">
        <v>75</v>
      </c>
      <c r="B935" t="str">
        <f>"300476"</f>
        <v>300476</v>
      </c>
      <c r="C935" t="s">
        <v>2132</v>
      </c>
      <c r="D935" t="s">
        <v>567</v>
      </c>
      <c r="E935">
        <v>1691758548</v>
      </c>
      <c r="F935">
        <v>1455109134</v>
      </c>
      <c r="G935">
        <v>926672108</v>
      </c>
      <c r="H935">
        <v>712131822</v>
      </c>
      <c r="I935">
        <v>526897914</v>
      </c>
      <c r="J935">
        <v>440383150</v>
      </c>
      <c r="K935">
        <v>342468270</v>
      </c>
      <c r="L935">
        <v>0</v>
      </c>
      <c r="M935">
        <v>0</v>
      </c>
      <c r="P935">
        <v>633</v>
      </c>
      <c r="Q935" t="s">
        <v>2133</v>
      </c>
    </row>
    <row r="936" spans="1:17" x14ac:dyDescent="0.3">
      <c r="A936" t="s">
        <v>75</v>
      </c>
      <c r="B936" t="str">
        <f>"002043"</f>
        <v>002043</v>
      </c>
      <c r="C936" t="s">
        <v>2134</v>
      </c>
      <c r="D936" t="s">
        <v>1257</v>
      </c>
      <c r="E936">
        <v>1685788000</v>
      </c>
      <c r="F936">
        <v>1564571025</v>
      </c>
      <c r="G936">
        <v>587172289</v>
      </c>
      <c r="H936">
        <v>708345324</v>
      </c>
      <c r="I936">
        <v>707799559</v>
      </c>
      <c r="J936">
        <v>757854546</v>
      </c>
      <c r="K936">
        <v>450531290</v>
      </c>
      <c r="L936">
        <v>267203016</v>
      </c>
      <c r="M936">
        <v>221714302</v>
      </c>
      <c r="N936">
        <v>219661332</v>
      </c>
      <c r="O936">
        <v>191401146</v>
      </c>
      <c r="P936">
        <v>665</v>
      </c>
      <c r="Q936" t="s">
        <v>2135</v>
      </c>
    </row>
    <row r="937" spans="1:17" x14ac:dyDescent="0.3">
      <c r="A937" t="s">
        <v>75</v>
      </c>
      <c r="B937" t="str">
        <f>"002537"</f>
        <v>002537</v>
      </c>
      <c r="C937" t="s">
        <v>2136</v>
      </c>
      <c r="D937" t="s">
        <v>194</v>
      </c>
      <c r="E937">
        <v>1685213828</v>
      </c>
      <c r="F937">
        <v>1363838889</v>
      </c>
      <c r="G937">
        <v>1140740677</v>
      </c>
      <c r="H937">
        <v>956720424</v>
      </c>
      <c r="I937">
        <v>817523343</v>
      </c>
      <c r="J937">
        <v>545270687</v>
      </c>
      <c r="K937">
        <v>350046167</v>
      </c>
      <c r="L937">
        <v>439424615</v>
      </c>
      <c r="M937">
        <v>548906688</v>
      </c>
      <c r="N937">
        <v>522879890</v>
      </c>
      <c r="O937">
        <v>244946755</v>
      </c>
      <c r="P937">
        <v>182</v>
      </c>
      <c r="Q937" t="s">
        <v>2137</v>
      </c>
    </row>
    <row r="938" spans="1:17" x14ac:dyDescent="0.3">
      <c r="A938" t="s">
        <v>17</v>
      </c>
      <c r="B938" t="str">
        <f>"600559"</f>
        <v>600559</v>
      </c>
      <c r="C938" t="s">
        <v>2138</v>
      </c>
      <c r="D938" t="s">
        <v>201</v>
      </c>
      <c r="E938">
        <v>1683995981</v>
      </c>
      <c r="F938">
        <v>1461225314</v>
      </c>
      <c r="G938">
        <v>786625241</v>
      </c>
      <c r="H938">
        <v>1166326762</v>
      </c>
      <c r="I938">
        <v>790329290</v>
      </c>
      <c r="J938">
        <v>670857520</v>
      </c>
      <c r="K938">
        <v>492498049</v>
      </c>
      <c r="L938">
        <v>848430106</v>
      </c>
      <c r="M938">
        <v>973952270</v>
      </c>
      <c r="N938">
        <v>623589818</v>
      </c>
      <c r="O938">
        <v>473636486</v>
      </c>
      <c r="P938">
        <v>881</v>
      </c>
      <c r="Q938" t="s">
        <v>2139</v>
      </c>
    </row>
    <row r="939" spans="1:17" x14ac:dyDescent="0.3">
      <c r="A939" t="s">
        <v>17</v>
      </c>
      <c r="B939" t="str">
        <f>"601702"</f>
        <v>601702</v>
      </c>
      <c r="C939" t="s">
        <v>2140</v>
      </c>
      <c r="D939" t="s">
        <v>96</v>
      </c>
      <c r="E939">
        <v>1681933323</v>
      </c>
      <c r="F939">
        <v>1023084236</v>
      </c>
      <c r="G939">
        <v>1142715171</v>
      </c>
      <c r="P939">
        <v>116</v>
      </c>
      <c r="Q939" t="s">
        <v>2141</v>
      </c>
    </row>
    <row r="940" spans="1:17" x14ac:dyDescent="0.3">
      <c r="A940" t="s">
        <v>17</v>
      </c>
      <c r="B940" t="str">
        <f>"600017"</f>
        <v>600017</v>
      </c>
      <c r="C940" t="s">
        <v>2142</v>
      </c>
      <c r="D940" t="s">
        <v>383</v>
      </c>
      <c r="E940">
        <v>1679150440</v>
      </c>
      <c r="F940">
        <v>1202960173</v>
      </c>
      <c r="G940">
        <v>1006976784</v>
      </c>
      <c r="H940">
        <v>1155346750</v>
      </c>
      <c r="I940">
        <v>999451877</v>
      </c>
      <c r="J940">
        <v>908187331</v>
      </c>
      <c r="K940">
        <v>799035366</v>
      </c>
      <c r="L940">
        <v>963496060</v>
      </c>
      <c r="M940">
        <v>1027160509</v>
      </c>
      <c r="N940">
        <v>970406666</v>
      </c>
      <c r="O940">
        <v>824018125</v>
      </c>
      <c r="P940">
        <v>180</v>
      </c>
      <c r="Q940" t="s">
        <v>2143</v>
      </c>
    </row>
    <row r="941" spans="1:17" x14ac:dyDescent="0.3">
      <c r="A941" t="s">
        <v>17</v>
      </c>
      <c r="B941" t="str">
        <f>"601158"</f>
        <v>601158</v>
      </c>
      <c r="C941" t="s">
        <v>2144</v>
      </c>
      <c r="D941" t="s">
        <v>1107</v>
      </c>
      <c r="E941">
        <v>1675980686</v>
      </c>
      <c r="F941">
        <v>1595190111</v>
      </c>
      <c r="G941">
        <v>1407323131</v>
      </c>
      <c r="H941">
        <v>1544549964</v>
      </c>
      <c r="I941">
        <v>1423519339</v>
      </c>
      <c r="J941">
        <v>1335002893</v>
      </c>
      <c r="K941">
        <v>1214440903</v>
      </c>
      <c r="L941">
        <v>1171833056</v>
      </c>
      <c r="M941">
        <v>1426302753</v>
      </c>
      <c r="N941">
        <v>1132338569</v>
      </c>
      <c r="O941">
        <v>1016422543</v>
      </c>
      <c r="P941">
        <v>587</v>
      </c>
      <c r="Q941" t="s">
        <v>2145</v>
      </c>
    </row>
    <row r="942" spans="1:17" x14ac:dyDescent="0.3">
      <c r="A942" t="s">
        <v>75</v>
      </c>
      <c r="B942" t="str">
        <f>"002353"</f>
        <v>002353</v>
      </c>
      <c r="C942" t="s">
        <v>2146</v>
      </c>
      <c r="D942" t="s">
        <v>786</v>
      </c>
      <c r="E942">
        <v>1671919005</v>
      </c>
      <c r="F942">
        <v>1455128702</v>
      </c>
      <c r="G942">
        <v>1433310253</v>
      </c>
      <c r="H942">
        <v>1125877545</v>
      </c>
      <c r="I942">
        <v>909944712</v>
      </c>
      <c r="J942">
        <v>573823830</v>
      </c>
      <c r="K942">
        <v>615902608</v>
      </c>
      <c r="L942">
        <v>925027629</v>
      </c>
      <c r="M942">
        <v>781931979</v>
      </c>
      <c r="N942">
        <v>553324773</v>
      </c>
      <c r="O942">
        <v>323637351</v>
      </c>
      <c r="P942">
        <v>861</v>
      </c>
      <c r="Q942" t="s">
        <v>2147</v>
      </c>
    </row>
    <row r="943" spans="1:17" x14ac:dyDescent="0.3">
      <c r="A943" t="s">
        <v>75</v>
      </c>
      <c r="B943" t="str">
        <f>"002124"</f>
        <v>002124</v>
      </c>
      <c r="C943" t="s">
        <v>2148</v>
      </c>
      <c r="D943" t="s">
        <v>218</v>
      </c>
      <c r="E943">
        <v>1670330903</v>
      </c>
      <c r="F943">
        <v>3536490384</v>
      </c>
      <c r="G943">
        <v>1977962971</v>
      </c>
      <c r="H943">
        <v>1231017702</v>
      </c>
      <c r="I943">
        <v>876337259</v>
      </c>
      <c r="J943">
        <v>558323909</v>
      </c>
      <c r="K943">
        <v>324277095</v>
      </c>
      <c r="L943">
        <v>454067356</v>
      </c>
      <c r="M943">
        <v>438993977</v>
      </c>
      <c r="N943">
        <v>367398953</v>
      </c>
      <c r="O943">
        <v>368406243</v>
      </c>
      <c r="P943">
        <v>922</v>
      </c>
      <c r="Q943" t="s">
        <v>2149</v>
      </c>
    </row>
    <row r="944" spans="1:17" x14ac:dyDescent="0.3">
      <c r="A944" t="s">
        <v>75</v>
      </c>
      <c r="B944" t="str">
        <f>"002126"</f>
        <v>002126</v>
      </c>
      <c r="C944" t="s">
        <v>2150</v>
      </c>
      <c r="D944" t="s">
        <v>172</v>
      </c>
      <c r="E944">
        <v>1665308053</v>
      </c>
      <c r="F944">
        <v>1508069144</v>
      </c>
      <c r="G944">
        <v>1095706911</v>
      </c>
      <c r="H944">
        <v>872206493</v>
      </c>
      <c r="I944">
        <v>790677926</v>
      </c>
      <c r="J944">
        <v>605729540</v>
      </c>
      <c r="K944">
        <v>390794000</v>
      </c>
      <c r="L944">
        <v>434984301</v>
      </c>
      <c r="M944">
        <v>435186807</v>
      </c>
      <c r="N944">
        <v>210091772</v>
      </c>
      <c r="O944">
        <v>366135339</v>
      </c>
      <c r="P944">
        <v>450</v>
      </c>
      <c r="Q944" t="s">
        <v>2151</v>
      </c>
    </row>
    <row r="945" spans="1:17" x14ac:dyDescent="0.3">
      <c r="A945" t="s">
        <v>75</v>
      </c>
      <c r="B945" t="str">
        <f>"000910"</f>
        <v>000910</v>
      </c>
      <c r="C945" t="s">
        <v>2152</v>
      </c>
      <c r="D945" t="s">
        <v>2153</v>
      </c>
      <c r="E945">
        <v>1664093381</v>
      </c>
      <c r="F945">
        <v>1623250941</v>
      </c>
      <c r="G945">
        <v>929601134</v>
      </c>
      <c r="H945">
        <v>1394598518</v>
      </c>
      <c r="I945">
        <v>1354088066</v>
      </c>
      <c r="J945">
        <v>1261799703</v>
      </c>
      <c r="K945">
        <v>1064252636</v>
      </c>
      <c r="L945">
        <v>1786960279</v>
      </c>
      <c r="M945">
        <v>1527389605</v>
      </c>
      <c r="N945">
        <v>1385599641</v>
      </c>
      <c r="O945">
        <v>1272227396</v>
      </c>
      <c r="P945">
        <v>813</v>
      </c>
      <c r="Q945" t="s">
        <v>2154</v>
      </c>
    </row>
    <row r="946" spans="1:17" x14ac:dyDescent="0.3">
      <c r="A946" t="s">
        <v>17</v>
      </c>
      <c r="B946" t="str">
        <f>"600533"</f>
        <v>600533</v>
      </c>
      <c r="C946" t="s">
        <v>2155</v>
      </c>
      <c r="D946" t="s">
        <v>65</v>
      </c>
      <c r="E946">
        <v>1659856304</v>
      </c>
      <c r="F946">
        <v>1922929507</v>
      </c>
      <c r="G946">
        <v>366852248</v>
      </c>
      <c r="H946">
        <v>1157995883</v>
      </c>
      <c r="I946">
        <v>362991659</v>
      </c>
      <c r="J946">
        <v>300348240</v>
      </c>
      <c r="K946">
        <v>693056852</v>
      </c>
      <c r="L946">
        <v>1088405769</v>
      </c>
      <c r="M946">
        <v>559392685</v>
      </c>
      <c r="N946">
        <v>1046459634</v>
      </c>
      <c r="O946">
        <v>546776836</v>
      </c>
      <c r="P946">
        <v>199</v>
      </c>
      <c r="Q946" t="s">
        <v>2156</v>
      </c>
    </row>
    <row r="947" spans="1:17" x14ac:dyDescent="0.3">
      <c r="A947" t="s">
        <v>17</v>
      </c>
      <c r="B947" t="str">
        <f>"688728"</f>
        <v>688728</v>
      </c>
      <c r="C947" t="s">
        <v>2157</v>
      </c>
      <c r="D947" t="s">
        <v>883</v>
      </c>
      <c r="E947">
        <v>1659549724</v>
      </c>
      <c r="F947">
        <v>2211982727</v>
      </c>
      <c r="G947">
        <v>1185842871</v>
      </c>
      <c r="P947">
        <v>58</v>
      </c>
      <c r="Q947" t="s">
        <v>2158</v>
      </c>
    </row>
    <row r="948" spans="1:17" x14ac:dyDescent="0.3">
      <c r="A948" t="s">
        <v>17</v>
      </c>
      <c r="B948" t="str">
        <f>"603053"</f>
        <v>603053</v>
      </c>
      <c r="C948" t="s">
        <v>2159</v>
      </c>
      <c r="D948" t="s">
        <v>147</v>
      </c>
      <c r="E948">
        <v>1657512931</v>
      </c>
      <c r="F948">
        <v>1523556490</v>
      </c>
      <c r="G948">
        <v>1094528885</v>
      </c>
      <c r="H948">
        <v>1508062131</v>
      </c>
      <c r="P948">
        <v>118</v>
      </c>
      <c r="Q948" t="s">
        <v>2160</v>
      </c>
    </row>
    <row r="949" spans="1:17" x14ac:dyDescent="0.3">
      <c r="A949" t="s">
        <v>75</v>
      </c>
      <c r="B949" t="str">
        <f>"300773"</f>
        <v>300773</v>
      </c>
      <c r="C949" t="s">
        <v>2161</v>
      </c>
      <c r="D949" t="s">
        <v>2162</v>
      </c>
      <c r="E949">
        <v>1656302949</v>
      </c>
      <c r="F949">
        <v>1884208419</v>
      </c>
      <c r="G949">
        <v>1283361470</v>
      </c>
      <c r="H949">
        <v>1543483206</v>
      </c>
      <c r="I949">
        <v>1498174688</v>
      </c>
      <c r="P949">
        <v>472</v>
      </c>
      <c r="Q949" t="s">
        <v>2163</v>
      </c>
    </row>
    <row r="950" spans="1:17" x14ac:dyDescent="0.3">
      <c r="A950" t="s">
        <v>75</v>
      </c>
      <c r="B950" t="str">
        <f>"200026"</f>
        <v>200026</v>
      </c>
      <c r="C950" t="s">
        <v>2164</v>
      </c>
      <c r="E950">
        <v>1655381566.632</v>
      </c>
      <c r="F950">
        <v>1804408551.1689999</v>
      </c>
      <c r="G950">
        <v>784060750.76040006</v>
      </c>
      <c r="H950">
        <v>1139921494.6428001</v>
      </c>
      <c r="I950">
        <v>1183711465.2679999</v>
      </c>
      <c r="J950">
        <v>1017358214.085</v>
      </c>
      <c r="K950">
        <v>972803677.39279997</v>
      </c>
      <c r="L950">
        <v>1159533037.5</v>
      </c>
      <c r="M950">
        <v>1104769530.1271999</v>
      </c>
      <c r="N950">
        <v>1037568207.5208</v>
      </c>
      <c r="O950">
        <v>971377199.51400006</v>
      </c>
      <c r="P950">
        <v>52</v>
      </c>
      <c r="Q950" t="s">
        <v>2165</v>
      </c>
    </row>
    <row r="951" spans="1:17" x14ac:dyDescent="0.3">
      <c r="A951" t="s">
        <v>75</v>
      </c>
      <c r="B951" t="str">
        <f>"002643"</f>
        <v>002643</v>
      </c>
      <c r="C951" t="s">
        <v>2166</v>
      </c>
      <c r="D951" t="s">
        <v>1853</v>
      </c>
      <c r="E951">
        <v>1653088310</v>
      </c>
      <c r="F951">
        <v>1034520538</v>
      </c>
      <c r="G951">
        <v>812116941</v>
      </c>
      <c r="H951">
        <v>767279405</v>
      </c>
      <c r="I951">
        <v>623842873</v>
      </c>
      <c r="J951">
        <v>633299707</v>
      </c>
      <c r="K951">
        <v>455359541</v>
      </c>
      <c r="L951">
        <v>403182545</v>
      </c>
      <c r="M951">
        <v>215608726</v>
      </c>
      <c r="N951">
        <v>225880063</v>
      </c>
      <c r="O951">
        <v>137433503</v>
      </c>
      <c r="P951">
        <v>387</v>
      </c>
      <c r="Q951" t="s">
        <v>2167</v>
      </c>
    </row>
    <row r="952" spans="1:17" x14ac:dyDescent="0.3">
      <c r="A952" t="s">
        <v>75</v>
      </c>
      <c r="B952" t="str">
        <f>"000698"</f>
        <v>000698</v>
      </c>
      <c r="C952" t="s">
        <v>2168</v>
      </c>
      <c r="D952" t="s">
        <v>19</v>
      </c>
      <c r="E952">
        <v>1641491767</v>
      </c>
      <c r="F952">
        <v>2679793634</v>
      </c>
      <c r="G952">
        <v>1162338292</v>
      </c>
      <c r="H952">
        <v>3018749322</v>
      </c>
      <c r="I952">
        <v>2073143661</v>
      </c>
      <c r="J952">
        <v>3120517651</v>
      </c>
      <c r="K952">
        <v>2145477052</v>
      </c>
      <c r="L952">
        <v>1780836672</v>
      </c>
      <c r="M952">
        <v>3125797173</v>
      </c>
      <c r="N952">
        <v>2086518501</v>
      </c>
      <c r="O952">
        <v>2662996491</v>
      </c>
      <c r="P952">
        <v>166</v>
      </c>
      <c r="Q952" t="s">
        <v>2169</v>
      </c>
    </row>
    <row r="953" spans="1:17" x14ac:dyDescent="0.3">
      <c r="A953" t="s">
        <v>75</v>
      </c>
      <c r="B953" t="str">
        <f>"002597"</f>
        <v>002597</v>
      </c>
      <c r="C953" t="s">
        <v>2170</v>
      </c>
      <c r="D953" t="s">
        <v>1291</v>
      </c>
      <c r="E953">
        <v>1641445693</v>
      </c>
      <c r="F953">
        <v>1158415566</v>
      </c>
      <c r="G953">
        <v>893839308</v>
      </c>
      <c r="H953">
        <v>888698157</v>
      </c>
      <c r="I953">
        <v>1315330945</v>
      </c>
      <c r="J953">
        <v>1154909142</v>
      </c>
      <c r="K953">
        <v>950627847</v>
      </c>
      <c r="L953">
        <v>781950798</v>
      </c>
      <c r="M953">
        <v>847130401</v>
      </c>
      <c r="N953">
        <v>772127708</v>
      </c>
      <c r="O953">
        <v>738551716</v>
      </c>
      <c r="P953">
        <v>1878</v>
      </c>
      <c r="Q953" t="s">
        <v>2171</v>
      </c>
    </row>
    <row r="954" spans="1:17" x14ac:dyDescent="0.3">
      <c r="A954" t="s">
        <v>75</v>
      </c>
      <c r="B954" t="str">
        <f>"300088"</f>
        <v>300088</v>
      </c>
      <c r="C954" t="s">
        <v>2172</v>
      </c>
      <c r="D954" t="s">
        <v>128</v>
      </c>
      <c r="E954">
        <v>1639760098</v>
      </c>
      <c r="F954">
        <v>1098686303</v>
      </c>
      <c r="G954">
        <v>1054273595</v>
      </c>
      <c r="H954">
        <v>1682553612</v>
      </c>
      <c r="I954">
        <v>1118946502</v>
      </c>
      <c r="J954">
        <v>1022505659</v>
      </c>
      <c r="K954">
        <v>460179652</v>
      </c>
      <c r="L954">
        <v>421157394</v>
      </c>
      <c r="M954">
        <v>207861894</v>
      </c>
      <c r="N954">
        <v>218796986</v>
      </c>
      <c r="O954">
        <v>139399826</v>
      </c>
      <c r="P954">
        <v>950</v>
      </c>
      <c r="Q954" t="s">
        <v>2173</v>
      </c>
    </row>
    <row r="955" spans="1:17" x14ac:dyDescent="0.3">
      <c r="A955" t="s">
        <v>17</v>
      </c>
      <c r="B955" t="str">
        <f>"600777"</f>
        <v>600777</v>
      </c>
      <c r="C955" t="s">
        <v>2174</v>
      </c>
      <c r="D955" t="s">
        <v>2175</v>
      </c>
      <c r="E955">
        <v>1638651033</v>
      </c>
      <c r="F955">
        <v>748616366</v>
      </c>
      <c r="G955">
        <v>1920905950</v>
      </c>
      <c r="H955">
        <v>1033206766</v>
      </c>
      <c r="I955">
        <v>935093412</v>
      </c>
      <c r="J955">
        <v>64338963</v>
      </c>
      <c r="K955">
        <v>94624454</v>
      </c>
      <c r="L955">
        <v>102604513</v>
      </c>
      <c r="M955">
        <v>261629177</v>
      </c>
      <c r="N955">
        <v>326514817</v>
      </c>
      <c r="O955">
        <v>161689677</v>
      </c>
      <c r="P955">
        <v>212</v>
      </c>
      <c r="Q955" t="s">
        <v>2176</v>
      </c>
    </row>
    <row r="956" spans="1:17" x14ac:dyDescent="0.3">
      <c r="A956" t="s">
        <v>17</v>
      </c>
      <c r="B956" t="str">
        <f>"603866"</f>
        <v>603866</v>
      </c>
      <c r="C956" t="s">
        <v>2177</v>
      </c>
      <c r="D956" t="s">
        <v>2178</v>
      </c>
      <c r="E956">
        <v>1632578806</v>
      </c>
      <c r="F956">
        <v>1511717043</v>
      </c>
      <c r="G956">
        <v>1430306255</v>
      </c>
      <c r="H956">
        <v>1309215308</v>
      </c>
      <c r="I956">
        <v>1140831346</v>
      </c>
      <c r="J956">
        <v>959832084</v>
      </c>
      <c r="K956">
        <v>770641422</v>
      </c>
      <c r="L956">
        <v>0</v>
      </c>
      <c r="P956">
        <v>7676</v>
      </c>
      <c r="Q956" t="s">
        <v>2179</v>
      </c>
    </row>
    <row r="957" spans="1:17" x14ac:dyDescent="0.3">
      <c r="A957" t="s">
        <v>75</v>
      </c>
      <c r="B957" t="str">
        <f>"002423"</f>
        <v>002423</v>
      </c>
      <c r="C957" t="s">
        <v>2180</v>
      </c>
      <c r="D957" t="s">
        <v>370</v>
      </c>
      <c r="E957">
        <v>1628388258</v>
      </c>
      <c r="F957">
        <v>3434527288</v>
      </c>
      <c r="G957">
        <v>0</v>
      </c>
      <c r="H957">
        <v>71060305</v>
      </c>
      <c r="I957">
        <v>287984228</v>
      </c>
      <c r="J957">
        <v>273074708</v>
      </c>
      <c r="K957">
        <v>276747753</v>
      </c>
      <c r="L957">
        <v>302331540</v>
      </c>
      <c r="M957">
        <v>403208947</v>
      </c>
      <c r="N957">
        <v>408317298</v>
      </c>
      <c r="O957">
        <v>395879166</v>
      </c>
      <c r="P957">
        <v>145</v>
      </c>
      <c r="Q957" t="s">
        <v>2181</v>
      </c>
    </row>
    <row r="958" spans="1:17" x14ac:dyDescent="0.3">
      <c r="A958" t="s">
        <v>17</v>
      </c>
      <c r="B958" t="str">
        <f>"600433"</f>
        <v>600433</v>
      </c>
      <c r="C958" t="s">
        <v>2182</v>
      </c>
      <c r="D958" t="s">
        <v>2183</v>
      </c>
      <c r="E958">
        <v>1625766923</v>
      </c>
      <c r="F958">
        <v>430196424</v>
      </c>
      <c r="G958">
        <v>328962295</v>
      </c>
      <c r="H958">
        <v>452395877</v>
      </c>
      <c r="I958">
        <v>451145422</v>
      </c>
      <c r="J958">
        <v>391573928</v>
      </c>
      <c r="K958">
        <v>250762871</v>
      </c>
      <c r="L958">
        <v>221353257</v>
      </c>
      <c r="M958">
        <v>159308287</v>
      </c>
      <c r="N958">
        <v>183554700</v>
      </c>
      <c r="O958">
        <v>175422176</v>
      </c>
      <c r="P958">
        <v>105</v>
      </c>
      <c r="Q958" t="s">
        <v>2184</v>
      </c>
    </row>
    <row r="959" spans="1:17" x14ac:dyDescent="0.3">
      <c r="A959" t="s">
        <v>75</v>
      </c>
      <c r="B959" t="str">
        <f>"300618"</f>
        <v>300618</v>
      </c>
      <c r="C959" t="s">
        <v>2185</v>
      </c>
      <c r="D959" t="s">
        <v>436</v>
      </c>
      <c r="E959">
        <v>1623132620</v>
      </c>
      <c r="F959">
        <v>887041365</v>
      </c>
      <c r="G959">
        <v>569795320</v>
      </c>
      <c r="H959">
        <v>655436341</v>
      </c>
      <c r="I959">
        <v>607636338</v>
      </c>
      <c r="J959">
        <v>205292733</v>
      </c>
      <c r="K959">
        <v>110398063</v>
      </c>
      <c r="P959">
        <v>574</v>
      </c>
      <c r="Q959" t="s">
        <v>2186</v>
      </c>
    </row>
    <row r="960" spans="1:17" x14ac:dyDescent="0.3">
      <c r="A960" t="s">
        <v>75</v>
      </c>
      <c r="B960" t="str">
        <f>"002274"</f>
        <v>002274</v>
      </c>
      <c r="C960" t="s">
        <v>2187</v>
      </c>
      <c r="D960" t="s">
        <v>1047</v>
      </c>
      <c r="E960">
        <v>1618718538</v>
      </c>
      <c r="F960">
        <v>1510221703</v>
      </c>
      <c r="G960">
        <v>704110159</v>
      </c>
      <c r="H960">
        <v>1085324945</v>
      </c>
      <c r="I960">
        <v>826558435</v>
      </c>
      <c r="J960">
        <v>1454943446</v>
      </c>
      <c r="K960">
        <v>965984904</v>
      </c>
      <c r="L960">
        <v>1055889191</v>
      </c>
      <c r="M960">
        <v>1107688162</v>
      </c>
      <c r="N960">
        <v>1050011679</v>
      </c>
      <c r="O960">
        <v>1002223776</v>
      </c>
      <c r="P960">
        <v>217</v>
      </c>
      <c r="Q960" t="s">
        <v>2188</v>
      </c>
    </row>
    <row r="961" spans="1:17" x14ac:dyDescent="0.3">
      <c r="A961" t="s">
        <v>75</v>
      </c>
      <c r="B961" t="str">
        <f>"000969"</f>
        <v>000969</v>
      </c>
      <c r="C961" t="s">
        <v>2189</v>
      </c>
      <c r="D961" t="s">
        <v>1526</v>
      </c>
      <c r="E961">
        <v>1617212235</v>
      </c>
      <c r="F961">
        <v>1275061970</v>
      </c>
      <c r="G961">
        <v>879128796</v>
      </c>
      <c r="H961">
        <v>1010272078</v>
      </c>
      <c r="I961">
        <v>1019117751</v>
      </c>
      <c r="J961">
        <v>882283978</v>
      </c>
      <c r="K961">
        <v>993717922</v>
      </c>
      <c r="L961">
        <v>721454681</v>
      </c>
      <c r="M961">
        <v>827004439</v>
      </c>
      <c r="N961">
        <v>920241970</v>
      </c>
      <c r="O961">
        <v>1036023488</v>
      </c>
      <c r="P961">
        <v>224</v>
      </c>
      <c r="Q961" t="s">
        <v>2190</v>
      </c>
    </row>
    <row r="962" spans="1:17" x14ac:dyDescent="0.3">
      <c r="A962" t="s">
        <v>17</v>
      </c>
      <c r="B962" t="str">
        <f>"600399"</f>
        <v>600399</v>
      </c>
      <c r="C962" t="s">
        <v>2191</v>
      </c>
      <c r="D962" t="s">
        <v>238</v>
      </c>
      <c r="E962">
        <v>1615651675</v>
      </c>
      <c r="F962">
        <v>932556041</v>
      </c>
      <c r="G962">
        <v>1044275259</v>
      </c>
      <c r="H962">
        <v>1562671676</v>
      </c>
      <c r="I962">
        <v>1690189074</v>
      </c>
      <c r="J962">
        <v>1622886888</v>
      </c>
      <c r="K962">
        <v>1166488013</v>
      </c>
      <c r="L962">
        <v>1122663246</v>
      </c>
      <c r="M962">
        <v>1520339168</v>
      </c>
      <c r="N962">
        <v>1459459389</v>
      </c>
      <c r="O962">
        <v>1376341825</v>
      </c>
      <c r="P962">
        <v>256</v>
      </c>
      <c r="Q962" t="s">
        <v>2192</v>
      </c>
    </row>
    <row r="963" spans="1:17" x14ac:dyDescent="0.3">
      <c r="A963" t="s">
        <v>17</v>
      </c>
      <c r="B963" t="str">
        <f>"603198"</f>
        <v>603198</v>
      </c>
      <c r="C963" t="s">
        <v>2193</v>
      </c>
      <c r="D963" t="s">
        <v>201</v>
      </c>
      <c r="E963">
        <v>1615015411</v>
      </c>
      <c r="F963">
        <v>1187632426</v>
      </c>
      <c r="G963">
        <v>512008590</v>
      </c>
      <c r="H963">
        <v>1014832792</v>
      </c>
      <c r="I963">
        <v>1037836435</v>
      </c>
      <c r="J963">
        <v>879110454</v>
      </c>
      <c r="K963">
        <v>854728320</v>
      </c>
      <c r="L963">
        <v>0</v>
      </c>
      <c r="M963">
        <v>0</v>
      </c>
      <c r="P963">
        <v>5968</v>
      </c>
      <c r="Q963" t="s">
        <v>2194</v>
      </c>
    </row>
    <row r="964" spans="1:17" x14ac:dyDescent="0.3">
      <c r="A964" t="s">
        <v>75</v>
      </c>
      <c r="B964" t="str">
        <f>"002223"</f>
        <v>002223</v>
      </c>
      <c r="C964" t="s">
        <v>2195</v>
      </c>
      <c r="D964" t="s">
        <v>334</v>
      </c>
      <c r="E964">
        <v>1614206083</v>
      </c>
      <c r="F964">
        <v>1409954355</v>
      </c>
      <c r="G964">
        <v>1863259128</v>
      </c>
      <c r="H964">
        <v>846686924</v>
      </c>
      <c r="I964">
        <v>743191080</v>
      </c>
      <c r="J964">
        <v>609648134</v>
      </c>
      <c r="K964">
        <v>435019883</v>
      </c>
      <c r="L964">
        <v>360099658</v>
      </c>
      <c r="M964">
        <v>295805904</v>
      </c>
      <c r="N964">
        <v>248734053</v>
      </c>
      <c r="O964">
        <v>202895590</v>
      </c>
      <c r="P964">
        <v>17494</v>
      </c>
      <c r="Q964" t="s">
        <v>2196</v>
      </c>
    </row>
    <row r="965" spans="1:17" x14ac:dyDescent="0.3">
      <c r="A965" t="s">
        <v>17</v>
      </c>
      <c r="B965" t="str">
        <f>"601200"</f>
        <v>601200</v>
      </c>
      <c r="C965" t="s">
        <v>2197</v>
      </c>
      <c r="D965" t="s">
        <v>1187</v>
      </c>
      <c r="E965">
        <v>1610787386</v>
      </c>
      <c r="F965">
        <v>954817761</v>
      </c>
      <c r="G965">
        <v>1059288723</v>
      </c>
      <c r="H965">
        <v>627679852</v>
      </c>
      <c r="I965">
        <v>620397971</v>
      </c>
      <c r="J965">
        <v>502274236</v>
      </c>
      <c r="K965">
        <v>390500287</v>
      </c>
      <c r="P965">
        <v>326</v>
      </c>
      <c r="Q965" t="s">
        <v>2198</v>
      </c>
    </row>
    <row r="966" spans="1:17" x14ac:dyDescent="0.3">
      <c r="A966" t="s">
        <v>75</v>
      </c>
      <c r="B966" t="str">
        <f>"000628"</f>
        <v>000628</v>
      </c>
      <c r="C966" t="s">
        <v>2199</v>
      </c>
      <c r="D966" t="s">
        <v>24</v>
      </c>
      <c r="E966">
        <v>1609739340</v>
      </c>
      <c r="F966">
        <v>1489283506</v>
      </c>
      <c r="G966">
        <v>1157525199</v>
      </c>
      <c r="H966">
        <v>301798223</v>
      </c>
      <c r="I966">
        <v>164569251</v>
      </c>
      <c r="J966">
        <v>213772268</v>
      </c>
      <c r="K966">
        <v>418439825</v>
      </c>
      <c r="L966">
        <v>336152509</v>
      </c>
      <c r="M966">
        <v>478868345</v>
      </c>
      <c r="N966">
        <v>448579122</v>
      </c>
      <c r="O966">
        <v>366366501</v>
      </c>
      <c r="P966">
        <v>127</v>
      </c>
      <c r="Q966" t="s">
        <v>2200</v>
      </c>
    </row>
    <row r="967" spans="1:17" x14ac:dyDescent="0.3">
      <c r="A967" t="s">
        <v>17</v>
      </c>
      <c r="B967" t="str">
        <f>"603101"</f>
        <v>603101</v>
      </c>
      <c r="C967" t="s">
        <v>2201</v>
      </c>
      <c r="D967" t="s">
        <v>582</v>
      </c>
      <c r="E967">
        <v>1608733508</v>
      </c>
      <c r="F967">
        <v>1465406864</v>
      </c>
      <c r="G967">
        <v>928017270</v>
      </c>
      <c r="H967">
        <v>1367412334</v>
      </c>
      <c r="I967">
        <v>1144566359</v>
      </c>
      <c r="J967">
        <v>921087612</v>
      </c>
      <c r="K967">
        <v>724658638</v>
      </c>
      <c r="L967">
        <v>911138719</v>
      </c>
      <c r="P967">
        <v>69</v>
      </c>
      <c r="Q967" t="s">
        <v>2202</v>
      </c>
    </row>
    <row r="968" spans="1:17" x14ac:dyDescent="0.3">
      <c r="A968" t="s">
        <v>75</v>
      </c>
      <c r="B968" t="str">
        <f>"002160"</f>
        <v>002160</v>
      </c>
      <c r="C968" t="s">
        <v>2203</v>
      </c>
      <c r="D968" t="s">
        <v>96</v>
      </c>
      <c r="E968">
        <v>1607223669</v>
      </c>
      <c r="F968">
        <v>1273071410</v>
      </c>
      <c r="G968">
        <v>846105094</v>
      </c>
      <c r="H968">
        <v>854023221</v>
      </c>
      <c r="I968">
        <v>982181303</v>
      </c>
      <c r="J968">
        <v>827798024</v>
      </c>
      <c r="K968">
        <v>613060751</v>
      </c>
      <c r="L968">
        <v>607044876</v>
      </c>
      <c r="M968">
        <v>588573943</v>
      </c>
      <c r="N968">
        <v>401525725</v>
      </c>
      <c r="O968">
        <v>480608183</v>
      </c>
      <c r="P968">
        <v>166</v>
      </c>
      <c r="Q968" t="s">
        <v>2204</v>
      </c>
    </row>
    <row r="969" spans="1:17" x14ac:dyDescent="0.3">
      <c r="A969" t="s">
        <v>75</v>
      </c>
      <c r="B969" t="str">
        <f>"002258"</f>
        <v>002258</v>
      </c>
      <c r="C969" t="s">
        <v>2205</v>
      </c>
      <c r="D969" t="s">
        <v>811</v>
      </c>
      <c r="E969">
        <v>1606863287</v>
      </c>
      <c r="F969">
        <v>990215078</v>
      </c>
      <c r="G969">
        <v>718939088</v>
      </c>
      <c r="H969">
        <v>1030161970</v>
      </c>
      <c r="I969">
        <v>723891106</v>
      </c>
      <c r="J969">
        <v>343579655</v>
      </c>
      <c r="K969">
        <v>248484883</v>
      </c>
      <c r="L969">
        <v>268976374</v>
      </c>
      <c r="M969">
        <v>292489785</v>
      </c>
      <c r="N969">
        <v>286257343</v>
      </c>
      <c r="O969">
        <v>197395579</v>
      </c>
      <c r="P969">
        <v>646</v>
      </c>
      <c r="Q969" t="s">
        <v>2206</v>
      </c>
    </row>
    <row r="970" spans="1:17" x14ac:dyDescent="0.3">
      <c r="A970" t="s">
        <v>75</v>
      </c>
      <c r="B970" t="str">
        <f>"002013"</f>
        <v>002013</v>
      </c>
      <c r="C970" t="s">
        <v>2207</v>
      </c>
      <c r="D970" t="s">
        <v>1551</v>
      </c>
      <c r="E970">
        <v>1606432058</v>
      </c>
      <c r="F970">
        <v>2855407531</v>
      </c>
      <c r="G970">
        <v>1465445545</v>
      </c>
      <c r="H970">
        <v>1761238665</v>
      </c>
      <c r="I970">
        <v>1304032832</v>
      </c>
      <c r="J970">
        <v>1447683434</v>
      </c>
      <c r="K970">
        <v>1155719133</v>
      </c>
      <c r="L970">
        <v>781524217</v>
      </c>
      <c r="M970">
        <v>955912747</v>
      </c>
      <c r="N970">
        <v>1047917093</v>
      </c>
      <c r="O970">
        <v>132348723</v>
      </c>
      <c r="P970">
        <v>656</v>
      </c>
      <c r="Q970" t="s">
        <v>2208</v>
      </c>
    </row>
    <row r="971" spans="1:17" x14ac:dyDescent="0.3">
      <c r="A971" t="s">
        <v>17</v>
      </c>
      <c r="B971" t="str">
        <f>"600757"</f>
        <v>600757</v>
      </c>
      <c r="C971" t="s">
        <v>2209</v>
      </c>
      <c r="D971" t="s">
        <v>1433</v>
      </c>
      <c r="E971">
        <v>1605317774</v>
      </c>
      <c r="F971">
        <v>1654068062</v>
      </c>
      <c r="G971">
        <v>1073797685</v>
      </c>
      <c r="H971">
        <v>2394824853</v>
      </c>
      <c r="I971">
        <v>2459976662</v>
      </c>
      <c r="J971">
        <v>2421740074</v>
      </c>
      <c r="K971">
        <v>1625741166</v>
      </c>
      <c r="L971">
        <v>720060344</v>
      </c>
      <c r="M971">
        <v>799807366</v>
      </c>
      <c r="N971">
        <v>511432708</v>
      </c>
      <c r="O971">
        <v>479273842</v>
      </c>
      <c r="P971">
        <v>437</v>
      </c>
      <c r="Q971" t="s">
        <v>2210</v>
      </c>
    </row>
    <row r="972" spans="1:17" x14ac:dyDescent="0.3">
      <c r="A972" t="s">
        <v>17</v>
      </c>
      <c r="B972" t="str">
        <f>"603185"</f>
        <v>603185</v>
      </c>
      <c r="C972" t="s">
        <v>2211</v>
      </c>
      <c r="D972" t="s">
        <v>2212</v>
      </c>
      <c r="E972">
        <v>1599593542</v>
      </c>
      <c r="F972">
        <v>627881675</v>
      </c>
      <c r="G972">
        <v>346165493</v>
      </c>
      <c r="H972">
        <v>20180416</v>
      </c>
      <c r="I972">
        <v>108429388</v>
      </c>
      <c r="P972">
        <v>516</v>
      </c>
      <c r="Q972" t="s">
        <v>2213</v>
      </c>
    </row>
    <row r="973" spans="1:17" x14ac:dyDescent="0.3">
      <c r="A973" t="s">
        <v>17</v>
      </c>
      <c r="B973" t="str">
        <f>"688099"</f>
        <v>688099</v>
      </c>
      <c r="C973" t="s">
        <v>2214</v>
      </c>
      <c r="D973" t="s">
        <v>883</v>
      </c>
      <c r="E973">
        <v>1599254731</v>
      </c>
      <c r="F973">
        <v>999804601</v>
      </c>
      <c r="G973">
        <v>554166385</v>
      </c>
      <c r="H973">
        <v>0</v>
      </c>
      <c r="I973">
        <v>0</v>
      </c>
      <c r="P973">
        <v>301</v>
      </c>
      <c r="Q973" t="s">
        <v>2215</v>
      </c>
    </row>
    <row r="974" spans="1:17" x14ac:dyDescent="0.3">
      <c r="A974" t="s">
        <v>17</v>
      </c>
      <c r="B974" t="str">
        <f>"603392"</f>
        <v>603392</v>
      </c>
      <c r="C974" t="s">
        <v>2216</v>
      </c>
      <c r="D974" t="s">
        <v>967</v>
      </c>
      <c r="E974">
        <v>1594291503</v>
      </c>
      <c r="F974">
        <v>569042990</v>
      </c>
      <c r="G974">
        <v>231622411</v>
      </c>
      <c r="H974">
        <v>219299893</v>
      </c>
      <c r="P974">
        <v>552</v>
      </c>
      <c r="Q974" t="s">
        <v>2217</v>
      </c>
    </row>
    <row r="975" spans="1:17" x14ac:dyDescent="0.3">
      <c r="A975" t="s">
        <v>75</v>
      </c>
      <c r="B975" t="str">
        <f>"002293"</f>
        <v>002293</v>
      </c>
      <c r="C975" t="s">
        <v>2218</v>
      </c>
      <c r="D975" t="s">
        <v>2219</v>
      </c>
      <c r="E975">
        <v>1586314413</v>
      </c>
      <c r="F975">
        <v>1469199659</v>
      </c>
      <c r="G975">
        <v>1222355497</v>
      </c>
      <c r="H975">
        <v>1310719142</v>
      </c>
      <c r="I975">
        <v>1336331413</v>
      </c>
      <c r="J975">
        <v>1220146194</v>
      </c>
      <c r="K975">
        <v>869902587</v>
      </c>
      <c r="L975">
        <v>814632103</v>
      </c>
      <c r="M975">
        <v>805221687</v>
      </c>
      <c r="N975">
        <v>702968082</v>
      </c>
      <c r="O975">
        <v>730659610</v>
      </c>
      <c r="P975">
        <v>4959</v>
      </c>
      <c r="Q975" t="s">
        <v>2220</v>
      </c>
    </row>
    <row r="976" spans="1:17" x14ac:dyDescent="0.3">
      <c r="A976" t="s">
        <v>17</v>
      </c>
      <c r="B976" t="str">
        <f>"600551"</f>
        <v>600551</v>
      </c>
      <c r="C976" t="s">
        <v>2221</v>
      </c>
      <c r="D976" t="s">
        <v>1703</v>
      </c>
      <c r="E976">
        <v>1585488631</v>
      </c>
      <c r="F976">
        <v>1687184711</v>
      </c>
      <c r="G976">
        <v>820272571</v>
      </c>
      <c r="H976">
        <v>1264089576</v>
      </c>
      <c r="I976">
        <v>1030194759</v>
      </c>
      <c r="J976">
        <v>1343822123</v>
      </c>
      <c r="K976">
        <v>1341962741</v>
      </c>
      <c r="L976">
        <v>1319566527</v>
      </c>
      <c r="M976">
        <v>1325919713</v>
      </c>
      <c r="N976">
        <v>917487795</v>
      </c>
      <c r="O976">
        <v>696247000</v>
      </c>
      <c r="P976">
        <v>134</v>
      </c>
      <c r="Q976" t="s">
        <v>2222</v>
      </c>
    </row>
    <row r="977" spans="1:17" x14ac:dyDescent="0.3">
      <c r="A977" t="s">
        <v>75</v>
      </c>
      <c r="B977" t="str">
        <f>"002557"</f>
        <v>002557</v>
      </c>
      <c r="C977" t="s">
        <v>2223</v>
      </c>
      <c r="D977" t="s">
        <v>1268</v>
      </c>
      <c r="E977">
        <v>1585292645</v>
      </c>
      <c r="F977">
        <v>1505131245</v>
      </c>
      <c r="G977">
        <v>1422248619</v>
      </c>
      <c r="H977">
        <v>1108632390</v>
      </c>
      <c r="I977">
        <v>1111963182</v>
      </c>
      <c r="J977">
        <v>867963897</v>
      </c>
      <c r="K977">
        <v>995268178</v>
      </c>
      <c r="L977">
        <v>845726762</v>
      </c>
      <c r="M977">
        <v>708338597</v>
      </c>
      <c r="N977">
        <v>673108631</v>
      </c>
      <c r="O977">
        <v>539028989</v>
      </c>
      <c r="P977">
        <v>1823</v>
      </c>
      <c r="Q977" t="s">
        <v>2224</v>
      </c>
    </row>
    <row r="978" spans="1:17" x14ac:dyDescent="0.3">
      <c r="A978" t="s">
        <v>17</v>
      </c>
      <c r="B978" t="str">
        <f>"601326"</f>
        <v>601326</v>
      </c>
      <c r="C978" t="s">
        <v>2225</v>
      </c>
      <c r="D978" t="s">
        <v>383</v>
      </c>
      <c r="E978">
        <v>1585080979</v>
      </c>
      <c r="F978">
        <v>1590559057</v>
      </c>
      <c r="G978">
        <v>1481891946</v>
      </c>
      <c r="H978">
        <v>1668043306</v>
      </c>
      <c r="I978">
        <v>1947742431</v>
      </c>
      <c r="J978">
        <v>1741353480</v>
      </c>
      <c r="P978">
        <v>127</v>
      </c>
      <c r="Q978" t="s">
        <v>2226</v>
      </c>
    </row>
    <row r="979" spans="1:17" x14ac:dyDescent="0.3">
      <c r="A979" t="s">
        <v>75</v>
      </c>
      <c r="B979" t="str">
        <f>"002682"</f>
        <v>002682</v>
      </c>
      <c r="C979" t="s">
        <v>2227</v>
      </c>
      <c r="D979" t="s">
        <v>608</v>
      </c>
      <c r="E979">
        <v>1584480943</v>
      </c>
      <c r="F979">
        <v>1291814915</v>
      </c>
      <c r="G979">
        <v>826462926</v>
      </c>
      <c r="H979">
        <v>1354993771</v>
      </c>
      <c r="I979">
        <v>1247955824</v>
      </c>
      <c r="J979">
        <v>549548387</v>
      </c>
      <c r="K979">
        <v>495243381</v>
      </c>
      <c r="L979">
        <v>594611222</v>
      </c>
      <c r="M979">
        <v>581766922</v>
      </c>
      <c r="N979">
        <v>427922939</v>
      </c>
      <c r="O979">
        <v>363737632</v>
      </c>
      <c r="P979">
        <v>80</v>
      </c>
      <c r="Q979" t="s">
        <v>2228</v>
      </c>
    </row>
    <row r="980" spans="1:17" x14ac:dyDescent="0.3">
      <c r="A980" t="s">
        <v>75</v>
      </c>
      <c r="B980" t="str">
        <f>"002390"</f>
        <v>002390</v>
      </c>
      <c r="C980" t="s">
        <v>2229</v>
      </c>
      <c r="D980" t="s">
        <v>321</v>
      </c>
      <c r="E980">
        <v>1582853471</v>
      </c>
      <c r="F980">
        <v>1501253441</v>
      </c>
      <c r="G980">
        <v>1479260611</v>
      </c>
      <c r="H980">
        <v>1396191444</v>
      </c>
      <c r="I980">
        <v>1397871549</v>
      </c>
      <c r="J980">
        <v>1240532751</v>
      </c>
      <c r="K980">
        <v>1202376606</v>
      </c>
      <c r="L980">
        <v>792278827</v>
      </c>
      <c r="M980">
        <v>128861844</v>
      </c>
      <c r="N980">
        <v>128822206</v>
      </c>
      <c r="O980">
        <v>99897167</v>
      </c>
      <c r="P980">
        <v>272</v>
      </c>
      <c r="Q980" t="s">
        <v>2230</v>
      </c>
    </row>
    <row r="981" spans="1:17" x14ac:dyDescent="0.3">
      <c r="A981" t="s">
        <v>75</v>
      </c>
      <c r="B981" t="str">
        <f>"300383"</f>
        <v>300383</v>
      </c>
      <c r="C981" t="s">
        <v>2231</v>
      </c>
      <c r="D981" t="s">
        <v>224</v>
      </c>
      <c r="E981">
        <v>1580837600</v>
      </c>
      <c r="F981">
        <v>1788649426</v>
      </c>
      <c r="G981">
        <v>2237447287</v>
      </c>
      <c r="H981">
        <v>1352635593</v>
      </c>
      <c r="I981">
        <v>1010054963</v>
      </c>
      <c r="J981">
        <v>544515573</v>
      </c>
      <c r="K981">
        <v>234589668</v>
      </c>
      <c r="L981">
        <v>88969807</v>
      </c>
      <c r="M981">
        <v>83436723</v>
      </c>
      <c r="N981">
        <v>51435909</v>
      </c>
      <c r="P981">
        <v>2115</v>
      </c>
      <c r="Q981" t="s">
        <v>2232</v>
      </c>
    </row>
    <row r="982" spans="1:17" x14ac:dyDescent="0.3">
      <c r="A982" t="s">
        <v>17</v>
      </c>
      <c r="B982" t="str">
        <f>"600548"</f>
        <v>600548</v>
      </c>
      <c r="C982" t="s">
        <v>2233</v>
      </c>
      <c r="D982" t="s">
        <v>1248</v>
      </c>
      <c r="E982">
        <v>1580057781</v>
      </c>
      <c r="F982">
        <v>1653059632</v>
      </c>
      <c r="G982">
        <v>499210170</v>
      </c>
      <c r="H982">
        <v>1222186655</v>
      </c>
      <c r="I982">
        <v>1605048298</v>
      </c>
      <c r="J982">
        <v>1031754998</v>
      </c>
      <c r="K982">
        <v>1005901038</v>
      </c>
      <c r="L982">
        <v>765144723</v>
      </c>
      <c r="M982">
        <v>809027381</v>
      </c>
      <c r="N982">
        <v>770993399</v>
      </c>
      <c r="O982">
        <v>821569878</v>
      </c>
      <c r="P982">
        <v>794</v>
      </c>
      <c r="Q982" t="s">
        <v>2234</v>
      </c>
    </row>
    <row r="983" spans="1:17" x14ac:dyDescent="0.3">
      <c r="A983" t="s">
        <v>75</v>
      </c>
      <c r="B983" t="str">
        <f>"000408"</f>
        <v>000408</v>
      </c>
      <c r="C983" t="s">
        <v>2235</v>
      </c>
      <c r="D983" t="s">
        <v>719</v>
      </c>
      <c r="E983">
        <v>1575522744</v>
      </c>
      <c r="F983">
        <v>624956365</v>
      </c>
      <c r="G983">
        <v>354435840</v>
      </c>
      <c r="H983">
        <v>315023721</v>
      </c>
      <c r="I983">
        <v>528300716</v>
      </c>
      <c r="J983">
        <v>165910287</v>
      </c>
      <c r="K983">
        <v>31298787</v>
      </c>
      <c r="L983">
        <v>74799696</v>
      </c>
      <c r="M983">
        <v>15037373</v>
      </c>
      <c r="N983">
        <v>0</v>
      </c>
      <c r="O983">
        <v>0</v>
      </c>
      <c r="P983">
        <v>188</v>
      </c>
      <c r="Q983" t="s">
        <v>2236</v>
      </c>
    </row>
    <row r="984" spans="1:17" x14ac:dyDescent="0.3">
      <c r="A984" t="s">
        <v>75</v>
      </c>
      <c r="B984" t="str">
        <f>"300070"</f>
        <v>300070</v>
      </c>
      <c r="C984" t="s">
        <v>2237</v>
      </c>
      <c r="D984" t="s">
        <v>1107</v>
      </c>
      <c r="E984">
        <v>1572565928</v>
      </c>
      <c r="F984">
        <v>2005185915</v>
      </c>
      <c r="G984">
        <v>2396049652</v>
      </c>
      <c r="H984">
        <v>2214704319</v>
      </c>
      <c r="I984">
        <v>1965899093</v>
      </c>
      <c r="J984">
        <v>589966379</v>
      </c>
      <c r="K984">
        <v>617036406</v>
      </c>
      <c r="L984">
        <v>330149234</v>
      </c>
      <c r="M984">
        <v>307814039</v>
      </c>
      <c r="N984">
        <v>166038710</v>
      </c>
      <c r="O984">
        <v>125519269</v>
      </c>
      <c r="P984">
        <v>1163</v>
      </c>
      <c r="Q984" t="s">
        <v>2238</v>
      </c>
    </row>
    <row r="985" spans="1:17" x14ac:dyDescent="0.3">
      <c r="A985" t="s">
        <v>17</v>
      </c>
      <c r="B985" t="str">
        <f>"603618"</f>
        <v>603618</v>
      </c>
      <c r="C985" t="s">
        <v>2239</v>
      </c>
      <c r="D985" t="s">
        <v>562</v>
      </c>
      <c r="E985">
        <v>1567057677</v>
      </c>
      <c r="F985">
        <v>1207248415</v>
      </c>
      <c r="G985">
        <v>923341020</v>
      </c>
      <c r="H985">
        <v>795830373</v>
      </c>
      <c r="I985">
        <v>944919976</v>
      </c>
      <c r="J985">
        <v>892967094</v>
      </c>
      <c r="K985">
        <v>633240435</v>
      </c>
      <c r="L985">
        <v>545816009</v>
      </c>
      <c r="M985">
        <v>458269089</v>
      </c>
      <c r="P985">
        <v>169</v>
      </c>
      <c r="Q985" t="s">
        <v>2240</v>
      </c>
    </row>
    <row r="986" spans="1:17" x14ac:dyDescent="0.3">
      <c r="A986" t="s">
        <v>75</v>
      </c>
      <c r="B986" t="str">
        <f>"002302"</f>
        <v>002302</v>
      </c>
      <c r="C986" t="s">
        <v>2241</v>
      </c>
      <c r="D986" t="s">
        <v>2242</v>
      </c>
      <c r="E986">
        <v>1565760410</v>
      </c>
      <c r="F986">
        <v>1118545496</v>
      </c>
      <c r="G986">
        <v>1504525533</v>
      </c>
      <c r="H986">
        <v>1807285227</v>
      </c>
      <c r="I986">
        <v>1158369128</v>
      </c>
      <c r="J986">
        <v>782869159</v>
      </c>
      <c r="K986">
        <v>619689222</v>
      </c>
      <c r="L986">
        <v>751911492</v>
      </c>
      <c r="M986">
        <v>674095071</v>
      </c>
      <c r="N986">
        <v>834920665</v>
      </c>
      <c r="O986">
        <v>115304144</v>
      </c>
      <c r="P986">
        <v>201</v>
      </c>
      <c r="Q986" t="s">
        <v>2243</v>
      </c>
    </row>
    <row r="987" spans="1:17" x14ac:dyDescent="0.3">
      <c r="A987" t="s">
        <v>75</v>
      </c>
      <c r="B987" t="str">
        <f>"200869"</f>
        <v>200869</v>
      </c>
      <c r="C987" t="s">
        <v>2244</v>
      </c>
      <c r="E987">
        <v>1564067175.7679999</v>
      </c>
      <c r="F987">
        <v>1331761138.3699999</v>
      </c>
      <c r="G987">
        <v>849548111.11290002</v>
      </c>
      <c r="H987">
        <v>1803194566.3961999</v>
      </c>
      <c r="I987">
        <v>2209046253.9454999</v>
      </c>
      <c r="J987">
        <v>1865444350.8227999</v>
      </c>
      <c r="K987">
        <v>2224977857.8463998</v>
      </c>
      <c r="L987">
        <v>2261048005</v>
      </c>
      <c r="M987">
        <v>2083507745.8412001</v>
      </c>
      <c r="N987">
        <v>2349849088.98</v>
      </c>
      <c r="O987">
        <v>2646357343.7940001</v>
      </c>
      <c r="P987">
        <v>348</v>
      </c>
      <c r="Q987" t="s">
        <v>2245</v>
      </c>
    </row>
    <row r="988" spans="1:17" x14ac:dyDescent="0.3">
      <c r="A988" t="s">
        <v>75</v>
      </c>
      <c r="B988" t="str">
        <f>"301017"</f>
        <v>301017</v>
      </c>
      <c r="C988" t="s">
        <v>2246</v>
      </c>
      <c r="D988" t="s">
        <v>936</v>
      </c>
      <c r="E988">
        <v>1562249659</v>
      </c>
      <c r="F988">
        <v>1237398742</v>
      </c>
      <c r="G988">
        <v>1334904860</v>
      </c>
      <c r="P988">
        <v>36</v>
      </c>
      <c r="Q988" t="s">
        <v>2247</v>
      </c>
    </row>
    <row r="989" spans="1:17" x14ac:dyDescent="0.3">
      <c r="A989" t="s">
        <v>75</v>
      </c>
      <c r="B989" t="str">
        <f>"300232"</f>
        <v>300232</v>
      </c>
      <c r="C989" t="s">
        <v>2248</v>
      </c>
      <c r="D989" t="s">
        <v>1044</v>
      </c>
      <c r="E989">
        <v>1561018280</v>
      </c>
      <c r="F989">
        <v>1216571524</v>
      </c>
      <c r="G989">
        <v>1047211636</v>
      </c>
      <c r="H989">
        <v>1086444197</v>
      </c>
      <c r="I989">
        <v>872329825</v>
      </c>
      <c r="J989">
        <v>518709002</v>
      </c>
      <c r="K989">
        <v>299790335</v>
      </c>
      <c r="L989">
        <v>266834890</v>
      </c>
      <c r="M989">
        <v>189516487</v>
      </c>
      <c r="N989">
        <v>156511585</v>
      </c>
      <c r="O989">
        <v>88217964</v>
      </c>
      <c r="P989">
        <v>922</v>
      </c>
      <c r="Q989" t="s">
        <v>2249</v>
      </c>
    </row>
    <row r="990" spans="1:17" x14ac:dyDescent="0.3">
      <c r="A990" t="s">
        <v>17</v>
      </c>
      <c r="B990" t="str">
        <f>"601567"</f>
        <v>601567</v>
      </c>
      <c r="C990" t="s">
        <v>2250</v>
      </c>
      <c r="D990" t="s">
        <v>2251</v>
      </c>
      <c r="E990">
        <v>1551012682</v>
      </c>
      <c r="F990">
        <v>1309544303</v>
      </c>
      <c r="G990">
        <v>1076785765</v>
      </c>
      <c r="H990">
        <v>1060900855</v>
      </c>
      <c r="I990">
        <v>1187608953</v>
      </c>
      <c r="J990">
        <v>1220264305</v>
      </c>
      <c r="K990">
        <v>884682559</v>
      </c>
      <c r="L990">
        <v>599011408</v>
      </c>
      <c r="M990">
        <v>390290517</v>
      </c>
      <c r="N990">
        <v>398277552</v>
      </c>
      <c r="O990">
        <v>493207983</v>
      </c>
      <c r="P990">
        <v>325</v>
      </c>
      <c r="Q990" t="s">
        <v>2252</v>
      </c>
    </row>
    <row r="991" spans="1:17" x14ac:dyDescent="0.3">
      <c r="A991" t="s">
        <v>75</v>
      </c>
      <c r="B991" t="str">
        <f>"002101"</f>
        <v>002101</v>
      </c>
      <c r="C991" t="s">
        <v>2253</v>
      </c>
      <c r="D991" t="s">
        <v>1321</v>
      </c>
      <c r="E991">
        <v>1548976022</v>
      </c>
      <c r="F991">
        <v>1693819926</v>
      </c>
      <c r="G991">
        <v>1421132457</v>
      </c>
      <c r="H991">
        <v>1467976283</v>
      </c>
      <c r="I991">
        <v>1360001717</v>
      </c>
      <c r="J991">
        <v>741823457</v>
      </c>
      <c r="K991">
        <v>643032282</v>
      </c>
      <c r="L991">
        <v>526971771</v>
      </c>
      <c r="M991">
        <v>495918402</v>
      </c>
      <c r="N991">
        <v>261928491</v>
      </c>
      <c r="O991">
        <v>349175862</v>
      </c>
      <c r="P991">
        <v>267</v>
      </c>
      <c r="Q991" t="s">
        <v>2254</v>
      </c>
    </row>
    <row r="992" spans="1:17" x14ac:dyDescent="0.3">
      <c r="A992" t="s">
        <v>75</v>
      </c>
      <c r="B992" t="str">
        <f>"000657"</f>
        <v>000657</v>
      </c>
      <c r="C992" t="s">
        <v>2255</v>
      </c>
      <c r="D992" t="s">
        <v>783</v>
      </c>
      <c r="E992">
        <v>1548342941</v>
      </c>
      <c r="F992">
        <v>1562875597</v>
      </c>
      <c r="G992">
        <v>1127570149</v>
      </c>
      <c r="H992">
        <v>1567679599</v>
      </c>
      <c r="I992">
        <v>1364640253</v>
      </c>
      <c r="J992">
        <v>1092882180</v>
      </c>
      <c r="K992">
        <v>1120269704</v>
      </c>
      <c r="L992">
        <v>1557214163</v>
      </c>
      <c r="M992">
        <v>1336920515</v>
      </c>
      <c r="N992">
        <v>54090693</v>
      </c>
      <c r="O992">
        <v>173649501</v>
      </c>
      <c r="P992">
        <v>177</v>
      </c>
      <c r="Q992" t="s">
        <v>2256</v>
      </c>
    </row>
    <row r="993" spans="1:17" x14ac:dyDescent="0.3">
      <c r="A993" t="s">
        <v>75</v>
      </c>
      <c r="B993" t="str">
        <f>"002717"</f>
        <v>002717</v>
      </c>
      <c r="C993" t="s">
        <v>2257</v>
      </c>
      <c r="D993" t="s">
        <v>1523</v>
      </c>
      <c r="E993">
        <v>1547897039</v>
      </c>
      <c r="F993">
        <v>1955410670</v>
      </c>
      <c r="G993">
        <v>1773245627</v>
      </c>
      <c r="H993">
        <v>1739645559</v>
      </c>
      <c r="I993">
        <v>947770669</v>
      </c>
      <c r="J993">
        <v>662353475</v>
      </c>
      <c r="K993">
        <v>431597363</v>
      </c>
      <c r="L993">
        <v>172202587</v>
      </c>
      <c r="M993">
        <v>132363196</v>
      </c>
      <c r="N993">
        <v>117403887</v>
      </c>
      <c r="P993">
        <v>394</v>
      </c>
      <c r="Q993" t="s">
        <v>2258</v>
      </c>
    </row>
    <row r="994" spans="1:17" x14ac:dyDescent="0.3">
      <c r="A994" t="s">
        <v>75</v>
      </c>
      <c r="B994" t="str">
        <f>"002683"</f>
        <v>002683</v>
      </c>
      <c r="C994" t="s">
        <v>2259</v>
      </c>
      <c r="D994" t="s">
        <v>1830</v>
      </c>
      <c r="E994">
        <v>1547355252</v>
      </c>
      <c r="F994">
        <v>1471503079</v>
      </c>
      <c r="G994">
        <v>1612575146</v>
      </c>
      <c r="H994">
        <v>1224598711</v>
      </c>
      <c r="I994">
        <v>1158465044</v>
      </c>
      <c r="J994">
        <v>743225777</v>
      </c>
      <c r="K994">
        <v>374015054</v>
      </c>
      <c r="L994">
        <v>685675167</v>
      </c>
      <c r="M994">
        <v>637059826</v>
      </c>
      <c r="N994">
        <v>265574495</v>
      </c>
      <c r="O994">
        <v>308128902</v>
      </c>
      <c r="P994">
        <v>270</v>
      </c>
      <c r="Q994" t="s">
        <v>2260</v>
      </c>
    </row>
    <row r="995" spans="1:17" x14ac:dyDescent="0.3">
      <c r="A995" t="s">
        <v>17</v>
      </c>
      <c r="B995" t="str">
        <f>"600004"</f>
        <v>600004</v>
      </c>
      <c r="C995" t="s">
        <v>2261</v>
      </c>
      <c r="D995" t="s">
        <v>2262</v>
      </c>
      <c r="E995">
        <v>1547289788</v>
      </c>
      <c r="F995">
        <v>1394572909</v>
      </c>
      <c r="G995">
        <v>1551978625</v>
      </c>
      <c r="H995">
        <v>1615738155</v>
      </c>
      <c r="I995">
        <v>1653058831</v>
      </c>
      <c r="J995">
        <v>1427502354</v>
      </c>
      <c r="K995">
        <v>1169156788</v>
      </c>
      <c r="L995">
        <v>1136842589</v>
      </c>
      <c r="M995">
        <v>1053263139</v>
      </c>
      <c r="N995">
        <v>986263767</v>
      </c>
      <c r="O995">
        <v>943985409</v>
      </c>
      <c r="P995">
        <v>1892</v>
      </c>
      <c r="Q995" t="s">
        <v>2263</v>
      </c>
    </row>
    <row r="996" spans="1:17" x14ac:dyDescent="0.3">
      <c r="A996" t="s">
        <v>17</v>
      </c>
      <c r="B996" t="str">
        <f>"603337"</f>
        <v>603337</v>
      </c>
      <c r="C996" t="s">
        <v>2264</v>
      </c>
      <c r="D996" t="s">
        <v>2265</v>
      </c>
      <c r="E996">
        <v>1545926260</v>
      </c>
      <c r="F996">
        <v>1465147776</v>
      </c>
      <c r="G996">
        <v>736446180</v>
      </c>
      <c r="H996">
        <v>996477553</v>
      </c>
      <c r="I996">
        <v>939603713</v>
      </c>
      <c r="J996">
        <v>652660680</v>
      </c>
      <c r="K996">
        <v>380253537</v>
      </c>
      <c r="P996">
        <v>370</v>
      </c>
      <c r="Q996" t="s">
        <v>2266</v>
      </c>
    </row>
    <row r="997" spans="1:17" x14ac:dyDescent="0.3">
      <c r="A997" t="s">
        <v>17</v>
      </c>
      <c r="B997" t="str">
        <f>"600841"</f>
        <v>600841</v>
      </c>
      <c r="C997" t="s">
        <v>2267</v>
      </c>
      <c r="D997" t="s">
        <v>172</v>
      </c>
      <c r="E997">
        <v>1545762438</v>
      </c>
      <c r="F997">
        <v>1539295441</v>
      </c>
      <c r="G997">
        <v>810168841</v>
      </c>
      <c r="H997">
        <v>837428810</v>
      </c>
      <c r="I997">
        <v>1008968863</v>
      </c>
      <c r="J997">
        <v>581212537</v>
      </c>
      <c r="K997">
        <v>428307437</v>
      </c>
      <c r="L997">
        <v>679861166</v>
      </c>
      <c r="M997">
        <v>631530734</v>
      </c>
      <c r="N997">
        <v>436998782</v>
      </c>
      <c r="O997">
        <v>750386796</v>
      </c>
      <c r="P997">
        <v>88</v>
      </c>
      <c r="Q997" t="s">
        <v>2268</v>
      </c>
    </row>
    <row r="998" spans="1:17" x14ac:dyDescent="0.3">
      <c r="A998" t="s">
        <v>17</v>
      </c>
      <c r="B998" t="str">
        <f>"603008"</f>
        <v>603008</v>
      </c>
      <c r="C998" t="s">
        <v>2269</v>
      </c>
      <c r="D998" t="s">
        <v>1123</v>
      </c>
      <c r="E998">
        <v>1544656050</v>
      </c>
      <c r="F998">
        <v>1596415249</v>
      </c>
      <c r="G998">
        <v>646682115</v>
      </c>
      <c r="H998">
        <v>960080628</v>
      </c>
      <c r="I998">
        <v>899849717</v>
      </c>
      <c r="J998">
        <v>495323066</v>
      </c>
      <c r="K998">
        <v>452386918</v>
      </c>
      <c r="L998">
        <v>357123730</v>
      </c>
      <c r="M998">
        <v>271873227</v>
      </c>
      <c r="N998">
        <v>173542637</v>
      </c>
      <c r="O998">
        <v>175072792</v>
      </c>
      <c r="P998">
        <v>300</v>
      </c>
      <c r="Q998" t="s">
        <v>2270</v>
      </c>
    </row>
    <row r="999" spans="1:17" x14ac:dyDescent="0.3">
      <c r="A999" t="s">
        <v>17</v>
      </c>
      <c r="B999" t="str">
        <f>"600279"</f>
        <v>600279</v>
      </c>
      <c r="C999" t="s">
        <v>2271</v>
      </c>
      <c r="D999" t="s">
        <v>383</v>
      </c>
      <c r="E999">
        <v>1544358348</v>
      </c>
      <c r="F999">
        <v>1402820193</v>
      </c>
      <c r="G999">
        <v>995909677</v>
      </c>
      <c r="H999">
        <v>1451045362</v>
      </c>
      <c r="I999">
        <v>1557123326</v>
      </c>
      <c r="J999">
        <v>1570733009</v>
      </c>
      <c r="K999">
        <v>304750726</v>
      </c>
      <c r="L999">
        <v>367333489</v>
      </c>
      <c r="M999">
        <v>371235040</v>
      </c>
      <c r="N999">
        <v>279835348</v>
      </c>
      <c r="O999">
        <v>212068160</v>
      </c>
      <c r="P999">
        <v>125</v>
      </c>
      <c r="Q999" t="s">
        <v>2272</v>
      </c>
    </row>
    <row r="1000" spans="1:17" x14ac:dyDescent="0.3">
      <c r="A1000" t="s">
        <v>75</v>
      </c>
      <c r="B1000" t="str">
        <f>"002443"</f>
        <v>002443</v>
      </c>
      <c r="C1000" t="s">
        <v>2273</v>
      </c>
      <c r="D1000" t="s">
        <v>238</v>
      </c>
      <c r="E1000">
        <v>1543601415</v>
      </c>
      <c r="F1000">
        <v>1327151512</v>
      </c>
      <c r="G1000">
        <v>864085181</v>
      </c>
      <c r="H1000">
        <v>951097933</v>
      </c>
      <c r="I1000">
        <v>777262891</v>
      </c>
      <c r="J1000">
        <v>693185139</v>
      </c>
      <c r="K1000">
        <v>501548265</v>
      </c>
      <c r="L1000">
        <v>604833606</v>
      </c>
      <c r="M1000">
        <v>591195858</v>
      </c>
      <c r="N1000">
        <v>796818658</v>
      </c>
      <c r="O1000">
        <v>695480143</v>
      </c>
      <c r="P1000">
        <v>257</v>
      </c>
      <c r="Q1000" t="s">
        <v>2274</v>
      </c>
    </row>
    <row r="1001" spans="1:17" x14ac:dyDescent="0.3">
      <c r="A1001" t="s">
        <v>17</v>
      </c>
      <c r="B1001" t="str">
        <f>"603515"</f>
        <v>603515</v>
      </c>
      <c r="C1001" t="s">
        <v>2275</v>
      </c>
      <c r="D1001" t="s">
        <v>2044</v>
      </c>
      <c r="E1001">
        <v>1541637267</v>
      </c>
      <c r="F1001">
        <v>1834621043</v>
      </c>
      <c r="G1001">
        <v>1178870389</v>
      </c>
      <c r="H1001">
        <v>1940342429</v>
      </c>
      <c r="I1001">
        <v>1678029083</v>
      </c>
      <c r="J1001">
        <v>1337502319</v>
      </c>
      <c r="K1001">
        <v>1018975774</v>
      </c>
      <c r="L1001">
        <v>0</v>
      </c>
      <c r="P1001">
        <v>2557</v>
      </c>
      <c r="Q1001" t="s">
        <v>2276</v>
      </c>
    </row>
    <row r="1002" spans="1:17" x14ac:dyDescent="0.3">
      <c r="A1002" t="s">
        <v>75</v>
      </c>
      <c r="B1002" t="str">
        <f>"000719"</f>
        <v>000719</v>
      </c>
      <c r="C1002" t="s">
        <v>2277</v>
      </c>
      <c r="D1002" t="s">
        <v>1703</v>
      </c>
      <c r="E1002">
        <v>1537742485</v>
      </c>
      <c r="F1002">
        <v>1567207486</v>
      </c>
      <c r="G1002">
        <v>1003736898</v>
      </c>
      <c r="H1002">
        <v>1264845512</v>
      </c>
      <c r="I1002">
        <v>1406158812</v>
      </c>
      <c r="J1002">
        <v>1449660926</v>
      </c>
      <c r="K1002">
        <v>1113698161</v>
      </c>
      <c r="L1002">
        <v>852534581</v>
      </c>
      <c r="M1002">
        <v>699404939</v>
      </c>
      <c r="N1002">
        <v>363066091</v>
      </c>
      <c r="O1002">
        <v>477435948</v>
      </c>
      <c r="P1002">
        <v>695</v>
      </c>
      <c r="Q1002" t="s">
        <v>2278</v>
      </c>
    </row>
    <row r="1003" spans="1:17" x14ac:dyDescent="0.3">
      <c r="A1003" t="s">
        <v>75</v>
      </c>
      <c r="B1003" t="str">
        <f>"002011"</f>
        <v>002011</v>
      </c>
      <c r="C1003" t="s">
        <v>2279</v>
      </c>
      <c r="D1003" t="s">
        <v>1063</v>
      </c>
      <c r="E1003">
        <v>1537192241</v>
      </c>
      <c r="F1003">
        <v>1439305227</v>
      </c>
      <c r="G1003">
        <v>887345398</v>
      </c>
      <c r="H1003">
        <v>1081032090</v>
      </c>
      <c r="I1003">
        <v>1310747467</v>
      </c>
      <c r="J1003">
        <v>865371411</v>
      </c>
      <c r="K1003">
        <v>797730470</v>
      </c>
      <c r="L1003">
        <v>1172055954</v>
      </c>
      <c r="M1003">
        <v>1062884110</v>
      </c>
      <c r="N1003">
        <v>867848272</v>
      </c>
      <c r="O1003">
        <v>963122000</v>
      </c>
      <c r="P1003">
        <v>201</v>
      </c>
      <c r="Q1003" t="s">
        <v>2280</v>
      </c>
    </row>
    <row r="1004" spans="1:17" x14ac:dyDescent="0.3">
      <c r="A1004" t="s">
        <v>75</v>
      </c>
      <c r="B1004" t="str">
        <f>"002636"</f>
        <v>002636</v>
      </c>
      <c r="C1004" t="s">
        <v>2281</v>
      </c>
      <c r="D1004" t="s">
        <v>567</v>
      </c>
      <c r="E1004">
        <v>1535265629</v>
      </c>
      <c r="F1004">
        <v>1110699433</v>
      </c>
      <c r="G1004">
        <v>941273683</v>
      </c>
      <c r="H1004">
        <v>857207645</v>
      </c>
      <c r="I1004">
        <v>986062922</v>
      </c>
      <c r="J1004">
        <v>983792030</v>
      </c>
      <c r="K1004">
        <v>759909249</v>
      </c>
      <c r="L1004">
        <v>630224067</v>
      </c>
      <c r="M1004">
        <v>661263174</v>
      </c>
      <c r="N1004">
        <v>583349431</v>
      </c>
      <c r="O1004">
        <v>443386317</v>
      </c>
      <c r="P1004">
        <v>306</v>
      </c>
      <c r="Q1004" t="s">
        <v>2282</v>
      </c>
    </row>
    <row r="1005" spans="1:17" x14ac:dyDescent="0.3">
      <c r="A1005" t="s">
        <v>75</v>
      </c>
      <c r="B1005" t="str">
        <f>"002852"</f>
        <v>002852</v>
      </c>
      <c r="C1005" t="s">
        <v>2283</v>
      </c>
      <c r="D1005" t="s">
        <v>113</v>
      </c>
      <c r="E1005">
        <v>1531860434</v>
      </c>
      <c r="F1005">
        <v>1395254868</v>
      </c>
      <c r="G1005">
        <v>993166872</v>
      </c>
      <c r="H1005">
        <v>938137414</v>
      </c>
      <c r="I1005">
        <v>687782641</v>
      </c>
      <c r="J1005">
        <v>684535163</v>
      </c>
      <c r="K1005">
        <v>663089692</v>
      </c>
      <c r="P1005">
        <v>141</v>
      </c>
      <c r="Q1005" t="s">
        <v>2284</v>
      </c>
    </row>
    <row r="1006" spans="1:17" x14ac:dyDescent="0.3">
      <c r="A1006" t="s">
        <v>17</v>
      </c>
      <c r="B1006" t="str">
        <f>"600200"</f>
        <v>600200</v>
      </c>
      <c r="C1006" t="s">
        <v>2285</v>
      </c>
      <c r="D1006" t="s">
        <v>543</v>
      </c>
      <c r="E1006">
        <v>1529661484</v>
      </c>
      <c r="F1006">
        <v>2053130901</v>
      </c>
      <c r="G1006">
        <v>811536846</v>
      </c>
      <c r="H1006">
        <v>632246691</v>
      </c>
      <c r="I1006">
        <v>918419190</v>
      </c>
      <c r="J1006">
        <v>1099203716</v>
      </c>
      <c r="K1006">
        <v>923433424</v>
      </c>
      <c r="L1006">
        <v>715501611</v>
      </c>
      <c r="M1006">
        <v>668473707</v>
      </c>
      <c r="N1006">
        <v>843290524</v>
      </c>
      <c r="O1006">
        <v>1065277931</v>
      </c>
      <c r="P1006">
        <v>143</v>
      </c>
      <c r="Q1006" t="s">
        <v>2286</v>
      </c>
    </row>
    <row r="1007" spans="1:17" x14ac:dyDescent="0.3">
      <c r="A1007" t="s">
        <v>75</v>
      </c>
      <c r="B1007" t="str">
        <f>"002067"</f>
        <v>002067</v>
      </c>
      <c r="C1007" t="s">
        <v>2287</v>
      </c>
      <c r="D1007" t="s">
        <v>540</v>
      </c>
      <c r="E1007">
        <v>1526362353</v>
      </c>
      <c r="F1007">
        <v>1228216437</v>
      </c>
      <c r="G1007">
        <v>944002428</v>
      </c>
      <c r="H1007">
        <v>1565651154</v>
      </c>
      <c r="I1007">
        <v>1419092866</v>
      </c>
      <c r="J1007">
        <v>818733434</v>
      </c>
      <c r="K1007">
        <v>573925895</v>
      </c>
      <c r="L1007">
        <v>795467650</v>
      </c>
      <c r="M1007">
        <v>1004042807</v>
      </c>
      <c r="N1007">
        <v>949277854</v>
      </c>
      <c r="O1007">
        <v>817398727</v>
      </c>
      <c r="P1007">
        <v>173</v>
      </c>
      <c r="Q1007" t="s">
        <v>2288</v>
      </c>
    </row>
    <row r="1008" spans="1:17" x14ac:dyDescent="0.3">
      <c r="A1008" t="s">
        <v>75</v>
      </c>
      <c r="B1008" t="str">
        <f>"002044"</f>
        <v>002044</v>
      </c>
      <c r="C1008" t="s">
        <v>2289</v>
      </c>
      <c r="D1008" t="s">
        <v>1129</v>
      </c>
      <c r="E1008">
        <v>1525710099</v>
      </c>
      <c r="F1008">
        <v>1336252669</v>
      </c>
      <c r="G1008">
        <v>372547780</v>
      </c>
      <c r="H1008">
        <v>1250524314</v>
      </c>
      <c r="I1008">
        <v>1624382974</v>
      </c>
      <c r="J1008">
        <v>734676278</v>
      </c>
      <c r="K1008">
        <v>497404133</v>
      </c>
      <c r="L1008">
        <v>134656837</v>
      </c>
      <c r="M1008">
        <v>121405850</v>
      </c>
      <c r="N1008">
        <v>158423527</v>
      </c>
      <c r="O1008">
        <v>132755072</v>
      </c>
      <c r="P1008">
        <v>1237</v>
      </c>
      <c r="Q1008" t="s">
        <v>2290</v>
      </c>
    </row>
    <row r="1009" spans="1:17" x14ac:dyDescent="0.3">
      <c r="A1009" t="s">
        <v>75</v>
      </c>
      <c r="B1009" t="str">
        <f>"002543"</f>
        <v>002543</v>
      </c>
      <c r="C1009" t="s">
        <v>2291</v>
      </c>
      <c r="D1009" t="s">
        <v>2292</v>
      </c>
      <c r="E1009">
        <v>1524950503</v>
      </c>
      <c r="F1009">
        <v>1564710280</v>
      </c>
      <c r="G1009">
        <v>1586564056</v>
      </c>
      <c r="H1009">
        <v>1763524544</v>
      </c>
      <c r="I1009">
        <v>1838701952</v>
      </c>
      <c r="J1009">
        <v>1476194997</v>
      </c>
      <c r="K1009">
        <v>1175785408</v>
      </c>
      <c r="L1009">
        <v>885273438</v>
      </c>
      <c r="M1009">
        <v>828561625</v>
      </c>
      <c r="N1009">
        <v>759017584</v>
      </c>
      <c r="O1009">
        <v>536236072</v>
      </c>
      <c r="P1009">
        <v>434</v>
      </c>
      <c r="Q1009" t="s">
        <v>2293</v>
      </c>
    </row>
    <row r="1010" spans="1:17" x14ac:dyDescent="0.3">
      <c r="A1010" t="s">
        <v>17</v>
      </c>
      <c r="B1010" t="str">
        <f>"600545"</f>
        <v>600545</v>
      </c>
      <c r="C1010" t="s">
        <v>2294</v>
      </c>
      <c r="D1010" t="s">
        <v>2265</v>
      </c>
      <c r="E1010">
        <v>1521766000</v>
      </c>
      <c r="F1010">
        <v>1851825000</v>
      </c>
      <c r="G1010">
        <v>1069134000</v>
      </c>
      <c r="H1010">
        <v>1172706000</v>
      </c>
      <c r="I1010">
        <v>1256286000</v>
      </c>
      <c r="J1010">
        <v>384437181</v>
      </c>
      <c r="K1010">
        <v>596856820</v>
      </c>
      <c r="L1010">
        <v>675222661</v>
      </c>
      <c r="M1010">
        <v>641276023</v>
      </c>
      <c r="N1010">
        <v>888721064</v>
      </c>
      <c r="O1010">
        <v>77997799</v>
      </c>
      <c r="P1010">
        <v>134</v>
      </c>
      <c r="Q1010" t="s">
        <v>2295</v>
      </c>
    </row>
    <row r="1011" spans="1:17" x14ac:dyDescent="0.3">
      <c r="A1011" t="s">
        <v>17</v>
      </c>
      <c r="B1011" t="str">
        <f>"601163"</f>
        <v>601163</v>
      </c>
      <c r="C1011" t="s">
        <v>2296</v>
      </c>
      <c r="D1011" t="s">
        <v>904</v>
      </c>
      <c r="E1011">
        <v>1518948400</v>
      </c>
      <c r="F1011">
        <v>1834405088</v>
      </c>
      <c r="G1011">
        <v>1399472575</v>
      </c>
      <c r="H1011">
        <v>1138728547</v>
      </c>
      <c r="I1011">
        <v>1389562897</v>
      </c>
      <c r="J1011">
        <v>1391178275</v>
      </c>
      <c r="K1011">
        <v>1135809315</v>
      </c>
      <c r="P1011">
        <v>224</v>
      </c>
      <c r="Q1011" t="s">
        <v>2297</v>
      </c>
    </row>
    <row r="1012" spans="1:17" x14ac:dyDescent="0.3">
      <c r="A1012" t="s">
        <v>75</v>
      </c>
      <c r="B1012" t="str">
        <f>"002073"</f>
        <v>002073</v>
      </c>
      <c r="C1012" t="s">
        <v>2298</v>
      </c>
      <c r="D1012" t="s">
        <v>1624</v>
      </c>
      <c r="E1012">
        <v>1516506869</v>
      </c>
      <c r="F1012">
        <v>970177922</v>
      </c>
      <c r="G1012">
        <v>768658623</v>
      </c>
      <c r="H1012">
        <v>851205294</v>
      </c>
      <c r="I1012">
        <v>634533232</v>
      </c>
      <c r="J1012">
        <v>588886206</v>
      </c>
      <c r="K1012">
        <v>440312355</v>
      </c>
      <c r="L1012">
        <v>608017854</v>
      </c>
      <c r="M1012">
        <v>274610526</v>
      </c>
      <c r="N1012">
        <v>400230884</v>
      </c>
      <c r="O1012">
        <v>425105299</v>
      </c>
      <c r="P1012">
        <v>150</v>
      </c>
      <c r="Q1012" t="s">
        <v>2299</v>
      </c>
    </row>
    <row r="1013" spans="1:17" x14ac:dyDescent="0.3">
      <c r="A1013" t="s">
        <v>75</v>
      </c>
      <c r="B1013" t="str">
        <f>"000048"</f>
        <v>000048</v>
      </c>
      <c r="C1013" t="s">
        <v>2300</v>
      </c>
      <c r="D1013" t="s">
        <v>65</v>
      </c>
      <c r="E1013">
        <v>1516072451</v>
      </c>
      <c r="F1013">
        <v>611388609</v>
      </c>
      <c r="G1013">
        <v>987428597</v>
      </c>
      <c r="H1013">
        <v>1658207036</v>
      </c>
      <c r="I1013">
        <v>560714974</v>
      </c>
      <c r="J1013">
        <v>297812202</v>
      </c>
      <c r="K1013">
        <v>319620798</v>
      </c>
      <c r="L1013">
        <v>586250480</v>
      </c>
      <c r="M1013">
        <v>463786476</v>
      </c>
      <c r="N1013">
        <v>320861873</v>
      </c>
      <c r="O1013">
        <v>285394360</v>
      </c>
      <c r="P1013">
        <v>588</v>
      </c>
      <c r="Q1013" t="s">
        <v>2301</v>
      </c>
    </row>
    <row r="1014" spans="1:17" x14ac:dyDescent="0.3">
      <c r="A1014" t="s">
        <v>17</v>
      </c>
      <c r="B1014" t="str">
        <f>"605287"</f>
        <v>605287</v>
      </c>
      <c r="C1014" t="s">
        <v>2302</v>
      </c>
      <c r="D1014" t="s">
        <v>707</v>
      </c>
      <c r="E1014">
        <v>1515739242</v>
      </c>
      <c r="F1014">
        <v>1538000388</v>
      </c>
      <c r="P1014">
        <v>21</v>
      </c>
      <c r="Q1014" t="s">
        <v>2303</v>
      </c>
    </row>
    <row r="1015" spans="1:17" x14ac:dyDescent="0.3">
      <c r="A1015" t="s">
        <v>17</v>
      </c>
      <c r="B1015" t="str">
        <f>"603815"</f>
        <v>603815</v>
      </c>
      <c r="C1015" t="s">
        <v>2304</v>
      </c>
      <c r="D1015" t="s">
        <v>27</v>
      </c>
      <c r="E1015">
        <v>1511013251</v>
      </c>
      <c r="F1015">
        <v>802310790</v>
      </c>
      <c r="G1015">
        <v>608048829</v>
      </c>
      <c r="H1015">
        <v>670123672</v>
      </c>
      <c r="P1015">
        <v>85</v>
      </c>
      <c r="Q1015" t="s">
        <v>2305</v>
      </c>
    </row>
    <row r="1016" spans="1:17" x14ac:dyDescent="0.3">
      <c r="A1016" t="s">
        <v>75</v>
      </c>
      <c r="B1016" t="str">
        <f>"000826"</f>
        <v>000826</v>
      </c>
      <c r="C1016" t="s">
        <v>2306</v>
      </c>
      <c r="D1016" t="s">
        <v>2307</v>
      </c>
      <c r="E1016">
        <v>1507991491</v>
      </c>
      <c r="F1016">
        <v>1620965481</v>
      </c>
      <c r="G1016">
        <v>2088086780</v>
      </c>
      <c r="H1016">
        <v>1641504227</v>
      </c>
      <c r="I1016">
        <v>1430913252</v>
      </c>
      <c r="J1016">
        <v>653559088</v>
      </c>
      <c r="K1016">
        <v>731442334</v>
      </c>
      <c r="L1016">
        <v>331488758</v>
      </c>
      <c r="M1016">
        <v>163738638</v>
      </c>
      <c r="N1016">
        <v>116205743</v>
      </c>
      <c r="O1016">
        <v>272159189</v>
      </c>
      <c r="P1016">
        <v>559</v>
      </c>
      <c r="Q1016" t="s">
        <v>2308</v>
      </c>
    </row>
    <row r="1017" spans="1:17" x14ac:dyDescent="0.3">
      <c r="A1017" t="s">
        <v>17</v>
      </c>
      <c r="B1017" t="str">
        <f>"688575"</f>
        <v>688575</v>
      </c>
      <c r="C1017" t="s">
        <v>2309</v>
      </c>
      <c r="D1017" t="s">
        <v>967</v>
      </c>
      <c r="E1017">
        <v>1504672567</v>
      </c>
      <c r="F1017">
        <v>236189762</v>
      </c>
      <c r="G1017">
        <v>183574139</v>
      </c>
      <c r="P1017">
        <v>46</v>
      </c>
      <c r="Q1017" t="s">
        <v>2310</v>
      </c>
    </row>
    <row r="1018" spans="1:17" x14ac:dyDescent="0.3">
      <c r="A1018" t="s">
        <v>17</v>
      </c>
      <c r="B1018" t="str">
        <f>"600850"</f>
        <v>600850</v>
      </c>
      <c r="C1018" t="s">
        <v>2311</v>
      </c>
      <c r="D1018" t="s">
        <v>224</v>
      </c>
      <c r="E1018">
        <v>1503120966</v>
      </c>
      <c r="F1018">
        <v>2511032203</v>
      </c>
      <c r="G1018">
        <v>1130035231</v>
      </c>
      <c r="H1018">
        <v>1926104020</v>
      </c>
      <c r="I1018">
        <v>1688516878</v>
      </c>
      <c r="J1018">
        <v>1753694672</v>
      </c>
      <c r="K1018">
        <v>1469436791</v>
      </c>
      <c r="L1018">
        <v>1365038495</v>
      </c>
      <c r="M1018">
        <v>1357395272</v>
      </c>
      <c r="N1018">
        <v>1156214584</v>
      </c>
      <c r="O1018">
        <v>634725470</v>
      </c>
      <c r="P1018">
        <v>322</v>
      </c>
      <c r="Q1018" t="s">
        <v>2312</v>
      </c>
    </row>
    <row r="1019" spans="1:17" x14ac:dyDescent="0.3">
      <c r="A1019" t="s">
        <v>75</v>
      </c>
      <c r="B1019" t="str">
        <f>"002252"</f>
        <v>002252</v>
      </c>
      <c r="C1019" t="s">
        <v>2313</v>
      </c>
      <c r="D1019" t="s">
        <v>2314</v>
      </c>
      <c r="E1019">
        <v>1501667512</v>
      </c>
      <c r="F1019">
        <v>818663664</v>
      </c>
      <c r="G1019">
        <v>913107557</v>
      </c>
      <c r="H1019">
        <v>557535135</v>
      </c>
      <c r="I1019">
        <v>394471884</v>
      </c>
      <c r="J1019">
        <v>324469057</v>
      </c>
      <c r="K1019">
        <v>476982619</v>
      </c>
      <c r="L1019">
        <v>378859528</v>
      </c>
      <c r="M1019">
        <v>257481404</v>
      </c>
      <c r="N1019">
        <v>63484902</v>
      </c>
      <c r="O1019">
        <v>122593470</v>
      </c>
      <c r="P1019">
        <v>602</v>
      </c>
      <c r="Q1019" t="s">
        <v>2315</v>
      </c>
    </row>
    <row r="1020" spans="1:17" x14ac:dyDescent="0.3">
      <c r="A1020" t="s">
        <v>75</v>
      </c>
      <c r="B1020" t="str">
        <f>"300072"</f>
        <v>300072</v>
      </c>
      <c r="C1020" t="s">
        <v>2316</v>
      </c>
      <c r="D1020" t="s">
        <v>2317</v>
      </c>
      <c r="E1020">
        <v>1500633790</v>
      </c>
      <c r="F1020">
        <v>1617177683</v>
      </c>
      <c r="G1020">
        <v>1429299850</v>
      </c>
      <c r="H1020">
        <v>2163630715</v>
      </c>
      <c r="I1020">
        <v>2717907721</v>
      </c>
      <c r="J1020">
        <v>4600499808</v>
      </c>
      <c r="K1020">
        <v>651063682</v>
      </c>
      <c r="L1020">
        <v>461363445</v>
      </c>
      <c r="M1020">
        <v>154091231</v>
      </c>
      <c r="N1020">
        <v>237086454</v>
      </c>
      <c r="O1020">
        <v>80332795</v>
      </c>
      <c r="P1020">
        <v>1138</v>
      </c>
      <c r="Q1020" t="s">
        <v>2318</v>
      </c>
    </row>
    <row r="1021" spans="1:17" x14ac:dyDescent="0.3">
      <c r="A1021" t="s">
        <v>75</v>
      </c>
      <c r="B1021" t="str">
        <f>"002435"</f>
        <v>002435</v>
      </c>
      <c r="C1021" t="s">
        <v>2319</v>
      </c>
      <c r="D1021" t="s">
        <v>543</v>
      </c>
      <c r="E1021">
        <v>1498535859</v>
      </c>
      <c r="F1021">
        <v>1572548694</v>
      </c>
      <c r="G1021">
        <v>1013035889</v>
      </c>
      <c r="H1021">
        <v>1310121682</v>
      </c>
      <c r="I1021">
        <v>888419147</v>
      </c>
      <c r="J1021">
        <v>586921796</v>
      </c>
      <c r="K1021">
        <v>214558924</v>
      </c>
      <c r="L1021">
        <v>274097804</v>
      </c>
      <c r="M1021">
        <v>265923943</v>
      </c>
      <c r="N1021">
        <v>271225442</v>
      </c>
      <c r="O1021">
        <v>283732874</v>
      </c>
      <c r="P1021">
        <v>139</v>
      </c>
      <c r="Q1021" t="s">
        <v>2320</v>
      </c>
    </row>
    <row r="1022" spans="1:17" x14ac:dyDescent="0.3">
      <c r="A1022" t="s">
        <v>75</v>
      </c>
      <c r="B1022" t="str">
        <f>"002430"</f>
        <v>002430</v>
      </c>
      <c r="C1022" t="s">
        <v>2321</v>
      </c>
      <c r="D1022" t="s">
        <v>1624</v>
      </c>
      <c r="E1022">
        <v>1496040011</v>
      </c>
      <c r="F1022">
        <v>1439442732</v>
      </c>
      <c r="G1022">
        <v>902680012</v>
      </c>
      <c r="H1022">
        <v>1269174347</v>
      </c>
      <c r="I1022">
        <v>1197484036</v>
      </c>
      <c r="J1022">
        <v>737633352</v>
      </c>
      <c r="K1022">
        <v>510278217</v>
      </c>
      <c r="L1022">
        <v>615529624</v>
      </c>
      <c r="M1022">
        <v>721663927</v>
      </c>
      <c r="N1022">
        <v>861749493</v>
      </c>
      <c r="O1022">
        <v>710941479</v>
      </c>
      <c r="P1022">
        <v>395</v>
      </c>
      <c r="Q1022" t="s">
        <v>2322</v>
      </c>
    </row>
    <row r="1023" spans="1:17" x14ac:dyDescent="0.3">
      <c r="A1023" t="s">
        <v>75</v>
      </c>
      <c r="B1023" t="str">
        <f>"001203"</f>
        <v>001203</v>
      </c>
      <c r="C1023" t="s">
        <v>2323</v>
      </c>
      <c r="D1023" t="s">
        <v>2324</v>
      </c>
      <c r="E1023">
        <v>1493491059</v>
      </c>
      <c r="F1023">
        <v>825487720</v>
      </c>
      <c r="G1023">
        <v>428188003</v>
      </c>
      <c r="P1023">
        <v>80</v>
      </c>
      <c r="Q1023" t="s">
        <v>2325</v>
      </c>
    </row>
    <row r="1024" spans="1:17" x14ac:dyDescent="0.3">
      <c r="A1024" t="s">
        <v>75</v>
      </c>
      <c r="B1024" t="str">
        <f>"300975"</f>
        <v>300975</v>
      </c>
      <c r="C1024" t="s">
        <v>2326</v>
      </c>
      <c r="D1024" t="s">
        <v>221</v>
      </c>
      <c r="E1024">
        <v>1486460222</v>
      </c>
      <c r="F1024">
        <v>879427964</v>
      </c>
      <c r="G1024">
        <v>674563695</v>
      </c>
      <c r="P1024">
        <v>30</v>
      </c>
      <c r="Q1024" t="s">
        <v>2327</v>
      </c>
    </row>
    <row r="1025" spans="1:17" x14ac:dyDescent="0.3">
      <c r="A1025" t="s">
        <v>17</v>
      </c>
      <c r="B1025" t="str">
        <f>"603733"</f>
        <v>603733</v>
      </c>
      <c r="C1025" t="s">
        <v>2328</v>
      </c>
      <c r="D1025" t="s">
        <v>2183</v>
      </c>
      <c r="E1025">
        <v>1485181052</v>
      </c>
      <c r="F1025">
        <v>1163126266</v>
      </c>
      <c r="G1025">
        <v>805156936</v>
      </c>
      <c r="H1025">
        <v>958346119</v>
      </c>
      <c r="I1025">
        <v>452852478</v>
      </c>
      <c r="J1025">
        <v>434347060</v>
      </c>
      <c r="P1025">
        <v>233</v>
      </c>
      <c r="Q1025" t="s">
        <v>2329</v>
      </c>
    </row>
    <row r="1026" spans="1:17" x14ac:dyDescent="0.3">
      <c r="A1026" t="s">
        <v>75</v>
      </c>
      <c r="B1026" t="str">
        <f>"002932"</f>
        <v>002932</v>
      </c>
      <c r="C1026" t="s">
        <v>2330</v>
      </c>
      <c r="D1026" t="s">
        <v>967</v>
      </c>
      <c r="E1026">
        <v>1484673583</v>
      </c>
      <c r="F1026">
        <v>591763329</v>
      </c>
      <c r="G1026">
        <v>41502239</v>
      </c>
      <c r="H1026">
        <v>44595036</v>
      </c>
      <c r="I1026">
        <v>31878024</v>
      </c>
      <c r="P1026">
        <v>423</v>
      </c>
      <c r="Q1026" t="s">
        <v>2331</v>
      </c>
    </row>
    <row r="1027" spans="1:17" x14ac:dyDescent="0.3">
      <c r="A1027" t="s">
        <v>17</v>
      </c>
      <c r="B1027" t="str">
        <f>"603611"</f>
        <v>603611</v>
      </c>
      <c r="C1027" t="s">
        <v>2332</v>
      </c>
      <c r="D1027" t="s">
        <v>262</v>
      </c>
      <c r="E1027">
        <v>1479136721</v>
      </c>
      <c r="F1027">
        <v>1114033519</v>
      </c>
      <c r="G1027">
        <v>786426298</v>
      </c>
      <c r="H1027">
        <v>636463328</v>
      </c>
      <c r="I1027">
        <v>496195753</v>
      </c>
      <c r="J1027">
        <v>510370960</v>
      </c>
      <c r="K1027">
        <v>277211906</v>
      </c>
      <c r="L1027">
        <v>222254526</v>
      </c>
      <c r="M1027">
        <v>238417004</v>
      </c>
      <c r="P1027">
        <v>315</v>
      </c>
      <c r="Q1027" t="s">
        <v>2333</v>
      </c>
    </row>
    <row r="1028" spans="1:17" x14ac:dyDescent="0.3">
      <c r="A1028" t="s">
        <v>75</v>
      </c>
      <c r="B1028" t="str">
        <f>"000726"</f>
        <v>000726</v>
      </c>
      <c r="C1028" t="s">
        <v>2334</v>
      </c>
      <c r="D1028" t="s">
        <v>1050</v>
      </c>
      <c r="E1028">
        <v>1478567180</v>
      </c>
      <c r="F1028">
        <v>997750758</v>
      </c>
      <c r="G1028">
        <v>1336068394</v>
      </c>
      <c r="H1028">
        <v>1494044827</v>
      </c>
      <c r="I1028">
        <v>1481659910</v>
      </c>
      <c r="J1028">
        <v>1364726116</v>
      </c>
      <c r="K1028">
        <v>1278929581</v>
      </c>
      <c r="L1028">
        <v>1409322323</v>
      </c>
      <c r="M1028">
        <v>1687365415</v>
      </c>
      <c r="N1028">
        <v>1599080890</v>
      </c>
      <c r="O1028">
        <v>1456420224</v>
      </c>
      <c r="P1028">
        <v>980</v>
      </c>
      <c r="Q1028" t="s">
        <v>2335</v>
      </c>
    </row>
    <row r="1029" spans="1:17" x14ac:dyDescent="0.3">
      <c r="A1029" t="s">
        <v>17</v>
      </c>
      <c r="B1029" t="str">
        <f>"688169"</f>
        <v>688169</v>
      </c>
      <c r="C1029" t="s">
        <v>2336</v>
      </c>
      <c r="D1029" t="s">
        <v>1138</v>
      </c>
      <c r="E1029">
        <v>1477645794</v>
      </c>
      <c r="F1029">
        <v>1231773116</v>
      </c>
      <c r="G1029">
        <v>823810101</v>
      </c>
      <c r="H1029">
        <v>1107668029</v>
      </c>
      <c r="P1029">
        <v>758</v>
      </c>
      <c r="Q1029" t="s">
        <v>2337</v>
      </c>
    </row>
    <row r="1030" spans="1:17" x14ac:dyDescent="0.3">
      <c r="A1030" t="s">
        <v>75</v>
      </c>
      <c r="B1030" t="str">
        <f>"300748"</f>
        <v>300748</v>
      </c>
      <c r="C1030" t="s">
        <v>2338</v>
      </c>
      <c r="D1030" t="s">
        <v>1096</v>
      </c>
      <c r="E1030">
        <v>1476334318</v>
      </c>
      <c r="F1030">
        <v>647500550</v>
      </c>
      <c r="G1030">
        <v>274264377</v>
      </c>
      <c r="H1030">
        <v>263194042</v>
      </c>
      <c r="I1030">
        <v>239242373</v>
      </c>
      <c r="P1030">
        <v>341</v>
      </c>
      <c r="Q1030" t="s">
        <v>2339</v>
      </c>
    </row>
    <row r="1031" spans="1:17" x14ac:dyDescent="0.3">
      <c r="A1031" t="s">
        <v>17</v>
      </c>
      <c r="B1031" t="str">
        <f>"688289"</f>
        <v>688289</v>
      </c>
      <c r="C1031" t="s">
        <v>2340</v>
      </c>
      <c r="D1031" t="s">
        <v>967</v>
      </c>
      <c r="E1031">
        <v>1474508312</v>
      </c>
      <c r="F1031">
        <v>1016524351</v>
      </c>
      <c r="G1031">
        <v>317754469</v>
      </c>
      <c r="H1031">
        <v>66890921</v>
      </c>
      <c r="P1031">
        <v>209</v>
      </c>
      <c r="Q1031" t="s">
        <v>2341</v>
      </c>
    </row>
    <row r="1032" spans="1:17" x14ac:dyDescent="0.3">
      <c r="A1032" t="s">
        <v>17</v>
      </c>
      <c r="B1032" t="str">
        <f>"600618"</f>
        <v>600618</v>
      </c>
      <c r="C1032" t="s">
        <v>2342</v>
      </c>
      <c r="D1032" t="s">
        <v>311</v>
      </c>
      <c r="E1032">
        <v>1473948121</v>
      </c>
      <c r="F1032">
        <v>1175491338</v>
      </c>
      <c r="G1032">
        <v>1042326711</v>
      </c>
      <c r="H1032">
        <v>1251022411</v>
      </c>
      <c r="I1032">
        <v>1429072741</v>
      </c>
      <c r="J1032">
        <v>1478620251</v>
      </c>
      <c r="K1032">
        <v>1216060792</v>
      </c>
      <c r="L1032">
        <v>1625176445</v>
      </c>
      <c r="M1032">
        <v>1527859855</v>
      </c>
      <c r="N1032">
        <v>1516037711</v>
      </c>
      <c r="O1032">
        <v>1558796823</v>
      </c>
      <c r="P1032">
        <v>253</v>
      </c>
      <c r="Q1032" t="s">
        <v>2343</v>
      </c>
    </row>
    <row r="1033" spans="1:17" x14ac:dyDescent="0.3">
      <c r="A1033" t="s">
        <v>75</v>
      </c>
      <c r="B1033" t="str">
        <f>"002737"</f>
        <v>002737</v>
      </c>
      <c r="C1033" t="s">
        <v>2344</v>
      </c>
      <c r="D1033" t="s">
        <v>321</v>
      </c>
      <c r="E1033">
        <v>1473734952</v>
      </c>
      <c r="F1033">
        <v>1307530378</v>
      </c>
      <c r="G1033">
        <v>975638413</v>
      </c>
      <c r="H1033">
        <v>1226437712</v>
      </c>
      <c r="I1033">
        <v>1222469327</v>
      </c>
      <c r="J1033">
        <v>988767645</v>
      </c>
      <c r="K1033">
        <v>924099730</v>
      </c>
      <c r="L1033">
        <v>859932653</v>
      </c>
      <c r="M1033">
        <v>730289654</v>
      </c>
      <c r="P1033">
        <v>1117</v>
      </c>
      <c r="Q1033" t="s">
        <v>2345</v>
      </c>
    </row>
    <row r="1034" spans="1:17" x14ac:dyDescent="0.3">
      <c r="A1034" t="s">
        <v>17</v>
      </c>
      <c r="B1034" t="str">
        <f>"600988"</f>
        <v>600988</v>
      </c>
      <c r="C1034" t="s">
        <v>2346</v>
      </c>
      <c r="D1034" t="s">
        <v>390</v>
      </c>
      <c r="E1034">
        <v>1471857721</v>
      </c>
      <c r="F1034">
        <v>764685891</v>
      </c>
      <c r="G1034">
        <v>1401191220</v>
      </c>
      <c r="H1034">
        <v>1543203332</v>
      </c>
      <c r="I1034">
        <v>656950098</v>
      </c>
      <c r="J1034">
        <v>195279410</v>
      </c>
      <c r="K1034">
        <v>215588815</v>
      </c>
      <c r="L1034">
        <v>144171281</v>
      </c>
      <c r="M1034">
        <v>60511822</v>
      </c>
      <c r="N1034">
        <v>133851637</v>
      </c>
      <c r="O1034">
        <v>17708885</v>
      </c>
      <c r="P1034">
        <v>487</v>
      </c>
      <c r="Q1034" t="s">
        <v>2347</v>
      </c>
    </row>
    <row r="1035" spans="1:17" x14ac:dyDescent="0.3">
      <c r="A1035" t="s">
        <v>17</v>
      </c>
      <c r="B1035" t="str">
        <f>"603661"</f>
        <v>603661</v>
      </c>
      <c r="C1035" t="s">
        <v>2348</v>
      </c>
      <c r="D1035" t="s">
        <v>1123</v>
      </c>
      <c r="E1035">
        <v>1470078881</v>
      </c>
      <c r="F1035">
        <v>1143252867</v>
      </c>
      <c r="G1035">
        <v>611896482</v>
      </c>
      <c r="H1035">
        <v>625421233</v>
      </c>
      <c r="I1035">
        <v>455412899</v>
      </c>
      <c r="J1035">
        <v>431674421</v>
      </c>
      <c r="P1035">
        <v>148</v>
      </c>
      <c r="Q1035" t="s">
        <v>2349</v>
      </c>
    </row>
    <row r="1036" spans="1:17" x14ac:dyDescent="0.3">
      <c r="A1036" t="s">
        <v>17</v>
      </c>
      <c r="B1036" t="str">
        <f>"688180"</f>
        <v>688180</v>
      </c>
      <c r="C1036" t="s">
        <v>2350</v>
      </c>
      <c r="D1036" t="s">
        <v>1533</v>
      </c>
      <c r="E1036">
        <v>1469497555</v>
      </c>
      <c r="F1036">
        <v>1470641875</v>
      </c>
      <c r="G1036">
        <v>178166516</v>
      </c>
      <c r="H1036">
        <v>11203017</v>
      </c>
      <c r="P1036">
        <v>206</v>
      </c>
      <c r="Q1036" t="s">
        <v>2351</v>
      </c>
    </row>
    <row r="1037" spans="1:17" x14ac:dyDescent="0.3">
      <c r="A1037" t="s">
        <v>17</v>
      </c>
      <c r="B1037" t="str">
        <f>"603777"</f>
        <v>603777</v>
      </c>
      <c r="C1037" t="s">
        <v>2352</v>
      </c>
      <c r="D1037" t="s">
        <v>1268</v>
      </c>
      <c r="E1037">
        <v>1468617634</v>
      </c>
      <c r="F1037">
        <v>1359469762</v>
      </c>
      <c r="G1037">
        <v>1471208761</v>
      </c>
      <c r="H1037">
        <v>1370876423</v>
      </c>
      <c r="I1037">
        <v>1369316354</v>
      </c>
      <c r="J1037">
        <v>1252220702</v>
      </c>
      <c r="K1037">
        <v>1203422712</v>
      </c>
      <c r="P1037">
        <v>259</v>
      </c>
      <c r="Q1037" t="s">
        <v>2353</v>
      </c>
    </row>
    <row r="1038" spans="1:17" x14ac:dyDescent="0.3">
      <c r="A1038" t="s">
        <v>75</v>
      </c>
      <c r="B1038" t="str">
        <f>"002471"</f>
        <v>002471</v>
      </c>
      <c r="C1038" t="s">
        <v>2354</v>
      </c>
      <c r="D1038" t="s">
        <v>562</v>
      </c>
      <c r="E1038">
        <v>1468484324</v>
      </c>
      <c r="F1038">
        <v>1142182378</v>
      </c>
      <c r="G1038">
        <v>960012114</v>
      </c>
      <c r="H1038">
        <v>1779742049</v>
      </c>
      <c r="I1038">
        <v>1833055470</v>
      </c>
      <c r="J1038">
        <v>1285605661</v>
      </c>
      <c r="K1038">
        <v>1364211439</v>
      </c>
      <c r="L1038">
        <v>1192693895</v>
      </c>
      <c r="M1038">
        <v>902279229</v>
      </c>
      <c r="N1038">
        <v>852066079</v>
      </c>
      <c r="O1038">
        <v>381983482</v>
      </c>
      <c r="P1038">
        <v>92</v>
      </c>
      <c r="Q1038" t="s">
        <v>2355</v>
      </c>
    </row>
    <row r="1039" spans="1:17" x14ac:dyDescent="0.3">
      <c r="A1039" t="s">
        <v>17</v>
      </c>
      <c r="B1039" t="str">
        <f>"601956"</f>
        <v>601956</v>
      </c>
      <c r="C1039" t="s">
        <v>2356</v>
      </c>
      <c r="D1039" t="s">
        <v>1063</v>
      </c>
      <c r="E1039">
        <v>1463537980</v>
      </c>
      <c r="F1039">
        <v>1573463909</v>
      </c>
      <c r="G1039">
        <v>864962701</v>
      </c>
      <c r="P1039">
        <v>23</v>
      </c>
      <c r="Q1039" t="s">
        <v>2357</v>
      </c>
    </row>
    <row r="1040" spans="1:17" x14ac:dyDescent="0.3">
      <c r="A1040" t="s">
        <v>75</v>
      </c>
      <c r="B1040" t="str">
        <f>"000948"</f>
        <v>000948</v>
      </c>
      <c r="C1040" t="s">
        <v>2358</v>
      </c>
      <c r="D1040" t="s">
        <v>116</v>
      </c>
      <c r="E1040">
        <v>1463500591</v>
      </c>
      <c r="F1040">
        <v>672194565</v>
      </c>
      <c r="G1040">
        <v>439691204</v>
      </c>
      <c r="H1040">
        <v>211976148</v>
      </c>
      <c r="I1040">
        <v>206278805</v>
      </c>
      <c r="J1040">
        <v>243618165</v>
      </c>
      <c r="K1040">
        <v>218542142</v>
      </c>
      <c r="L1040">
        <v>286592625</v>
      </c>
      <c r="M1040">
        <v>250522313</v>
      </c>
      <c r="N1040">
        <v>302460686</v>
      </c>
      <c r="O1040">
        <v>323601950</v>
      </c>
      <c r="P1040">
        <v>213</v>
      </c>
      <c r="Q1040" t="s">
        <v>2359</v>
      </c>
    </row>
    <row r="1041" spans="1:17" x14ac:dyDescent="0.3">
      <c r="A1041" t="s">
        <v>75</v>
      </c>
      <c r="B1041" t="str">
        <f>"300223"</f>
        <v>300223</v>
      </c>
      <c r="C1041" t="s">
        <v>2360</v>
      </c>
      <c r="D1041" t="s">
        <v>883</v>
      </c>
      <c r="E1041">
        <v>1457446448</v>
      </c>
      <c r="F1041">
        <v>1038201072</v>
      </c>
      <c r="G1041">
        <v>75716513</v>
      </c>
      <c r="H1041">
        <v>73463730</v>
      </c>
      <c r="I1041">
        <v>55472999</v>
      </c>
      <c r="J1041">
        <v>48754449</v>
      </c>
      <c r="K1041">
        <v>23636063</v>
      </c>
      <c r="L1041">
        <v>15683955</v>
      </c>
      <c r="M1041">
        <v>25475708</v>
      </c>
      <c r="N1041">
        <v>27309076</v>
      </c>
      <c r="O1041">
        <v>41710631</v>
      </c>
      <c r="P1041">
        <v>612</v>
      </c>
      <c r="Q1041" t="s">
        <v>2361</v>
      </c>
    </row>
    <row r="1042" spans="1:17" x14ac:dyDescent="0.3">
      <c r="A1042" t="s">
        <v>75</v>
      </c>
      <c r="B1042" t="str">
        <f>"002336"</f>
        <v>002336</v>
      </c>
      <c r="C1042" t="s">
        <v>2362</v>
      </c>
      <c r="D1042" t="s">
        <v>208</v>
      </c>
      <c r="E1042">
        <v>1457421010</v>
      </c>
      <c r="F1042">
        <v>2024095161</v>
      </c>
      <c r="G1042">
        <v>2226257161</v>
      </c>
      <c r="H1042">
        <v>2418464508</v>
      </c>
      <c r="I1042">
        <v>2625970043</v>
      </c>
      <c r="J1042">
        <v>2914518914</v>
      </c>
      <c r="K1042">
        <v>3277047717</v>
      </c>
      <c r="L1042">
        <v>3511882769</v>
      </c>
      <c r="M1042">
        <v>3738906797</v>
      </c>
      <c r="N1042">
        <v>3897937922</v>
      </c>
      <c r="O1042">
        <v>3904422231</v>
      </c>
      <c r="P1042">
        <v>69</v>
      </c>
      <c r="Q1042" t="s">
        <v>2363</v>
      </c>
    </row>
    <row r="1043" spans="1:17" x14ac:dyDescent="0.3">
      <c r="A1043" t="s">
        <v>17</v>
      </c>
      <c r="B1043" t="str">
        <f>"600758"</f>
        <v>600758</v>
      </c>
      <c r="C1043" t="s">
        <v>2364</v>
      </c>
      <c r="D1043" t="s">
        <v>306</v>
      </c>
      <c r="E1043">
        <v>1456623285</v>
      </c>
      <c r="F1043">
        <v>1232554391</v>
      </c>
      <c r="G1043">
        <v>1305521608</v>
      </c>
      <c r="H1043">
        <v>1758824797</v>
      </c>
      <c r="I1043">
        <v>1879753353</v>
      </c>
      <c r="J1043">
        <v>1548882138</v>
      </c>
      <c r="K1043">
        <v>687156662</v>
      </c>
      <c r="L1043">
        <v>38503834</v>
      </c>
      <c r="M1043">
        <v>42380397</v>
      </c>
      <c r="N1043">
        <v>17244565</v>
      </c>
      <c r="O1043">
        <v>33079596</v>
      </c>
      <c r="P1043">
        <v>126</v>
      </c>
      <c r="Q1043" t="s">
        <v>2365</v>
      </c>
    </row>
    <row r="1044" spans="1:17" x14ac:dyDescent="0.3">
      <c r="A1044" t="s">
        <v>75</v>
      </c>
      <c r="B1044" t="str">
        <f>"002083"</f>
        <v>002083</v>
      </c>
      <c r="C1044" t="s">
        <v>2366</v>
      </c>
      <c r="D1044" t="s">
        <v>1050</v>
      </c>
      <c r="E1044">
        <v>1455433421</v>
      </c>
      <c r="F1044">
        <v>1471341669</v>
      </c>
      <c r="G1044">
        <v>1537011698</v>
      </c>
      <c r="H1044">
        <v>1463349422</v>
      </c>
      <c r="I1044">
        <v>1192305455</v>
      </c>
      <c r="J1044">
        <v>1198120152</v>
      </c>
      <c r="K1044">
        <v>1165456287</v>
      </c>
      <c r="L1044">
        <v>1212505555</v>
      </c>
      <c r="M1044">
        <v>1203612628</v>
      </c>
      <c r="N1044">
        <v>1259242486</v>
      </c>
      <c r="O1044">
        <v>1254176616</v>
      </c>
      <c r="P1044">
        <v>283</v>
      </c>
      <c r="Q1044" t="s">
        <v>2367</v>
      </c>
    </row>
    <row r="1045" spans="1:17" x14ac:dyDescent="0.3">
      <c r="A1045" t="s">
        <v>75</v>
      </c>
      <c r="B1045" t="str">
        <f>"000680"</f>
        <v>000680</v>
      </c>
      <c r="C1045" t="s">
        <v>2368</v>
      </c>
      <c r="D1045" t="s">
        <v>262</v>
      </c>
      <c r="E1045">
        <v>1454592243</v>
      </c>
      <c r="F1045">
        <v>1696574921</v>
      </c>
      <c r="G1045">
        <v>1117350230</v>
      </c>
      <c r="H1045">
        <v>1356168763</v>
      </c>
      <c r="I1045">
        <v>907399872</v>
      </c>
      <c r="J1045">
        <v>959743126</v>
      </c>
      <c r="K1045">
        <v>575209187</v>
      </c>
      <c r="L1045">
        <v>1196516922</v>
      </c>
      <c r="M1045">
        <v>1302003323</v>
      </c>
      <c r="N1045">
        <v>1317524363</v>
      </c>
      <c r="O1045">
        <v>2101965064</v>
      </c>
      <c r="P1045">
        <v>120</v>
      </c>
      <c r="Q1045" t="s">
        <v>2369</v>
      </c>
    </row>
    <row r="1046" spans="1:17" x14ac:dyDescent="0.3">
      <c r="A1046" t="s">
        <v>75</v>
      </c>
      <c r="B1046" t="str">
        <f>"002295"</f>
        <v>002295</v>
      </c>
      <c r="C1046" t="s">
        <v>2370</v>
      </c>
      <c r="D1046" t="s">
        <v>45</v>
      </c>
      <c r="E1046">
        <v>1453397972</v>
      </c>
      <c r="F1046">
        <v>1599832702</v>
      </c>
      <c r="G1046">
        <v>1312133720</v>
      </c>
      <c r="H1046">
        <v>1600811757</v>
      </c>
      <c r="I1046">
        <v>1396466774</v>
      </c>
      <c r="J1046">
        <v>926238458</v>
      </c>
      <c r="K1046">
        <v>887560714</v>
      </c>
      <c r="L1046">
        <v>732223255</v>
      </c>
      <c r="M1046">
        <v>556586170</v>
      </c>
      <c r="N1046">
        <v>590857838</v>
      </c>
      <c r="O1046">
        <v>753322855</v>
      </c>
      <c r="P1046">
        <v>56</v>
      </c>
      <c r="Q1046" t="s">
        <v>2371</v>
      </c>
    </row>
    <row r="1047" spans="1:17" x14ac:dyDescent="0.3">
      <c r="A1047" t="s">
        <v>17</v>
      </c>
      <c r="B1047" t="str">
        <f>"600681"</f>
        <v>600681</v>
      </c>
      <c r="C1047" t="s">
        <v>2372</v>
      </c>
      <c r="D1047" t="s">
        <v>147</v>
      </c>
      <c r="E1047">
        <v>1452441204</v>
      </c>
      <c r="F1047">
        <v>1577052096</v>
      </c>
      <c r="G1047">
        <v>1121234285</v>
      </c>
      <c r="H1047">
        <v>1347062432</v>
      </c>
      <c r="I1047">
        <v>1260952719</v>
      </c>
      <c r="J1047">
        <v>502859103</v>
      </c>
      <c r="K1047">
        <v>295485320</v>
      </c>
      <c r="L1047">
        <v>5624266</v>
      </c>
      <c r="M1047">
        <v>7455296</v>
      </c>
      <c r="N1047">
        <v>35290410</v>
      </c>
      <c r="O1047">
        <v>5140099</v>
      </c>
      <c r="P1047">
        <v>472</v>
      </c>
      <c r="Q1047" t="s">
        <v>2373</v>
      </c>
    </row>
    <row r="1048" spans="1:17" x14ac:dyDescent="0.3">
      <c r="A1048" t="s">
        <v>75</v>
      </c>
      <c r="B1048" t="str">
        <f>"002925"</f>
        <v>002925</v>
      </c>
      <c r="C1048" t="s">
        <v>2374</v>
      </c>
      <c r="D1048" t="s">
        <v>55</v>
      </c>
      <c r="E1048">
        <v>1450155626</v>
      </c>
      <c r="F1048">
        <v>1925892976</v>
      </c>
      <c r="G1048">
        <v>1061012907</v>
      </c>
      <c r="H1048">
        <v>741006087</v>
      </c>
      <c r="I1048">
        <v>985140204</v>
      </c>
      <c r="J1048">
        <v>683555193</v>
      </c>
      <c r="P1048">
        <v>1061</v>
      </c>
      <c r="Q1048" t="s">
        <v>2375</v>
      </c>
    </row>
    <row r="1049" spans="1:17" x14ac:dyDescent="0.3">
      <c r="A1049" t="s">
        <v>75</v>
      </c>
      <c r="B1049" t="str">
        <f>"002941"</f>
        <v>002941</v>
      </c>
      <c r="C1049" t="s">
        <v>2376</v>
      </c>
      <c r="D1049" t="s">
        <v>27</v>
      </c>
      <c r="E1049">
        <v>1446786791</v>
      </c>
      <c r="F1049">
        <v>1168817776</v>
      </c>
      <c r="G1049">
        <v>521498595</v>
      </c>
      <c r="H1049">
        <v>604233892</v>
      </c>
      <c r="I1049">
        <v>768419131</v>
      </c>
      <c r="P1049">
        <v>145</v>
      </c>
      <c r="Q1049" t="s">
        <v>2377</v>
      </c>
    </row>
    <row r="1050" spans="1:17" x14ac:dyDescent="0.3">
      <c r="A1050" t="s">
        <v>75</v>
      </c>
      <c r="B1050" t="str">
        <f>"002752"</f>
        <v>002752</v>
      </c>
      <c r="C1050" t="s">
        <v>2378</v>
      </c>
      <c r="D1050" t="s">
        <v>1347</v>
      </c>
      <c r="E1050">
        <v>1443214200</v>
      </c>
      <c r="F1050">
        <v>895447684</v>
      </c>
      <c r="G1050">
        <v>653342049</v>
      </c>
      <c r="H1050">
        <v>746207236</v>
      </c>
      <c r="I1050">
        <v>655362015</v>
      </c>
      <c r="J1050">
        <v>835423057</v>
      </c>
      <c r="K1050">
        <v>766923029</v>
      </c>
      <c r="L1050">
        <v>587970324</v>
      </c>
      <c r="M1050">
        <v>463367397</v>
      </c>
      <c r="P1050">
        <v>79</v>
      </c>
      <c r="Q1050" t="s">
        <v>2379</v>
      </c>
    </row>
    <row r="1051" spans="1:17" x14ac:dyDescent="0.3">
      <c r="A1051" t="s">
        <v>75</v>
      </c>
      <c r="B1051" t="str">
        <f>"000413"</f>
        <v>000413</v>
      </c>
      <c r="C1051" t="s">
        <v>2380</v>
      </c>
      <c r="D1051" t="s">
        <v>128</v>
      </c>
      <c r="E1051">
        <v>1441778203</v>
      </c>
      <c r="F1051">
        <v>2078798080</v>
      </c>
      <c r="G1051">
        <v>1865598800</v>
      </c>
      <c r="H1051">
        <v>5076060942</v>
      </c>
      <c r="I1051">
        <v>4593763600</v>
      </c>
      <c r="J1051">
        <v>3032833392</v>
      </c>
      <c r="K1051">
        <v>1492494598</v>
      </c>
      <c r="L1051">
        <v>362946886</v>
      </c>
      <c r="M1051">
        <v>105039196</v>
      </c>
      <c r="N1051">
        <v>250072132</v>
      </c>
      <c r="O1051">
        <v>84356191</v>
      </c>
      <c r="P1051">
        <v>525</v>
      </c>
      <c r="Q1051" t="s">
        <v>2381</v>
      </c>
    </row>
    <row r="1052" spans="1:17" x14ac:dyDescent="0.3">
      <c r="A1052" t="s">
        <v>75</v>
      </c>
      <c r="B1052" t="str">
        <f>"000923"</f>
        <v>000923</v>
      </c>
      <c r="C1052" t="s">
        <v>2382</v>
      </c>
      <c r="D1052" t="s">
        <v>2324</v>
      </c>
      <c r="E1052">
        <v>1441621685</v>
      </c>
      <c r="F1052">
        <v>1750770150</v>
      </c>
      <c r="G1052">
        <v>1271906882</v>
      </c>
      <c r="H1052">
        <v>1221043041</v>
      </c>
      <c r="I1052">
        <v>996628513</v>
      </c>
      <c r="J1052">
        <v>42669712</v>
      </c>
      <c r="K1052">
        <v>43133686</v>
      </c>
      <c r="L1052">
        <v>35084616</v>
      </c>
      <c r="M1052">
        <v>147214770</v>
      </c>
      <c r="N1052">
        <v>47113176</v>
      </c>
      <c r="O1052">
        <v>94235080</v>
      </c>
      <c r="P1052">
        <v>224</v>
      </c>
      <c r="Q1052" t="s">
        <v>2383</v>
      </c>
    </row>
    <row r="1053" spans="1:17" x14ac:dyDescent="0.3">
      <c r="A1053" t="s">
        <v>17</v>
      </c>
      <c r="B1053" t="str">
        <f>"601865"</f>
        <v>601865</v>
      </c>
      <c r="C1053" t="s">
        <v>2384</v>
      </c>
      <c r="D1053" t="s">
        <v>1512</v>
      </c>
      <c r="E1053">
        <v>1439899628</v>
      </c>
      <c r="F1053">
        <v>1114840643</v>
      </c>
      <c r="G1053">
        <v>1296603528</v>
      </c>
      <c r="H1053">
        <v>998015438</v>
      </c>
      <c r="I1053">
        <v>1036806540</v>
      </c>
      <c r="P1053">
        <v>925</v>
      </c>
      <c r="Q1053" t="s">
        <v>2385</v>
      </c>
    </row>
    <row r="1054" spans="1:17" x14ac:dyDescent="0.3">
      <c r="A1054" t="s">
        <v>17</v>
      </c>
      <c r="B1054" t="str">
        <f>"600525"</f>
        <v>600525</v>
      </c>
      <c r="C1054" t="s">
        <v>2386</v>
      </c>
      <c r="D1054" t="s">
        <v>347</v>
      </c>
      <c r="E1054">
        <v>1438044905</v>
      </c>
      <c r="F1054">
        <v>1544142582</v>
      </c>
      <c r="G1054">
        <v>1102541939</v>
      </c>
      <c r="H1054">
        <v>1705049076</v>
      </c>
      <c r="I1054">
        <v>1847145803</v>
      </c>
      <c r="J1054">
        <v>1406813950</v>
      </c>
      <c r="K1054">
        <v>1002175908</v>
      </c>
      <c r="L1054">
        <v>844835979</v>
      </c>
      <c r="M1054">
        <v>638635055</v>
      </c>
      <c r="N1054">
        <v>589127585</v>
      </c>
      <c r="O1054">
        <v>487998518</v>
      </c>
      <c r="P1054">
        <v>254</v>
      </c>
      <c r="Q1054" t="s">
        <v>2387</v>
      </c>
    </row>
    <row r="1055" spans="1:17" x14ac:dyDescent="0.3">
      <c r="A1055" t="s">
        <v>17</v>
      </c>
      <c r="B1055" t="str">
        <f>"600327"</f>
        <v>600327</v>
      </c>
      <c r="C1055" t="s">
        <v>2388</v>
      </c>
      <c r="D1055" t="s">
        <v>150</v>
      </c>
      <c r="E1055">
        <v>1436265731</v>
      </c>
      <c r="F1055">
        <v>3097648038</v>
      </c>
      <c r="G1055">
        <v>1768307204</v>
      </c>
      <c r="H1055">
        <v>2563036141</v>
      </c>
      <c r="I1055">
        <v>2826111291</v>
      </c>
      <c r="J1055">
        <v>2534722533</v>
      </c>
      <c r="K1055">
        <v>2623753034</v>
      </c>
      <c r="L1055">
        <v>2628228416</v>
      </c>
      <c r="M1055">
        <v>2724194337</v>
      </c>
      <c r="N1055">
        <v>2670861619</v>
      </c>
      <c r="O1055">
        <v>2233335141</v>
      </c>
      <c r="P1055">
        <v>221</v>
      </c>
      <c r="Q1055" t="s">
        <v>2389</v>
      </c>
    </row>
    <row r="1056" spans="1:17" x14ac:dyDescent="0.3">
      <c r="A1056" t="s">
        <v>75</v>
      </c>
      <c r="B1056" t="str">
        <f>"002540"</f>
        <v>002540</v>
      </c>
      <c r="C1056" t="s">
        <v>2390</v>
      </c>
      <c r="D1056" t="s">
        <v>96</v>
      </c>
      <c r="E1056">
        <v>1436156477</v>
      </c>
      <c r="F1056">
        <v>1128526804</v>
      </c>
      <c r="G1056">
        <v>955913456</v>
      </c>
      <c r="H1056">
        <v>805086328</v>
      </c>
      <c r="I1056">
        <v>979025659</v>
      </c>
      <c r="J1056">
        <v>709465532</v>
      </c>
      <c r="K1056">
        <v>562062218</v>
      </c>
      <c r="L1056">
        <v>562373883</v>
      </c>
      <c r="M1056">
        <v>472735891</v>
      </c>
      <c r="N1056">
        <v>476561120</v>
      </c>
      <c r="O1056">
        <v>344044693</v>
      </c>
      <c r="P1056">
        <v>161</v>
      </c>
      <c r="Q1056" t="s">
        <v>2391</v>
      </c>
    </row>
    <row r="1057" spans="1:17" x14ac:dyDescent="0.3">
      <c r="A1057" t="s">
        <v>17</v>
      </c>
      <c r="B1057" t="str">
        <f>"603599"</f>
        <v>603599</v>
      </c>
      <c r="C1057" t="s">
        <v>2392</v>
      </c>
      <c r="D1057" t="s">
        <v>811</v>
      </c>
      <c r="E1057">
        <v>1434894217</v>
      </c>
      <c r="F1057">
        <v>866366400</v>
      </c>
      <c r="G1057">
        <v>699023855</v>
      </c>
      <c r="H1057">
        <v>742545625</v>
      </c>
      <c r="I1057">
        <v>521447494</v>
      </c>
      <c r="J1057">
        <v>463639069</v>
      </c>
      <c r="K1057">
        <v>367260852</v>
      </c>
      <c r="L1057">
        <v>0</v>
      </c>
      <c r="M1057">
        <v>0</v>
      </c>
      <c r="P1057">
        <v>304</v>
      </c>
      <c r="Q1057" t="s">
        <v>2393</v>
      </c>
    </row>
    <row r="1058" spans="1:17" x14ac:dyDescent="0.3">
      <c r="A1058" t="s">
        <v>17</v>
      </c>
      <c r="B1058" t="str">
        <f>"605365"</f>
        <v>605365</v>
      </c>
      <c r="C1058" t="s">
        <v>2394</v>
      </c>
      <c r="D1058" t="s">
        <v>2044</v>
      </c>
      <c r="E1058">
        <v>1434295317</v>
      </c>
      <c r="F1058">
        <v>1376496859</v>
      </c>
      <c r="G1058">
        <v>1305391351</v>
      </c>
      <c r="P1058">
        <v>28</v>
      </c>
      <c r="Q1058" t="s">
        <v>2395</v>
      </c>
    </row>
    <row r="1059" spans="1:17" x14ac:dyDescent="0.3">
      <c r="A1059" t="s">
        <v>75</v>
      </c>
      <c r="B1059" t="str">
        <f>"002191"</f>
        <v>002191</v>
      </c>
      <c r="C1059" t="s">
        <v>2396</v>
      </c>
      <c r="D1059" t="s">
        <v>1176</v>
      </c>
      <c r="E1059">
        <v>1432399266</v>
      </c>
      <c r="F1059">
        <v>1190585283</v>
      </c>
      <c r="G1059">
        <v>770941275</v>
      </c>
      <c r="H1059">
        <v>956780602</v>
      </c>
      <c r="I1059">
        <v>798984373</v>
      </c>
      <c r="J1059">
        <v>716788177</v>
      </c>
      <c r="K1059">
        <v>785034952</v>
      </c>
      <c r="L1059">
        <v>630865107</v>
      </c>
      <c r="M1059">
        <v>596907414</v>
      </c>
      <c r="N1059">
        <v>598783610</v>
      </c>
      <c r="O1059">
        <v>618812182</v>
      </c>
      <c r="P1059">
        <v>6347</v>
      </c>
      <c r="Q1059" t="s">
        <v>2397</v>
      </c>
    </row>
    <row r="1060" spans="1:17" x14ac:dyDescent="0.3">
      <c r="A1060" t="s">
        <v>75</v>
      </c>
      <c r="B1060" t="str">
        <f>"002402"</f>
        <v>002402</v>
      </c>
      <c r="C1060" t="s">
        <v>2398</v>
      </c>
      <c r="D1060" t="s">
        <v>55</v>
      </c>
      <c r="E1060">
        <v>1426443952</v>
      </c>
      <c r="F1060">
        <v>1125151511</v>
      </c>
      <c r="G1060">
        <v>946732446</v>
      </c>
      <c r="H1060">
        <v>872156828</v>
      </c>
      <c r="I1060">
        <v>452334362</v>
      </c>
      <c r="J1060">
        <v>390522987</v>
      </c>
      <c r="K1060">
        <v>260233720</v>
      </c>
      <c r="L1060">
        <v>240862140</v>
      </c>
      <c r="M1060">
        <v>188039326</v>
      </c>
      <c r="N1060">
        <v>121466913</v>
      </c>
      <c r="O1060">
        <v>104250097</v>
      </c>
      <c r="P1060">
        <v>1281</v>
      </c>
      <c r="Q1060" t="s">
        <v>2399</v>
      </c>
    </row>
    <row r="1061" spans="1:17" x14ac:dyDescent="0.3">
      <c r="A1061" t="s">
        <v>17</v>
      </c>
      <c r="B1061" t="str">
        <f>"603301"</f>
        <v>603301</v>
      </c>
      <c r="C1061" t="s">
        <v>2400</v>
      </c>
      <c r="D1061" t="s">
        <v>1538</v>
      </c>
      <c r="E1061">
        <v>1420613139</v>
      </c>
      <c r="F1061">
        <v>2004082821</v>
      </c>
      <c r="G1061">
        <v>837089504</v>
      </c>
      <c r="H1061">
        <v>377629442</v>
      </c>
      <c r="I1061">
        <v>294513474</v>
      </c>
      <c r="J1061">
        <v>333352593</v>
      </c>
      <c r="P1061">
        <v>1533</v>
      </c>
      <c r="Q1061" t="s">
        <v>2401</v>
      </c>
    </row>
    <row r="1062" spans="1:17" x14ac:dyDescent="0.3">
      <c r="A1062" t="s">
        <v>17</v>
      </c>
      <c r="B1062" t="str">
        <f>"600300"</f>
        <v>600300</v>
      </c>
      <c r="C1062" t="s">
        <v>2402</v>
      </c>
      <c r="D1062" t="s">
        <v>1708</v>
      </c>
      <c r="E1062">
        <v>1416643842</v>
      </c>
      <c r="F1062">
        <v>1171999284</v>
      </c>
      <c r="G1062">
        <v>1392907233</v>
      </c>
      <c r="H1062">
        <v>1909776744</v>
      </c>
      <c r="I1062">
        <v>1912050340</v>
      </c>
      <c r="J1062">
        <v>1595430254</v>
      </c>
      <c r="K1062">
        <v>1117644970</v>
      </c>
      <c r="L1062">
        <v>1366152440</v>
      </c>
      <c r="M1062">
        <v>1451668923</v>
      </c>
      <c r="N1062">
        <v>1697868063</v>
      </c>
      <c r="O1062">
        <v>1597200305</v>
      </c>
      <c r="P1062">
        <v>209</v>
      </c>
      <c r="Q1062" t="s">
        <v>2403</v>
      </c>
    </row>
    <row r="1063" spans="1:17" x14ac:dyDescent="0.3">
      <c r="A1063" t="s">
        <v>17</v>
      </c>
      <c r="B1063" t="str">
        <f>"605368"</f>
        <v>605368</v>
      </c>
      <c r="C1063" t="s">
        <v>2404</v>
      </c>
      <c r="D1063" t="s">
        <v>147</v>
      </c>
      <c r="E1063">
        <v>1416145956</v>
      </c>
      <c r="F1063">
        <v>1140084480</v>
      </c>
      <c r="G1063">
        <v>974145767</v>
      </c>
      <c r="H1063">
        <v>1093886507</v>
      </c>
      <c r="I1063">
        <v>730138680</v>
      </c>
      <c r="P1063">
        <v>60</v>
      </c>
      <c r="Q1063" t="s">
        <v>2405</v>
      </c>
    </row>
    <row r="1064" spans="1:17" x14ac:dyDescent="0.3">
      <c r="A1064" t="s">
        <v>75</v>
      </c>
      <c r="B1064" t="str">
        <f>"000758"</f>
        <v>000758</v>
      </c>
      <c r="C1064" t="s">
        <v>2406</v>
      </c>
      <c r="D1064" t="s">
        <v>375</v>
      </c>
      <c r="E1064">
        <v>1414156049</v>
      </c>
      <c r="F1064">
        <v>4166374413</v>
      </c>
      <c r="G1064">
        <v>874284835</v>
      </c>
      <c r="H1064">
        <v>2260877688</v>
      </c>
      <c r="I1064">
        <v>5642529206</v>
      </c>
      <c r="J1064">
        <v>4802051898</v>
      </c>
      <c r="K1064">
        <v>3089390520</v>
      </c>
      <c r="L1064">
        <v>4794699682</v>
      </c>
      <c r="M1064">
        <v>3308049708</v>
      </c>
      <c r="N1064">
        <v>4490771377</v>
      </c>
      <c r="O1064">
        <v>1971326804</v>
      </c>
      <c r="P1064">
        <v>177</v>
      </c>
      <c r="Q1064" t="s">
        <v>2407</v>
      </c>
    </row>
    <row r="1065" spans="1:17" x14ac:dyDescent="0.3">
      <c r="A1065" t="s">
        <v>17</v>
      </c>
      <c r="B1065" t="str">
        <f>"600609"</f>
        <v>600609</v>
      </c>
      <c r="C1065" t="s">
        <v>2408</v>
      </c>
      <c r="D1065" t="s">
        <v>194</v>
      </c>
      <c r="E1065">
        <v>1412391933</v>
      </c>
      <c r="F1065">
        <v>1642811445</v>
      </c>
      <c r="G1065">
        <v>1521024552</v>
      </c>
      <c r="H1065">
        <v>1843783144</v>
      </c>
      <c r="I1065">
        <v>1621580273</v>
      </c>
      <c r="J1065">
        <v>945871348</v>
      </c>
      <c r="K1065">
        <v>957024559</v>
      </c>
      <c r="L1065">
        <v>1194113155</v>
      </c>
      <c r="M1065">
        <v>1275776316</v>
      </c>
      <c r="N1065">
        <v>982261802</v>
      </c>
      <c r="O1065">
        <v>769161862</v>
      </c>
      <c r="P1065">
        <v>128</v>
      </c>
      <c r="Q1065" t="s">
        <v>2409</v>
      </c>
    </row>
    <row r="1066" spans="1:17" x14ac:dyDescent="0.3">
      <c r="A1066" t="s">
        <v>75</v>
      </c>
      <c r="B1066" t="str">
        <f>"000639"</f>
        <v>000639</v>
      </c>
      <c r="C1066" t="s">
        <v>2410</v>
      </c>
      <c r="D1066" t="s">
        <v>113</v>
      </c>
      <c r="E1066">
        <v>1410111431</v>
      </c>
      <c r="F1066">
        <v>1520094669</v>
      </c>
      <c r="G1066">
        <v>1286517347</v>
      </c>
      <c r="H1066">
        <v>1384864010</v>
      </c>
      <c r="I1066">
        <v>1579083784</v>
      </c>
      <c r="J1066">
        <v>1525029780</v>
      </c>
      <c r="K1066">
        <v>504189047</v>
      </c>
      <c r="L1066">
        <v>573456267</v>
      </c>
      <c r="M1066">
        <v>405875948</v>
      </c>
      <c r="N1066">
        <v>525088448</v>
      </c>
      <c r="O1066">
        <v>459508844</v>
      </c>
      <c r="P1066">
        <v>328</v>
      </c>
      <c r="Q1066" t="s">
        <v>2411</v>
      </c>
    </row>
    <row r="1067" spans="1:17" x14ac:dyDescent="0.3">
      <c r="A1067" t="s">
        <v>75</v>
      </c>
      <c r="B1067" t="str">
        <f>"002649"</f>
        <v>002649</v>
      </c>
      <c r="C1067" t="s">
        <v>2412</v>
      </c>
      <c r="D1067" t="s">
        <v>224</v>
      </c>
      <c r="E1067">
        <v>1406335640</v>
      </c>
      <c r="F1067">
        <v>1150362495</v>
      </c>
      <c r="G1067">
        <v>908587733</v>
      </c>
      <c r="H1067">
        <v>796985075</v>
      </c>
      <c r="I1067">
        <v>533566865</v>
      </c>
      <c r="J1067">
        <v>481444508</v>
      </c>
      <c r="K1067">
        <v>408168894</v>
      </c>
      <c r="L1067">
        <v>364389958</v>
      </c>
      <c r="M1067">
        <v>315152205</v>
      </c>
      <c r="N1067">
        <v>264656084</v>
      </c>
      <c r="O1067">
        <v>151903839</v>
      </c>
      <c r="P1067">
        <v>273</v>
      </c>
      <c r="Q1067" t="s">
        <v>2413</v>
      </c>
    </row>
    <row r="1068" spans="1:17" x14ac:dyDescent="0.3">
      <c r="A1068" t="s">
        <v>17</v>
      </c>
      <c r="B1068" t="str">
        <f>"603026"</f>
        <v>603026</v>
      </c>
      <c r="C1068" t="s">
        <v>2414</v>
      </c>
      <c r="D1068" t="s">
        <v>834</v>
      </c>
      <c r="E1068">
        <v>1404865971</v>
      </c>
      <c r="F1068">
        <v>1362529517</v>
      </c>
      <c r="G1068">
        <v>817486727</v>
      </c>
      <c r="H1068">
        <v>692427207</v>
      </c>
      <c r="I1068">
        <v>1107642187</v>
      </c>
      <c r="J1068">
        <v>1121259928</v>
      </c>
      <c r="K1068">
        <v>1037228509</v>
      </c>
      <c r="L1068">
        <v>763200840</v>
      </c>
      <c r="P1068">
        <v>420</v>
      </c>
      <c r="Q1068" t="s">
        <v>2415</v>
      </c>
    </row>
    <row r="1069" spans="1:17" x14ac:dyDescent="0.3">
      <c r="A1069" t="s">
        <v>17</v>
      </c>
      <c r="B1069" t="str">
        <f>"603456"</f>
        <v>603456</v>
      </c>
      <c r="C1069" t="s">
        <v>2416</v>
      </c>
      <c r="D1069" t="s">
        <v>716</v>
      </c>
      <c r="E1069">
        <v>1393123967</v>
      </c>
      <c r="F1069">
        <v>704946041</v>
      </c>
      <c r="G1069">
        <v>504261932</v>
      </c>
      <c r="H1069">
        <v>458995637</v>
      </c>
      <c r="I1069">
        <v>311147087</v>
      </c>
      <c r="J1069">
        <v>370799991</v>
      </c>
      <c r="K1069">
        <v>345021712</v>
      </c>
      <c r="L1069">
        <v>430600913</v>
      </c>
      <c r="M1069">
        <v>251271522</v>
      </c>
      <c r="P1069">
        <v>453</v>
      </c>
      <c r="Q1069" t="s">
        <v>2417</v>
      </c>
    </row>
    <row r="1070" spans="1:17" x14ac:dyDescent="0.3">
      <c r="A1070" t="s">
        <v>17</v>
      </c>
      <c r="B1070" t="str">
        <f>"600648"</f>
        <v>600648</v>
      </c>
      <c r="C1070" t="s">
        <v>2418</v>
      </c>
      <c r="D1070" t="s">
        <v>806</v>
      </c>
      <c r="E1070">
        <v>1391990030</v>
      </c>
      <c r="F1070">
        <v>2369949620</v>
      </c>
      <c r="G1070">
        <v>1858789259</v>
      </c>
      <c r="H1070">
        <v>1516459556</v>
      </c>
      <c r="I1070">
        <v>1635877410</v>
      </c>
      <c r="J1070">
        <v>1578777024</v>
      </c>
      <c r="K1070">
        <v>1651199080</v>
      </c>
      <c r="L1070">
        <v>1515924916</v>
      </c>
      <c r="M1070">
        <v>1352842179</v>
      </c>
      <c r="N1070">
        <v>1505495697</v>
      </c>
      <c r="O1070">
        <v>1576012873</v>
      </c>
      <c r="P1070">
        <v>139</v>
      </c>
      <c r="Q1070" t="s">
        <v>2419</v>
      </c>
    </row>
    <row r="1071" spans="1:17" x14ac:dyDescent="0.3">
      <c r="A1071" t="s">
        <v>75</v>
      </c>
      <c r="B1071" t="str">
        <f>"000756"</f>
        <v>000756</v>
      </c>
      <c r="C1071" t="s">
        <v>2420</v>
      </c>
      <c r="D1071" t="s">
        <v>1242</v>
      </c>
      <c r="E1071">
        <v>1391961639</v>
      </c>
      <c r="F1071">
        <v>1238396341</v>
      </c>
      <c r="G1071">
        <v>1239638902</v>
      </c>
      <c r="H1071">
        <v>1060792593</v>
      </c>
      <c r="I1071">
        <v>832627042</v>
      </c>
      <c r="J1071">
        <v>742149766</v>
      </c>
      <c r="K1071">
        <v>642116064</v>
      </c>
      <c r="L1071">
        <v>576154194</v>
      </c>
      <c r="M1071">
        <v>501067078</v>
      </c>
      <c r="N1071">
        <v>429058068</v>
      </c>
      <c r="O1071">
        <v>416216193</v>
      </c>
      <c r="P1071">
        <v>218</v>
      </c>
      <c r="Q1071" t="s">
        <v>2421</v>
      </c>
    </row>
    <row r="1072" spans="1:17" x14ac:dyDescent="0.3">
      <c r="A1072" t="s">
        <v>17</v>
      </c>
      <c r="B1072" t="str">
        <f>"605138"</f>
        <v>605138</v>
      </c>
      <c r="C1072" t="s">
        <v>2422</v>
      </c>
      <c r="D1072" t="s">
        <v>814</v>
      </c>
      <c r="E1072">
        <v>1391762106</v>
      </c>
      <c r="P1072">
        <v>27</v>
      </c>
      <c r="Q1072" t="s">
        <v>2423</v>
      </c>
    </row>
    <row r="1073" spans="1:17" x14ac:dyDescent="0.3">
      <c r="A1073" t="s">
        <v>75</v>
      </c>
      <c r="B1073" t="str">
        <f>"002145"</f>
        <v>002145</v>
      </c>
      <c r="C1073" t="s">
        <v>2424</v>
      </c>
      <c r="D1073" t="s">
        <v>956</v>
      </c>
      <c r="E1073">
        <v>1391441322</v>
      </c>
      <c r="F1073">
        <v>707423977</v>
      </c>
      <c r="G1073">
        <v>561339616</v>
      </c>
      <c r="H1073">
        <v>777692509</v>
      </c>
      <c r="I1073">
        <v>941071040</v>
      </c>
      <c r="J1073">
        <v>593885153</v>
      </c>
      <c r="K1073">
        <v>189195957</v>
      </c>
      <c r="L1073">
        <v>273876072</v>
      </c>
      <c r="M1073">
        <v>233388309</v>
      </c>
      <c r="N1073">
        <v>260941285</v>
      </c>
      <c r="O1073">
        <v>28619928</v>
      </c>
      <c r="P1073">
        <v>284</v>
      </c>
      <c r="Q1073" t="s">
        <v>2425</v>
      </c>
    </row>
    <row r="1074" spans="1:17" x14ac:dyDescent="0.3">
      <c r="A1074" t="s">
        <v>75</v>
      </c>
      <c r="B1074" t="str">
        <f>"002382"</f>
        <v>002382</v>
      </c>
      <c r="C1074" t="s">
        <v>2426</v>
      </c>
      <c r="D1074" t="s">
        <v>1538</v>
      </c>
      <c r="E1074">
        <v>1390851704</v>
      </c>
      <c r="F1074">
        <v>2803479033</v>
      </c>
      <c r="G1074">
        <v>976372190</v>
      </c>
      <c r="H1074">
        <v>921535086</v>
      </c>
      <c r="I1074">
        <v>323295661</v>
      </c>
      <c r="J1074">
        <v>363224119</v>
      </c>
      <c r="K1074">
        <v>386201067</v>
      </c>
      <c r="L1074">
        <v>375203916</v>
      </c>
      <c r="M1074">
        <v>331679343</v>
      </c>
      <c r="N1074">
        <v>278608094</v>
      </c>
      <c r="O1074">
        <v>289382221</v>
      </c>
      <c r="P1074">
        <v>849</v>
      </c>
      <c r="Q1074" t="s">
        <v>2427</v>
      </c>
    </row>
    <row r="1075" spans="1:17" x14ac:dyDescent="0.3">
      <c r="A1075" t="s">
        <v>75</v>
      </c>
      <c r="B1075" t="str">
        <f>"002984"</f>
        <v>002984</v>
      </c>
      <c r="C1075" t="s">
        <v>2428</v>
      </c>
      <c r="D1075" t="s">
        <v>904</v>
      </c>
      <c r="E1075">
        <v>1387706251</v>
      </c>
      <c r="F1075">
        <v>1027834495</v>
      </c>
      <c r="G1075">
        <v>1123316465</v>
      </c>
      <c r="P1075">
        <v>203</v>
      </c>
      <c r="Q1075" t="s">
        <v>2429</v>
      </c>
    </row>
    <row r="1076" spans="1:17" x14ac:dyDescent="0.3">
      <c r="A1076" t="s">
        <v>17</v>
      </c>
      <c r="B1076" t="str">
        <f>"600779"</f>
        <v>600779</v>
      </c>
      <c r="C1076" t="s">
        <v>2430</v>
      </c>
      <c r="D1076" t="s">
        <v>201</v>
      </c>
      <c r="E1076">
        <v>1386324838</v>
      </c>
      <c r="F1076">
        <v>1353642421</v>
      </c>
      <c r="G1076">
        <v>770866532</v>
      </c>
      <c r="H1076">
        <v>1009166627</v>
      </c>
      <c r="I1076">
        <v>767385717</v>
      </c>
      <c r="J1076">
        <v>520859431</v>
      </c>
      <c r="K1076">
        <v>273838714</v>
      </c>
      <c r="L1076">
        <v>257880885</v>
      </c>
      <c r="M1076">
        <v>100088936</v>
      </c>
      <c r="N1076">
        <v>197442321</v>
      </c>
      <c r="O1076">
        <v>497319745</v>
      </c>
      <c r="P1076">
        <v>2794</v>
      </c>
      <c r="Q1076" t="s">
        <v>2431</v>
      </c>
    </row>
    <row r="1077" spans="1:17" x14ac:dyDescent="0.3">
      <c r="A1077" t="s">
        <v>17</v>
      </c>
      <c r="B1077" t="str">
        <f>"688363"</f>
        <v>688363</v>
      </c>
      <c r="C1077" t="s">
        <v>2432</v>
      </c>
      <c r="D1077" t="s">
        <v>2433</v>
      </c>
      <c r="E1077">
        <v>1383181463</v>
      </c>
      <c r="F1077">
        <v>836581767</v>
      </c>
      <c r="G1077">
        <v>392796392</v>
      </c>
      <c r="H1077">
        <v>339872332</v>
      </c>
      <c r="P1077">
        <v>1156</v>
      </c>
      <c r="Q1077" t="s">
        <v>2434</v>
      </c>
    </row>
    <row r="1078" spans="1:17" x14ac:dyDescent="0.3">
      <c r="A1078" t="s">
        <v>17</v>
      </c>
      <c r="B1078" t="str">
        <f>"600388"</f>
        <v>600388</v>
      </c>
      <c r="C1078" t="s">
        <v>2435</v>
      </c>
      <c r="D1078" t="s">
        <v>2317</v>
      </c>
      <c r="E1078">
        <v>1382648549</v>
      </c>
      <c r="F1078">
        <v>2425456775</v>
      </c>
      <c r="G1078">
        <v>1753285682</v>
      </c>
      <c r="H1078">
        <v>1472466577</v>
      </c>
      <c r="I1078">
        <v>1360030397</v>
      </c>
      <c r="J1078">
        <v>1168942230</v>
      </c>
      <c r="K1078">
        <v>1234497127</v>
      </c>
      <c r="L1078">
        <v>1190995056</v>
      </c>
      <c r="M1078">
        <v>1012756648</v>
      </c>
      <c r="N1078">
        <v>786682810</v>
      </c>
      <c r="O1078">
        <v>619690574</v>
      </c>
      <c r="P1078">
        <v>815</v>
      </c>
      <c r="Q1078" t="s">
        <v>2436</v>
      </c>
    </row>
    <row r="1079" spans="1:17" x14ac:dyDescent="0.3">
      <c r="A1079" t="s">
        <v>17</v>
      </c>
      <c r="B1079" t="str">
        <f>"603303"</f>
        <v>603303</v>
      </c>
      <c r="C1079" t="s">
        <v>2437</v>
      </c>
      <c r="D1079" t="s">
        <v>2044</v>
      </c>
      <c r="E1079">
        <v>1380707269</v>
      </c>
      <c r="F1079">
        <v>1141164202</v>
      </c>
      <c r="G1079">
        <v>1056477408</v>
      </c>
      <c r="H1079">
        <v>993778547</v>
      </c>
      <c r="I1079">
        <v>980845662</v>
      </c>
      <c r="J1079">
        <v>905679540</v>
      </c>
      <c r="K1079">
        <v>708176150</v>
      </c>
      <c r="P1079">
        <v>180</v>
      </c>
      <c r="Q1079" t="s">
        <v>2438</v>
      </c>
    </row>
    <row r="1080" spans="1:17" x14ac:dyDescent="0.3">
      <c r="A1080" t="s">
        <v>75</v>
      </c>
      <c r="B1080" t="str">
        <f>"002440"</f>
        <v>002440</v>
      </c>
      <c r="C1080" t="s">
        <v>2439</v>
      </c>
      <c r="D1080" t="s">
        <v>1160</v>
      </c>
      <c r="E1080">
        <v>1377721617</v>
      </c>
      <c r="F1080">
        <v>958018387</v>
      </c>
      <c r="G1080">
        <v>791993757</v>
      </c>
      <c r="H1080">
        <v>855349419</v>
      </c>
      <c r="I1080">
        <v>658011603</v>
      </c>
      <c r="J1080">
        <v>471941858</v>
      </c>
      <c r="K1080">
        <v>508462678</v>
      </c>
      <c r="L1080">
        <v>612804195</v>
      </c>
      <c r="M1080">
        <v>715329640</v>
      </c>
      <c r="N1080">
        <v>755565499</v>
      </c>
      <c r="O1080">
        <v>765393865</v>
      </c>
      <c r="P1080">
        <v>537</v>
      </c>
      <c r="Q1080" t="s">
        <v>2440</v>
      </c>
    </row>
    <row r="1081" spans="1:17" x14ac:dyDescent="0.3">
      <c r="A1081" t="s">
        <v>17</v>
      </c>
      <c r="B1081" t="str">
        <f>"600872"</f>
        <v>600872</v>
      </c>
      <c r="C1081" t="s">
        <v>2441</v>
      </c>
      <c r="D1081" t="s">
        <v>774</v>
      </c>
      <c r="E1081">
        <v>1377451649</v>
      </c>
      <c r="F1081">
        <v>1467442171</v>
      </c>
      <c r="G1081">
        <v>1338914360</v>
      </c>
      <c r="H1081">
        <v>1413021661</v>
      </c>
      <c r="I1081">
        <v>1165162493</v>
      </c>
      <c r="J1081">
        <v>1087732067</v>
      </c>
      <c r="K1081">
        <v>840034742</v>
      </c>
      <c r="L1081">
        <v>754750619</v>
      </c>
      <c r="M1081">
        <v>708468248</v>
      </c>
      <c r="N1081">
        <v>609791731</v>
      </c>
      <c r="O1081">
        <v>481760064</v>
      </c>
      <c r="P1081">
        <v>2534</v>
      </c>
      <c r="Q1081" t="s">
        <v>2442</v>
      </c>
    </row>
    <row r="1082" spans="1:17" x14ac:dyDescent="0.3">
      <c r="A1082" t="s">
        <v>17</v>
      </c>
      <c r="B1082" t="str">
        <f>"603818"</f>
        <v>603818</v>
      </c>
      <c r="C1082" t="s">
        <v>2443</v>
      </c>
      <c r="D1082" t="s">
        <v>1123</v>
      </c>
      <c r="E1082">
        <v>1376500328</v>
      </c>
      <c r="F1082">
        <v>1237658443</v>
      </c>
      <c r="G1082">
        <v>840520563</v>
      </c>
      <c r="H1082">
        <v>1080583765</v>
      </c>
      <c r="I1082">
        <v>460519544</v>
      </c>
      <c r="J1082">
        <v>408587912</v>
      </c>
      <c r="K1082">
        <v>294078590</v>
      </c>
      <c r="L1082">
        <v>239823731</v>
      </c>
      <c r="M1082">
        <v>217102066</v>
      </c>
      <c r="P1082">
        <v>202</v>
      </c>
      <c r="Q1082" t="s">
        <v>2444</v>
      </c>
    </row>
    <row r="1083" spans="1:17" x14ac:dyDescent="0.3">
      <c r="A1083" t="s">
        <v>75</v>
      </c>
      <c r="B1083" t="str">
        <f>"003012"</f>
        <v>003012</v>
      </c>
      <c r="C1083" t="s">
        <v>2445</v>
      </c>
      <c r="D1083" t="s">
        <v>2153</v>
      </c>
      <c r="E1083">
        <v>1370616316</v>
      </c>
      <c r="F1083">
        <v>1553830816</v>
      </c>
      <c r="G1083">
        <v>783672726</v>
      </c>
      <c r="J1083">
        <v>1226831274</v>
      </c>
      <c r="P1083">
        <v>120</v>
      </c>
      <c r="Q1083" t="s">
        <v>2446</v>
      </c>
    </row>
    <row r="1084" spans="1:17" x14ac:dyDescent="0.3">
      <c r="A1084" t="s">
        <v>75</v>
      </c>
      <c r="B1084" t="str">
        <f>"000739"</f>
        <v>000739</v>
      </c>
      <c r="C1084" t="s">
        <v>2447</v>
      </c>
      <c r="D1084" t="s">
        <v>1242</v>
      </c>
      <c r="E1084">
        <v>1369763853</v>
      </c>
      <c r="F1084">
        <v>1270891440</v>
      </c>
      <c r="G1084">
        <v>1221756839</v>
      </c>
      <c r="H1084">
        <v>1220695166</v>
      </c>
      <c r="I1084">
        <v>1556013853</v>
      </c>
      <c r="J1084">
        <v>1045680732</v>
      </c>
      <c r="K1084">
        <v>858168878</v>
      </c>
      <c r="L1084">
        <v>1115757535</v>
      </c>
      <c r="M1084">
        <v>1051432482</v>
      </c>
      <c r="N1084">
        <v>895365793</v>
      </c>
      <c r="O1084">
        <v>513169021</v>
      </c>
      <c r="P1084">
        <v>758</v>
      </c>
      <c r="Q1084" t="s">
        <v>2448</v>
      </c>
    </row>
    <row r="1085" spans="1:17" x14ac:dyDescent="0.3">
      <c r="A1085" t="s">
        <v>17</v>
      </c>
      <c r="B1085" t="str">
        <f>"601399"</f>
        <v>601399</v>
      </c>
      <c r="C1085" t="s">
        <v>2449</v>
      </c>
      <c r="D1085" t="s">
        <v>786</v>
      </c>
      <c r="E1085">
        <v>1364244088</v>
      </c>
      <c r="F1085">
        <v>1697339173</v>
      </c>
      <c r="G1085">
        <v>1370716454</v>
      </c>
      <c r="M1085">
        <v>1143141644</v>
      </c>
      <c r="N1085">
        <v>1003273924</v>
      </c>
      <c r="O1085">
        <v>1001114936</v>
      </c>
      <c r="P1085">
        <v>53</v>
      </c>
      <c r="Q1085" t="s">
        <v>2450</v>
      </c>
    </row>
    <row r="1086" spans="1:17" x14ac:dyDescent="0.3">
      <c r="A1086" t="s">
        <v>75</v>
      </c>
      <c r="B1086" t="str">
        <f>"300358"</f>
        <v>300358</v>
      </c>
      <c r="C1086" t="s">
        <v>2451</v>
      </c>
      <c r="D1086" t="s">
        <v>334</v>
      </c>
      <c r="E1086">
        <v>1363425049</v>
      </c>
      <c r="F1086">
        <v>1493882581</v>
      </c>
      <c r="G1086">
        <v>336294691</v>
      </c>
      <c r="H1086">
        <v>424322119</v>
      </c>
      <c r="I1086">
        <v>392218296</v>
      </c>
      <c r="J1086">
        <v>261065490</v>
      </c>
      <c r="K1086">
        <v>174209593</v>
      </c>
      <c r="L1086">
        <v>190899137</v>
      </c>
      <c r="M1086">
        <v>182006949</v>
      </c>
      <c r="N1086">
        <v>236153366</v>
      </c>
      <c r="P1086">
        <v>185</v>
      </c>
      <c r="Q1086" t="s">
        <v>2452</v>
      </c>
    </row>
    <row r="1087" spans="1:17" x14ac:dyDescent="0.3">
      <c r="A1087" t="s">
        <v>17</v>
      </c>
      <c r="B1087" t="str">
        <f>"603018"</f>
        <v>603018</v>
      </c>
      <c r="C1087" t="s">
        <v>2453</v>
      </c>
      <c r="D1087" t="s">
        <v>2118</v>
      </c>
      <c r="E1087">
        <v>1362654168</v>
      </c>
      <c r="F1087">
        <v>1228748832</v>
      </c>
      <c r="G1087">
        <v>1154049707</v>
      </c>
      <c r="H1087">
        <v>1122314667</v>
      </c>
      <c r="I1087">
        <v>814562232</v>
      </c>
      <c r="J1087">
        <v>591994392</v>
      </c>
      <c r="K1087">
        <v>491875925</v>
      </c>
      <c r="L1087">
        <v>332360991</v>
      </c>
      <c r="M1087">
        <v>351524313</v>
      </c>
      <c r="P1087">
        <v>400</v>
      </c>
      <c r="Q1087" t="s">
        <v>2454</v>
      </c>
    </row>
    <row r="1088" spans="1:17" x14ac:dyDescent="0.3">
      <c r="A1088" t="s">
        <v>75</v>
      </c>
      <c r="B1088" t="str">
        <f>"002986"</f>
        <v>002986</v>
      </c>
      <c r="C1088" t="s">
        <v>2455</v>
      </c>
      <c r="D1088" t="s">
        <v>422</v>
      </c>
      <c r="E1088">
        <v>1362536380</v>
      </c>
      <c r="F1088">
        <v>505303533</v>
      </c>
      <c r="G1088">
        <v>524792270</v>
      </c>
      <c r="H1088">
        <v>754943496</v>
      </c>
      <c r="P1088">
        <v>58</v>
      </c>
      <c r="Q1088" t="s">
        <v>2456</v>
      </c>
    </row>
    <row r="1089" spans="1:17" x14ac:dyDescent="0.3">
      <c r="A1089" t="s">
        <v>17</v>
      </c>
      <c r="B1089" t="str">
        <f>"600128"</f>
        <v>600128</v>
      </c>
      <c r="C1089" t="s">
        <v>2457</v>
      </c>
      <c r="D1089" t="s">
        <v>142</v>
      </c>
      <c r="E1089">
        <v>1362413279</v>
      </c>
      <c r="F1089">
        <v>986936783</v>
      </c>
      <c r="G1089">
        <v>779754810</v>
      </c>
      <c r="H1089">
        <v>903798531</v>
      </c>
      <c r="I1089">
        <v>1190538825</v>
      </c>
      <c r="J1089">
        <v>777602235</v>
      </c>
      <c r="K1089">
        <v>1010570770</v>
      </c>
      <c r="L1089">
        <v>1127455271</v>
      </c>
      <c r="M1089">
        <v>820816187</v>
      </c>
      <c r="N1089">
        <v>825906196</v>
      </c>
      <c r="O1089">
        <v>749225129</v>
      </c>
      <c r="P1089">
        <v>77</v>
      </c>
      <c r="Q1089" t="s">
        <v>2458</v>
      </c>
    </row>
    <row r="1090" spans="1:17" x14ac:dyDescent="0.3">
      <c r="A1090" t="s">
        <v>75</v>
      </c>
      <c r="B1090" t="str">
        <f>"002791"</f>
        <v>002791</v>
      </c>
      <c r="C1090" t="s">
        <v>2459</v>
      </c>
      <c r="D1090" t="s">
        <v>1257</v>
      </c>
      <c r="E1090">
        <v>1360927941</v>
      </c>
      <c r="F1090">
        <v>1122513675</v>
      </c>
      <c r="G1090">
        <v>713147856</v>
      </c>
      <c r="H1090">
        <v>652756252</v>
      </c>
      <c r="I1090">
        <v>459705625</v>
      </c>
      <c r="J1090">
        <v>405535405</v>
      </c>
      <c r="K1090">
        <v>344996216</v>
      </c>
      <c r="L1090">
        <v>263317674</v>
      </c>
      <c r="P1090">
        <v>552</v>
      </c>
      <c r="Q1090" t="s">
        <v>2460</v>
      </c>
    </row>
    <row r="1091" spans="1:17" x14ac:dyDescent="0.3">
      <c r="A1091" t="s">
        <v>17</v>
      </c>
      <c r="B1091" t="str">
        <f>"688538"</f>
        <v>688538</v>
      </c>
      <c r="C1091" t="s">
        <v>2461</v>
      </c>
      <c r="D1091" t="s">
        <v>128</v>
      </c>
      <c r="E1091">
        <v>1358548236</v>
      </c>
      <c r="F1091">
        <v>826253171</v>
      </c>
      <c r="G1091">
        <v>407915211</v>
      </c>
      <c r="P1091">
        <v>37</v>
      </c>
      <c r="Q1091" t="s">
        <v>2462</v>
      </c>
    </row>
    <row r="1092" spans="1:17" x14ac:dyDescent="0.3">
      <c r="A1092" t="s">
        <v>75</v>
      </c>
      <c r="B1092" t="str">
        <f>"300057"</f>
        <v>300057</v>
      </c>
      <c r="C1092" t="s">
        <v>2463</v>
      </c>
      <c r="D1092" t="s">
        <v>96</v>
      </c>
      <c r="E1092">
        <v>1358500068</v>
      </c>
      <c r="F1092">
        <v>1445697752</v>
      </c>
      <c r="G1092">
        <v>1133114852</v>
      </c>
      <c r="H1092">
        <v>1101969531</v>
      </c>
      <c r="I1092">
        <v>983109441</v>
      </c>
      <c r="J1092">
        <v>582385978</v>
      </c>
      <c r="K1092">
        <v>549109151</v>
      </c>
      <c r="L1092">
        <v>647171003</v>
      </c>
      <c r="M1092">
        <v>538048558</v>
      </c>
      <c r="N1092">
        <v>463836327</v>
      </c>
      <c r="O1092">
        <v>166609219</v>
      </c>
      <c r="P1092">
        <v>438</v>
      </c>
      <c r="Q1092" t="s">
        <v>2464</v>
      </c>
    </row>
    <row r="1093" spans="1:17" x14ac:dyDescent="0.3">
      <c r="A1093" t="s">
        <v>17</v>
      </c>
      <c r="B1093" t="str">
        <f>"601113"</f>
        <v>601113</v>
      </c>
      <c r="C1093" t="s">
        <v>2465</v>
      </c>
      <c r="D1093" t="s">
        <v>1236</v>
      </c>
      <c r="E1093">
        <v>1354096605</v>
      </c>
      <c r="F1093">
        <v>1917033048</v>
      </c>
      <c r="G1093">
        <v>1745801946</v>
      </c>
      <c r="H1093">
        <v>1820506339</v>
      </c>
      <c r="I1093">
        <v>806543575</v>
      </c>
      <c r="J1093">
        <v>636985027</v>
      </c>
      <c r="K1093">
        <v>417183931</v>
      </c>
      <c r="L1093">
        <v>474835078</v>
      </c>
      <c r="M1093">
        <v>392287617</v>
      </c>
      <c r="N1093">
        <v>455153508</v>
      </c>
      <c r="O1093">
        <v>579662130</v>
      </c>
      <c r="P1093">
        <v>68</v>
      </c>
      <c r="Q1093" t="s">
        <v>2466</v>
      </c>
    </row>
    <row r="1094" spans="1:17" x14ac:dyDescent="0.3">
      <c r="A1094" t="s">
        <v>75</v>
      </c>
      <c r="B1094" t="str">
        <f>"002345"</f>
        <v>002345</v>
      </c>
      <c r="C1094" t="s">
        <v>2467</v>
      </c>
      <c r="D1094" t="s">
        <v>314</v>
      </c>
      <c r="E1094">
        <v>1354045496</v>
      </c>
      <c r="F1094">
        <v>1110668492</v>
      </c>
      <c r="G1094">
        <v>715388331</v>
      </c>
      <c r="H1094">
        <v>1095182271</v>
      </c>
      <c r="I1094">
        <v>1033945877</v>
      </c>
      <c r="J1094">
        <v>934300518</v>
      </c>
      <c r="K1094">
        <v>790718601</v>
      </c>
      <c r="L1094">
        <v>808224255</v>
      </c>
      <c r="M1094">
        <v>759152137</v>
      </c>
      <c r="N1094">
        <v>568337124</v>
      </c>
      <c r="O1094">
        <v>496595548</v>
      </c>
      <c r="P1094">
        <v>137</v>
      </c>
      <c r="Q1094" t="s">
        <v>2468</v>
      </c>
    </row>
    <row r="1095" spans="1:17" x14ac:dyDescent="0.3">
      <c r="A1095" t="s">
        <v>75</v>
      </c>
      <c r="B1095" t="str">
        <f>"300082"</f>
        <v>300082</v>
      </c>
      <c r="C1095" t="s">
        <v>2469</v>
      </c>
      <c r="D1095" t="s">
        <v>1759</v>
      </c>
      <c r="E1095">
        <v>1353182310</v>
      </c>
      <c r="F1095">
        <v>1254592841</v>
      </c>
      <c r="G1095">
        <v>781085557</v>
      </c>
      <c r="H1095">
        <v>1448509985</v>
      </c>
      <c r="I1095">
        <v>1227940265</v>
      </c>
      <c r="J1095">
        <v>979583238</v>
      </c>
      <c r="K1095">
        <v>651906406</v>
      </c>
      <c r="L1095">
        <v>460444812</v>
      </c>
      <c r="M1095">
        <v>305315399</v>
      </c>
      <c r="N1095">
        <v>287711113</v>
      </c>
      <c r="O1095">
        <v>292266120</v>
      </c>
      <c r="P1095">
        <v>176</v>
      </c>
      <c r="Q1095" t="s">
        <v>2470</v>
      </c>
    </row>
    <row r="1096" spans="1:17" x14ac:dyDescent="0.3">
      <c r="A1096" t="s">
        <v>17</v>
      </c>
      <c r="B1096" t="str">
        <f>"600378"</f>
        <v>600378</v>
      </c>
      <c r="C1096" t="s">
        <v>2471</v>
      </c>
      <c r="D1096" t="s">
        <v>946</v>
      </c>
      <c r="E1096">
        <v>1353089440</v>
      </c>
      <c r="F1096">
        <v>1168799937</v>
      </c>
      <c r="G1096">
        <v>696781472</v>
      </c>
      <c r="H1096">
        <v>799417692</v>
      </c>
      <c r="I1096">
        <v>146693017</v>
      </c>
      <c r="J1096">
        <v>101484809</v>
      </c>
      <c r="K1096">
        <v>63942366</v>
      </c>
      <c r="L1096">
        <v>122189117</v>
      </c>
      <c r="M1096">
        <v>162243307</v>
      </c>
      <c r="N1096">
        <v>174116446</v>
      </c>
      <c r="O1096">
        <v>162122047</v>
      </c>
      <c r="P1096">
        <v>229</v>
      </c>
      <c r="Q1096" t="s">
        <v>2472</v>
      </c>
    </row>
    <row r="1097" spans="1:17" x14ac:dyDescent="0.3">
      <c r="A1097" t="s">
        <v>17</v>
      </c>
      <c r="B1097" t="str">
        <f>"601827"</f>
        <v>601827</v>
      </c>
      <c r="C1097" t="s">
        <v>2473</v>
      </c>
      <c r="D1097" t="s">
        <v>1187</v>
      </c>
      <c r="E1097">
        <v>1351809826</v>
      </c>
      <c r="F1097">
        <v>1381592627</v>
      </c>
      <c r="G1097">
        <v>921936604</v>
      </c>
      <c r="H1097">
        <v>873832293</v>
      </c>
      <c r="P1097">
        <v>143</v>
      </c>
      <c r="Q1097" t="s">
        <v>2474</v>
      </c>
    </row>
    <row r="1098" spans="1:17" x14ac:dyDescent="0.3">
      <c r="A1098" t="s">
        <v>17</v>
      </c>
      <c r="B1098" t="str">
        <f>"603668"</f>
        <v>603668</v>
      </c>
      <c r="C1098" t="s">
        <v>2475</v>
      </c>
      <c r="D1098" t="s">
        <v>269</v>
      </c>
      <c r="E1098">
        <v>1348362792</v>
      </c>
      <c r="F1098">
        <v>1324720236</v>
      </c>
      <c r="G1098">
        <v>811426811</v>
      </c>
      <c r="H1098">
        <v>224891700</v>
      </c>
      <c r="I1098">
        <v>183158869</v>
      </c>
      <c r="J1098">
        <v>141740304</v>
      </c>
      <c r="K1098">
        <v>96982694</v>
      </c>
      <c r="P1098">
        <v>126</v>
      </c>
      <c r="Q1098" t="s">
        <v>2476</v>
      </c>
    </row>
    <row r="1099" spans="1:17" x14ac:dyDescent="0.3">
      <c r="A1099" t="s">
        <v>75</v>
      </c>
      <c r="B1099" t="str">
        <f>"000552"</f>
        <v>000552</v>
      </c>
      <c r="C1099" t="s">
        <v>2477</v>
      </c>
      <c r="D1099" t="s">
        <v>71</v>
      </c>
      <c r="E1099">
        <v>1347850043</v>
      </c>
      <c r="F1099">
        <v>827424612</v>
      </c>
      <c r="G1099">
        <v>1014720674</v>
      </c>
      <c r="H1099">
        <v>765642674</v>
      </c>
      <c r="I1099">
        <v>1003837038</v>
      </c>
      <c r="J1099">
        <v>812496122</v>
      </c>
      <c r="K1099">
        <v>468499585</v>
      </c>
      <c r="L1099">
        <v>414568355</v>
      </c>
      <c r="M1099">
        <v>802087827</v>
      </c>
      <c r="N1099">
        <v>1141451839</v>
      </c>
      <c r="O1099">
        <v>266437694</v>
      </c>
      <c r="P1099">
        <v>263</v>
      </c>
      <c r="Q1099" t="s">
        <v>2478</v>
      </c>
    </row>
    <row r="1100" spans="1:17" x14ac:dyDescent="0.3">
      <c r="A1100" t="s">
        <v>75</v>
      </c>
      <c r="B1100" t="str">
        <f>"002233"</f>
        <v>002233</v>
      </c>
      <c r="C1100" t="s">
        <v>2479</v>
      </c>
      <c r="D1100" t="s">
        <v>191</v>
      </c>
      <c r="E1100">
        <v>1344984084</v>
      </c>
      <c r="F1100">
        <v>1669316251</v>
      </c>
      <c r="G1100">
        <v>1101560483</v>
      </c>
      <c r="H1100">
        <v>1495314971</v>
      </c>
      <c r="I1100">
        <v>1461518989</v>
      </c>
      <c r="J1100">
        <v>980639797</v>
      </c>
      <c r="K1100">
        <v>719514301</v>
      </c>
      <c r="L1100">
        <v>1000724643</v>
      </c>
      <c r="M1100">
        <v>1092071250</v>
      </c>
      <c r="N1100">
        <v>948510227</v>
      </c>
      <c r="O1100">
        <v>866935067</v>
      </c>
      <c r="P1100">
        <v>1388</v>
      </c>
      <c r="Q1100" t="s">
        <v>2480</v>
      </c>
    </row>
    <row r="1101" spans="1:17" x14ac:dyDescent="0.3">
      <c r="A1101" t="s">
        <v>17</v>
      </c>
      <c r="B1101" t="str">
        <f>"603906"</f>
        <v>603906</v>
      </c>
      <c r="C1101" t="s">
        <v>2481</v>
      </c>
      <c r="D1101" t="s">
        <v>292</v>
      </c>
      <c r="E1101">
        <v>1344838484</v>
      </c>
      <c r="F1101">
        <v>621004652</v>
      </c>
      <c r="G1101">
        <v>439056287</v>
      </c>
      <c r="H1101">
        <v>472503861</v>
      </c>
      <c r="I1101">
        <v>364447123</v>
      </c>
      <c r="J1101">
        <v>309848692</v>
      </c>
      <c r="K1101">
        <v>236219557</v>
      </c>
      <c r="P1101">
        <v>185</v>
      </c>
      <c r="Q1101" t="s">
        <v>2482</v>
      </c>
    </row>
    <row r="1102" spans="1:17" x14ac:dyDescent="0.3">
      <c r="A1102" t="s">
        <v>17</v>
      </c>
      <c r="B1102" t="str">
        <f>"600326"</f>
        <v>600326</v>
      </c>
      <c r="C1102" t="s">
        <v>2483</v>
      </c>
      <c r="D1102" t="s">
        <v>191</v>
      </c>
      <c r="E1102">
        <v>1343365680</v>
      </c>
      <c r="F1102">
        <v>1186917221</v>
      </c>
      <c r="G1102">
        <v>783425851</v>
      </c>
      <c r="H1102">
        <v>652690128</v>
      </c>
      <c r="I1102">
        <v>769879625</v>
      </c>
      <c r="J1102">
        <v>708073375</v>
      </c>
      <c r="K1102">
        <v>329738560</v>
      </c>
      <c r="L1102">
        <v>313697589</v>
      </c>
      <c r="M1102">
        <v>167772583</v>
      </c>
      <c r="N1102">
        <v>241646955</v>
      </c>
      <c r="O1102">
        <v>244531436</v>
      </c>
      <c r="P1102">
        <v>275</v>
      </c>
      <c r="Q1102" t="s">
        <v>2484</v>
      </c>
    </row>
    <row r="1103" spans="1:17" x14ac:dyDescent="0.3">
      <c r="A1103" t="s">
        <v>75</v>
      </c>
      <c r="B1103" t="str">
        <f>"300454"</f>
        <v>300454</v>
      </c>
      <c r="C1103" t="s">
        <v>2485</v>
      </c>
      <c r="D1103" t="s">
        <v>989</v>
      </c>
      <c r="E1103">
        <v>1343036618</v>
      </c>
      <c r="F1103">
        <v>1328184892</v>
      </c>
      <c r="G1103">
        <v>598522244</v>
      </c>
      <c r="H1103">
        <v>796505241</v>
      </c>
      <c r="I1103">
        <v>601276169</v>
      </c>
      <c r="J1103">
        <v>445047045</v>
      </c>
      <c r="P1103">
        <v>799</v>
      </c>
      <c r="Q1103" t="s">
        <v>2486</v>
      </c>
    </row>
    <row r="1104" spans="1:17" x14ac:dyDescent="0.3">
      <c r="A1104" t="s">
        <v>75</v>
      </c>
      <c r="B1104" t="str">
        <f>"000026"</f>
        <v>000026</v>
      </c>
      <c r="C1104" t="s">
        <v>2487</v>
      </c>
      <c r="D1104" t="s">
        <v>314</v>
      </c>
      <c r="E1104">
        <v>1341476148</v>
      </c>
      <c r="F1104">
        <v>1523350402</v>
      </c>
      <c r="G1104">
        <v>717413076</v>
      </c>
      <c r="H1104">
        <v>975041908</v>
      </c>
      <c r="I1104">
        <v>946590536</v>
      </c>
      <c r="J1104">
        <v>901753425</v>
      </c>
      <c r="K1104">
        <v>809792456</v>
      </c>
      <c r="L1104">
        <v>927626430</v>
      </c>
      <c r="M1104">
        <v>884948358</v>
      </c>
      <c r="N1104">
        <v>830187396</v>
      </c>
      <c r="O1104">
        <v>787816058</v>
      </c>
      <c r="P1104">
        <v>321</v>
      </c>
      <c r="Q1104" t="s">
        <v>2488</v>
      </c>
    </row>
    <row r="1105" spans="1:17" x14ac:dyDescent="0.3">
      <c r="A1105" t="s">
        <v>17</v>
      </c>
      <c r="B1105" t="str">
        <f>"603605"</f>
        <v>603605</v>
      </c>
      <c r="C1105" t="s">
        <v>2489</v>
      </c>
      <c r="D1105" t="s">
        <v>1764</v>
      </c>
      <c r="E1105">
        <v>1334925555</v>
      </c>
      <c r="F1105">
        <v>1089758485</v>
      </c>
      <c r="G1105">
        <v>670762842</v>
      </c>
      <c r="H1105">
        <v>669610890</v>
      </c>
      <c r="I1105">
        <v>555576915</v>
      </c>
      <c r="J1105">
        <v>539764457</v>
      </c>
      <c r="P1105">
        <v>1725</v>
      </c>
      <c r="Q1105" t="s">
        <v>2490</v>
      </c>
    </row>
    <row r="1106" spans="1:17" x14ac:dyDescent="0.3">
      <c r="A1106" t="s">
        <v>17</v>
      </c>
      <c r="B1106" t="str">
        <f>"688399"</f>
        <v>688399</v>
      </c>
      <c r="C1106" t="s">
        <v>2491</v>
      </c>
      <c r="D1106" t="s">
        <v>967</v>
      </c>
      <c r="E1106">
        <v>1334170583</v>
      </c>
      <c r="F1106">
        <v>705956219</v>
      </c>
      <c r="G1106">
        <v>179837553</v>
      </c>
      <c r="H1106">
        <v>49810365</v>
      </c>
      <c r="P1106">
        <v>373</v>
      </c>
      <c r="Q1106" t="s">
        <v>2492</v>
      </c>
    </row>
    <row r="1107" spans="1:17" x14ac:dyDescent="0.3">
      <c r="A1107" t="s">
        <v>75</v>
      </c>
      <c r="B1107" t="str">
        <f>"300047"</f>
        <v>300047</v>
      </c>
      <c r="C1107" t="s">
        <v>2493</v>
      </c>
      <c r="D1107" t="s">
        <v>116</v>
      </c>
      <c r="E1107">
        <v>1333291542</v>
      </c>
      <c r="F1107">
        <v>1153860670</v>
      </c>
      <c r="G1107">
        <v>874230592</v>
      </c>
      <c r="H1107">
        <v>933727457</v>
      </c>
      <c r="I1107">
        <v>678436950</v>
      </c>
      <c r="J1107">
        <v>481045759</v>
      </c>
      <c r="K1107">
        <v>451971572</v>
      </c>
      <c r="L1107">
        <v>292047901</v>
      </c>
      <c r="M1107">
        <v>195819792</v>
      </c>
      <c r="N1107">
        <v>147534694</v>
      </c>
      <c r="O1107">
        <v>90560405</v>
      </c>
      <c r="P1107">
        <v>338</v>
      </c>
      <c r="Q1107" t="s">
        <v>2494</v>
      </c>
    </row>
    <row r="1108" spans="1:17" x14ac:dyDescent="0.3">
      <c r="A1108" t="s">
        <v>17</v>
      </c>
      <c r="B1108" t="str">
        <f>"601969"</f>
        <v>601969</v>
      </c>
      <c r="C1108" t="s">
        <v>2495</v>
      </c>
      <c r="D1108" t="s">
        <v>2324</v>
      </c>
      <c r="E1108">
        <v>1332646220</v>
      </c>
      <c r="F1108">
        <v>786187540</v>
      </c>
      <c r="G1108">
        <v>799078450</v>
      </c>
      <c r="H1108">
        <v>1022649488</v>
      </c>
      <c r="I1108">
        <v>609662161</v>
      </c>
      <c r="J1108">
        <v>511738568</v>
      </c>
      <c r="K1108">
        <v>267861855</v>
      </c>
      <c r="L1108">
        <v>258338534</v>
      </c>
      <c r="M1108">
        <v>840219975</v>
      </c>
      <c r="P1108">
        <v>154</v>
      </c>
      <c r="Q1108" t="s">
        <v>2496</v>
      </c>
    </row>
    <row r="1109" spans="1:17" x14ac:dyDescent="0.3">
      <c r="A1109" t="s">
        <v>75</v>
      </c>
      <c r="B1109" t="str">
        <f>"301177"</f>
        <v>301177</v>
      </c>
      <c r="C1109" t="s">
        <v>2497</v>
      </c>
      <c r="D1109" t="s">
        <v>314</v>
      </c>
      <c r="E1109">
        <v>1328202664</v>
      </c>
      <c r="P1109">
        <v>30</v>
      </c>
      <c r="Q1109" t="s">
        <v>2498</v>
      </c>
    </row>
    <row r="1110" spans="1:17" x14ac:dyDescent="0.3">
      <c r="A1110" t="s">
        <v>17</v>
      </c>
      <c r="B1110" t="str">
        <f>"600882"</f>
        <v>600882</v>
      </c>
      <c r="C1110" t="s">
        <v>2499</v>
      </c>
      <c r="D1110" t="s">
        <v>215</v>
      </c>
      <c r="E1110">
        <v>1324296185</v>
      </c>
      <c r="F1110">
        <v>1102878258</v>
      </c>
      <c r="G1110">
        <v>465299684</v>
      </c>
      <c r="H1110">
        <v>339351548</v>
      </c>
      <c r="I1110">
        <v>213863374</v>
      </c>
      <c r="J1110">
        <v>242120346</v>
      </c>
      <c r="K1110">
        <v>79642539</v>
      </c>
      <c r="L1110">
        <v>196130920</v>
      </c>
      <c r="M1110">
        <v>488609062</v>
      </c>
      <c r="N1110">
        <v>337689385</v>
      </c>
      <c r="O1110">
        <v>38558062</v>
      </c>
      <c r="P1110">
        <v>515</v>
      </c>
      <c r="Q1110" t="s">
        <v>2500</v>
      </c>
    </row>
    <row r="1111" spans="1:17" x14ac:dyDescent="0.3">
      <c r="A1111" t="s">
        <v>75</v>
      </c>
      <c r="B1111" t="str">
        <f>"002045"</f>
        <v>002045</v>
      </c>
      <c r="C1111" t="s">
        <v>2501</v>
      </c>
      <c r="D1111" t="s">
        <v>505</v>
      </c>
      <c r="E1111">
        <v>1321665686</v>
      </c>
      <c r="F1111">
        <v>1232254585</v>
      </c>
      <c r="G1111">
        <v>1118182708</v>
      </c>
      <c r="H1111">
        <v>958820995</v>
      </c>
      <c r="I1111">
        <v>1199910671</v>
      </c>
      <c r="J1111">
        <v>900448056</v>
      </c>
      <c r="K1111">
        <v>677299297</v>
      </c>
      <c r="L1111">
        <v>547818489</v>
      </c>
      <c r="M1111">
        <v>537528517</v>
      </c>
      <c r="N1111">
        <v>463138856</v>
      </c>
      <c r="O1111">
        <v>503844738</v>
      </c>
      <c r="P1111">
        <v>216</v>
      </c>
      <c r="Q1111" t="s">
        <v>2502</v>
      </c>
    </row>
    <row r="1112" spans="1:17" x14ac:dyDescent="0.3">
      <c r="A1112" t="s">
        <v>17</v>
      </c>
      <c r="B1112" t="str">
        <f>"600586"</f>
        <v>600586</v>
      </c>
      <c r="C1112" t="s">
        <v>2503</v>
      </c>
      <c r="D1112" t="s">
        <v>1436</v>
      </c>
      <c r="E1112">
        <v>1319134822</v>
      </c>
      <c r="F1112">
        <v>974487020</v>
      </c>
      <c r="G1112">
        <v>751714967</v>
      </c>
      <c r="H1112">
        <v>860357706</v>
      </c>
      <c r="I1112">
        <v>787870782</v>
      </c>
      <c r="J1112">
        <v>1038324123</v>
      </c>
      <c r="K1112">
        <v>1067669932</v>
      </c>
      <c r="L1112">
        <v>915794922</v>
      </c>
      <c r="M1112">
        <v>924299337</v>
      </c>
      <c r="N1112">
        <v>818237841</v>
      </c>
      <c r="O1112">
        <v>784993494</v>
      </c>
      <c r="P1112">
        <v>245</v>
      </c>
      <c r="Q1112" t="s">
        <v>2504</v>
      </c>
    </row>
    <row r="1113" spans="1:17" x14ac:dyDescent="0.3">
      <c r="A1113" t="s">
        <v>17</v>
      </c>
      <c r="B1113" t="str">
        <f>"600117"</f>
        <v>600117</v>
      </c>
      <c r="C1113" t="s">
        <v>2505</v>
      </c>
      <c r="D1113" t="s">
        <v>238</v>
      </c>
      <c r="E1113">
        <v>1317140400</v>
      </c>
      <c r="F1113">
        <v>1311759167</v>
      </c>
      <c r="G1113">
        <v>731111611</v>
      </c>
      <c r="H1113">
        <v>722098385</v>
      </c>
      <c r="I1113">
        <v>576834842</v>
      </c>
      <c r="J1113">
        <v>698799618</v>
      </c>
      <c r="K1113">
        <v>347845531</v>
      </c>
      <c r="L1113">
        <v>1052041136</v>
      </c>
      <c r="M1113">
        <v>691987078</v>
      </c>
      <c r="N1113">
        <v>597122511</v>
      </c>
      <c r="O1113">
        <v>1226272667</v>
      </c>
      <c r="P1113">
        <v>116</v>
      </c>
      <c r="Q1113" t="s">
        <v>2506</v>
      </c>
    </row>
    <row r="1114" spans="1:17" x14ac:dyDescent="0.3">
      <c r="A1114" t="s">
        <v>75</v>
      </c>
      <c r="B1114" t="str">
        <f>"002206"</f>
        <v>002206</v>
      </c>
      <c r="C1114" t="s">
        <v>2507</v>
      </c>
      <c r="D1114" t="s">
        <v>519</v>
      </c>
      <c r="E1114">
        <v>1316821687</v>
      </c>
      <c r="F1114">
        <v>1031632275</v>
      </c>
      <c r="G1114">
        <v>760094956</v>
      </c>
      <c r="H1114">
        <v>1074684114</v>
      </c>
      <c r="I1114">
        <v>932023670</v>
      </c>
      <c r="J1114">
        <v>635123533</v>
      </c>
      <c r="K1114">
        <v>530902217</v>
      </c>
      <c r="L1114">
        <v>560776243</v>
      </c>
      <c r="M1114">
        <v>559238589</v>
      </c>
      <c r="N1114">
        <v>501867397</v>
      </c>
      <c r="O1114">
        <v>526809953</v>
      </c>
      <c r="P1114">
        <v>369</v>
      </c>
      <c r="Q1114" t="s">
        <v>2508</v>
      </c>
    </row>
    <row r="1115" spans="1:17" x14ac:dyDescent="0.3">
      <c r="A1115" t="s">
        <v>17</v>
      </c>
      <c r="B1115" t="str">
        <f>"688767"</f>
        <v>688767</v>
      </c>
      <c r="C1115" t="s">
        <v>2509</v>
      </c>
      <c r="D1115" t="s">
        <v>967</v>
      </c>
      <c r="E1115">
        <v>1316485391</v>
      </c>
      <c r="P1115">
        <v>43</v>
      </c>
      <c r="Q1115" t="s">
        <v>2510</v>
      </c>
    </row>
    <row r="1116" spans="1:17" x14ac:dyDescent="0.3">
      <c r="A1116" t="s">
        <v>75</v>
      </c>
      <c r="B1116" t="str">
        <f>"002929"</f>
        <v>002929</v>
      </c>
      <c r="C1116" t="s">
        <v>2511</v>
      </c>
      <c r="D1116" t="s">
        <v>1647</v>
      </c>
      <c r="E1116">
        <v>1315806051</v>
      </c>
      <c r="F1116">
        <v>1094440491</v>
      </c>
      <c r="G1116">
        <v>745359572</v>
      </c>
      <c r="H1116">
        <v>727873125</v>
      </c>
      <c r="I1116">
        <v>667931974</v>
      </c>
      <c r="J1116">
        <v>367940295</v>
      </c>
      <c r="P1116">
        <v>270</v>
      </c>
      <c r="Q1116" t="s">
        <v>2512</v>
      </c>
    </row>
    <row r="1117" spans="1:17" x14ac:dyDescent="0.3">
      <c r="A1117" t="s">
        <v>75</v>
      </c>
      <c r="B1117" t="str">
        <f>"000823"</f>
        <v>000823</v>
      </c>
      <c r="C1117" t="s">
        <v>2513</v>
      </c>
      <c r="D1117" t="s">
        <v>567</v>
      </c>
      <c r="E1117">
        <v>1315530602</v>
      </c>
      <c r="F1117">
        <v>1156533171</v>
      </c>
      <c r="G1117">
        <v>998411765</v>
      </c>
      <c r="H1117">
        <v>1081047628</v>
      </c>
      <c r="I1117">
        <v>930589003</v>
      </c>
      <c r="J1117">
        <v>836520834</v>
      </c>
      <c r="K1117">
        <v>769219494</v>
      </c>
      <c r="L1117">
        <v>734226725</v>
      </c>
      <c r="M1117">
        <v>692303680</v>
      </c>
      <c r="N1117">
        <v>642921432</v>
      </c>
      <c r="O1117">
        <v>556560295</v>
      </c>
      <c r="P1117">
        <v>354</v>
      </c>
      <c r="Q1117" t="s">
        <v>2514</v>
      </c>
    </row>
    <row r="1118" spans="1:17" x14ac:dyDescent="0.3">
      <c r="A1118" t="s">
        <v>75</v>
      </c>
      <c r="B1118" t="str">
        <f>"002318"</f>
        <v>002318</v>
      </c>
      <c r="C1118" t="s">
        <v>2515</v>
      </c>
      <c r="D1118" t="s">
        <v>238</v>
      </c>
      <c r="E1118">
        <v>1314094851</v>
      </c>
      <c r="F1118">
        <v>1332439176</v>
      </c>
      <c r="G1118">
        <v>1036400630</v>
      </c>
      <c r="H1118">
        <v>1284378520</v>
      </c>
      <c r="I1118">
        <v>878996936</v>
      </c>
      <c r="J1118">
        <v>623210602</v>
      </c>
      <c r="K1118">
        <v>427747668</v>
      </c>
      <c r="L1118">
        <v>592659295</v>
      </c>
      <c r="M1118">
        <v>609219042</v>
      </c>
      <c r="N1118">
        <v>593033909</v>
      </c>
      <c r="O1118">
        <v>482696188</v>
      </c>
      <c r="P1118">
        <v>451</v>
      </c>
      <c r="Q1118" t="s">
        <v>2516</v>
      </c>
    </row>
    <row r="1119" spans="1:17" x14ac:dyDescent="0.3">
      <c r="A1119" t="s">
        <v>17</v>
      </c>
      <c r="B1119" t="str">
        <f>"600792"</f>
        <v>600792</v>
      </c>
      <c r="C1119" t="s">
        <v>2517</v>
      </c>
      <c r="D1119" t="s">
        <v>837</v>
      </c>
      <c r="E1119">
        <v>1313006547</v>
      </c>
      <c r="F1119">
        <v>1195635952</v>
      </c>
      <c r="G1119">
        <v>1138734443</v>
      </c>
      <c r="H1119">
        <v>904869344</v>
      </c>
      <c r="I1119">
        <v>757306763</v>
      </c>
      <c r="J1119">
        <v>486679661</v>
      </c>
      <c r="K1119">
        <v>536490232</v>
      </c>
      <c r="L1119">
        <v>631702566</v>
      </c>
      <c r="M1119">
        <v>657557743</v>
      </c>
      <c r="N1119">
        <v>810626997</v>
      </c>
      <c r="O1119">
        <v>1033698708</v>
      </c>
      <c r="P1119">
        <v>97</v>
      </c>
      <c r="Q1119" t="s">
        <v>2518</v>
      </c>
    </row>
    <row r="1120" spans="1:17" x14ac:dyDescent="0.3">
      <c r="A1120" t="s">
        <v>17</v>
      </c>
      <c r="B1120" t="str">
        <f>"600469"</f>
        <v>600469</v>
      </c>
      <c r="C1120" t="s">
        <v>2519</v>
      </c>
      <c r="D1120" t="s">
        <v>904</v>
      </c>
      <c r="E1120">
        <v>1312811563</v>
      </c>
      <c r="F1120">
        <v>1351704344</v>
      </c>
      <c r="G1120">
        <v>967259985</v>
      </c>
      <c r="H1120">
        <v>904699158</v>
      </c>
      <c r="I1120">
        <v>844447571</v>
      </c>
      <c r="J1120">
        <v>1194388191</v>
      </c>
      <c r="K1120">
        <v>905266148</v>
      </c>
      <c r="L1120">
        <v>1124388289</v>
      </c>
      <c r="M1120">
        <v>1051054917</v>
      </c>
      <c r="N1120">
        <v>1419484432</v>
      </c>
      <c r="O1120">
        <v>1986208239</v>
      </c>
      <c r="P1120">
        <v>99</v>
      </c>
      <c r="Q1120" t="s">
        <v>2520</v>
      </c>
    </row>
    <row r="1121" spans="1:17" x14ac:dyDescent="0.3">
      <c r="A1121" t="s">
        <v>75</v>
      </c>
      <c r="B1121" t="str">
        <f>"300131"</f>
        <v>300131</v>
      </c>
      <c r="C1121" t="s">
        <v>2521</v>
      </c>
      <c r="D1121" t="s">
        <v>55</v>
      </c>
      <c r="E1121">
        <v>1310904576</v>
      </c>
      <c r="F1121">
        <v>1477762621</v>
      </c>
      <c r="G1121">
        <v>2879271471</v>
      </c>
      <c r="H1121">
        <v>3369463375</v>
      </c>
      <c r="I1121">
        <v>2556589052</v>
      </c>
      <c r="J1121">
        <v>1004220536</v>
      </c>
      <c r="K1121">
        <v>625383096</v>
      </c>
      <c r="L1121">
        <v>71980519</v>
      </c>
      <c r="M1121">
        <v>92502517</v>
      </c>
      <c r="N1121">
        <v>190349602</v>
      </c>
      <c r="O1121">
        <v>102847923</v>
      </c>
      <c r="P1121">
        <v>207</v>
      </c>
      <c r="Q1121" t="s">
        <v>2522</v>
      </c>
    </row>
    <row r="1122" spans="1:17" x14ac:dyDescent="0.3">
      <c r="A1122" t="s">
        <v>75</v>
      </c>
      <c r="B1122" t="str">
        <f>"002326"</f>
        <v>002326</v>
      </c>
      <c r="C1122" t="s">
        <v>2523</v>
      </c>
      <c r="D1122" t="s">
        <v>946</v>
      </c>
      <c r="E1122">
        <v>1310007777</v>
      </c>
      <c r="F1122">
        <v>803529971</v>
      </c>
      <c r="G1122">
        <v>636075631</v>
      </c>
      <c r="H1122">
        <v>771651203</v>
      </c>
      <c r="I1122">
        <v>464436661</v>
      </c>
      <c r="J1122">
        <v>366445653</v>
      </c>
      <c r="K1122">
        <v>354532089</v>
      </c>
      <c r="L1122">
        <v>243981399</v>
      </c>
      <c r="M1122">
        <v>216052690</v>
      </c>
      <c r="N1122">
        <v>147348177</v>
      </c>
      <c r="O1122">
        <v>190940271</v>
      </c>
      <c r="P1122">
        <v>298</v>
      </c>
      <c r="Q1122" t="s">
        <v>2524</v>
      </c>
    </row>
    <row r="1123" spans="1:17" x14ac:dyDescent="0.3">
      <c r="A1123" t="s">
        <v>75</v>
      </c>
      <c r="B1123" t="str">
        <f>"002574"</f>
        <v>002574</v>
      </c>
      <c r="C1123" t="s">
        <v>2525</v>
      </c>
      <c r="D1123" t="s">
        <v>314</v>
      </c>
      <c r="E1123">
        <v>1309668648</v>
      </c>
      <c r="F1123">
        <v>1121501026</v>
      </c>
      <c r="G1123">
        <v>818390103</v>
      </c>
      <c r="H1123">
        <v>1291273819</v>
      </c>
      <c r="I1123">
        <v>1462244510</v>
      </c>
      <c r="J1123">
        <v>1195490532</v>
      </c>
      <c r="K1123">
        <v>1501042662</v>
      </c>
      <c r="L1123">
        <v>2212722185</v>
      </c>
      <c r="M1123">
        <v>3229840886</v>
      </c>
      <c r="N1123">
        <v>2780769835</v>
      </c>
      <c r="O1123">
        <v>2197823428</v>
      </c>
      <c r="P1123">
        <v>105</v>
      </c>
      <c r="Q1123" t="s">
        <v>2526</v>
      </c>
    </row>
    <row r="1124" spans="1:17" x14ac:dyDescent="0.3">
      <c r="A1124" t="s">
        <v>75</v>
      </c>
      <c r="B1124" t="str">
        <f>"000901"</f>
        <v>000901</v>
      </c>
      <c r="C1124" t="s">
        <v>2527</v>
      </c>
      <c r="D1124" t="s">
        <v>1572</v>
      </c>
      <c r="E1124">
        <v>1308653652</v>
      </c>
      <c r="F1124">
        <v>1419468459</v>
      </c>
      <c r="G1124">
        <v>1236392006</v>
      </c>
      <c r="H1124">
        <v>1278676273</v>
      </c>
      <c r="I1124">
        <v>1239055933</v>
      </c>
      <c r="J1124">
        <v>1367303551</v>
      </c>
      <c r="K1124">
        <v>294822016</v>
      </c>
      <c r="L1124">
        <v>257750045</v>
      </c>
      <c r="M1124">
        <v>217877709</v>
      </c>
      <c r="N1124">
        <v>157114745</v>
      </c>
      <c r="O1124">
        <v>111253054</v>
      </c>
      <c r="P1124">
        <v>224</v>
      </c>
      <c r="Q1124" t="s">
        <v>2528</v>
      </c>
    </row>
    <row r="1125" spans="1:17" x14ac:dyDescent="0.3">
      <c r="A1125" t="s">
        <v>75</v>
      </c>
      <c r="B1125" t="str">
        <f>"200771"</f>
        <v>200771</v>
      </c>
      <c r="C1125" t="s">
        <v>2529</v>
      </c>
      <c r="E1125">
        <v>1305905483.5639999</v>
      </c>
      <c r="F1125">
        <v>1430113903.3605001</v>
      </c>
      <c r="G1125">
        <v>1052230169.1315</v>
      </c>
      <c r="H1125">
        <v>871668050.79779994</v>
      </c>
      <c r="I1125">
        <v>1048194535.17</v>
      </c>
      <c r="J1125">
        <v>629665287.71819997</v>
      </c>
      <c r="K1125">
        <v>761767682.07070005</v>
      </c>
      <c r="L1125">
        <v>682299827.5</v>
      </c>
      <c r="M1125">
        <v>968378258.45480001</v>
      </c>
      <c r="N1125">
        <v>991345288.1214</v>
      </c>
      <c r="O1125">
        <v>1201990414.9679999</v>
      </c>
      <c r="P1125">
        <v>65</v>
      </c>
      <c r="Q1125" t="s">
        <v>2530</v>
      </c>
    </row>
    <row r="1126" spans="1:17" x14ac:dyDescent="0.3">
      <c r="A1126" t="s">
        <v>75</v>
      </c>
      <c r="B1126" t="str">
        <f>"300182"</f>
        <v>300182</v>
      </c>
      <c r="C1126" t="s">
        <v>2531</v>
      </c>
      <c r="D1126" t="s">
        <v>2532</v>
      </c>
      <c r="E1126">
        <v>1305722486</v>
      </c>
      <c r="F1126">
        <v>488217462</v>
      </c>
      <c r="G1126">
        <v>349383194</v>
      </c>
      <c r="H1126">
        <v>594708711</v>
      </c>
      <c r="I1126">
        <v>661988600</v>
      </c>
      <c r="J1126">
        <v>388267185</v>
      </c>
      <c r="K1126">
        <v>206341602</v>
      </c>
      <c r="L1126">
        <v>308418533</v>
      </c>
      <c r="M1126">
        <v>163555700</v>
      </c>
      <c r="N1126">
        <v>135077656</v>
      </c>
      <c r="O1126">
        <v>159110425</v>
      </c>
      <c r="P1126">
        <v>514</v>
      </c>
      <c r="Q1126" t="s">
        <v>2533</v>
      </c>
    </row>
    <row r="1127" spans="1:17" x14ac:dyDescent="0.3">
      <c r="A1127" t="s">
        <v>75</v>
      </c>
      <c r="B1127" t="str">
        <f>"002436"</f>
        <v>002436</v>
      </c>
      <c r="C1127" t="s">
        <v>2534</v>
      </c>
      <c r="D1127" t="s">
        <v>567</v>
      </c>
      <c r="E1127">
        <v>1304635035</v>
      </c>
      <c r="F1127">
        <v>1000176242</v>
      </c>
      <c r="G1127">
        <v>972196057</v>
      </c>
      <c r="H1127">
        <v>815029317</v>
      </c>
      <c r="I1127">
        <v>827375830</v>
      </c>
      <c r="J1127">
        <v>701010008</v>
      </c>
      <c r="K1127">
        <v>506431691</v>
      </c>
      <c r="L1127">
        <v>374637519</v>
      </c>
      <c r="M1127">
        <v>290993447</v>
      </c>
      <c r="N1127">
        <v>180018954</v>
      </c>
      <c r="O1127">
        <v>175137913</v>
      </c>
      <c r="P1127">
        <v>563</v>
      </c>
      <c r="Q1127" t="s">
        <v>2535</v>
      </c>
    </row>
    <row r="1128" spans="1:17" x14ac:dyDescent="0.3">
      <c r="A1128" t="s">
        <v>17</v>
      </c>
      <c r="B1128" t="str">
        <f>"601019"</f>
        <v>601019</v>
      </c>
      <c r="C1128" t="s">
        <v>2536</v>
      </c>
      <c r="D1128" t="s">
        <v>1433</v>
      </c>
      <c r="E1128">
        <v>1303832203</v>
      </c>
      <c r="F1128">
        <v>1554734557</v>
      </c>
      <c r="G1128">
        <v>824675417</v>
      </c>
      <c r="H1128">
        <v>1292265773</v>
      </c>
      <c r="I1128">
        <v>1680683696</v>
      </c>
      <c r="J1128">
        <v>1358116971</v>
      </c>
      <c r="P1128">
        <v>401</v>
      </c>
      <c r="Q1128" t="s">
        <v>2537</v>
      </c>
    </row>
    <row r="1129" spans="1:17" x14ac:dyDescent="0.3">
      <c r="A1129" t="s">
        <v>17</v>
      </c>
      <c r="B1129" t="str">
        <f>"600446"</f>
        <v>600446</v>
      </c>
      <c r="C1129" t="s">
        <v>2538</v>
      </c>
      <c r="D1129" t="s">
        <v>224</v>
      </c>
      <c r="E1129">
        <v>1303435185</v>
      </c>
      <c r="F1129">
        <v>1295455536</v>
      </c>
      <c r="G1129">
        <v>890335919</v>
      </c>
      <c r="H1129">
        <v>906415842</v>
      </c>
      <c r="I1129">
        <v>963409768</v>
      </c>
      <c r="J1129">
        <v>737303226</v>
      </c>
      <c r="K1129">
        <v>701795196</v>
      </c>
      <c r="L1129">
        <v>546631781</v>
      </c>
      <c r="M1129">
        <v>425085676</v>
      </c>
      <c r="N1129">
        <v>332599314</v>
      </c>
      <c r="O1129">
        <v>288836895</v>
      </c>
      <c r="P1129">
        <v>334</v>
      </c>
      <c r="Q1129" t="s">
        <v>2539</v>
      </c>
    </row>
    <row r="1130" spans="1:17" x14ac:dyDescent="0.3">
      <c r="A1130" t="s">
        <v>17</v>
      </c>
      <c r="B1130" t="str">
        <f>"603598"</f>
        <v>603598</v>
      </c>
      <c r="C1130" t="s">
        <v>2540</v>
      </c>
      <c r="D1130" t="s">
        <v>622</v>
      </c>
      <c r="E1130">
        <v>1302867483</v>
      </c>
      <c r="F1130">
        <v>1658209397</v>
      </c>
      <c r="G1130">
        <v>902015762</v>
      </c>
      <c r="H1130">
        <v>474493267</v>
      </c>
      <c r="I1130">
        <v>658548298</v>
      </c>
      <c r="J1130">
        <v>412805812</v>
      </c>
      <c r="K1130">
        <v>412883877</v>
      </c>
      <c r="L1130">
        <v>0</v>
      </c>
      <c r="M1130">
        <v>0</v>
      </c>
      <c r="P1130">
        <v>113</v>
      </c>
      <c r="Q1130" t="s">
        <v>2541</v>
      </c>
    </row>
    <row r="1131" spans="1:17" x14ac:dyDescent="0.3">
      <c r="A1131" t="s">
        <v>75</v>
      </c>
      <c r="B1131" t="str">
        <f>"000731"</f>
        <v>000731</v>
      </c>
      <c r="C1131" t="s">
        <v>2542</v>
      </c>
      <c r="D1131" t="s">
        <v>1035</v>
      </c>
      <c r="E1131">
        <v>1301550862</v>
      </c>
      <c r="F1131">
        <v>694830211</v>
      </c>
      <c r="G1131">
        <v>444405698</v>
      </c>
      <c r="H1131">
        <v>682019004</v>
      </c>
      <c r="I1131">
        <v>500649626</v>
      </c>
      <c r="J1131">
        <v>491316856</v>
      </c>
      <c r="K1131">
        <v>768720732</v>
      </c>
      <c r="L1131">
        <v>1008020106</v>
      </c>
      <c r="M1131">
        <v>1082296119</v>
      </c>
      <c r="N1131">
        <v>1358851444</v>
      </c>
      <c r="O1131">
        <v>1727438387</v>
      </c>
      <c r="P1131">
        <v>127</v>
      </c>
      <c r="Q1131" t="s">
        <v>2543</v>
      </c>
    </row>
    <row r="1132" spans="1:17" x14ac:dyDescent="0.3">
      <c r="A1132" t="s">
        <v>17</v>
      </c>
      <c r="B1132" t="str">
        <f>"601958"</f>
        <v>601958</v>
      </c>
      <c r="C1132" t="s">
        <v>2544</v>
      </c>
      <c r="D1132" t="s">
        <v>139</v>
      </c>
      <c r="E1132">
        <v>1298484089</v>
      </c>
      <c r="F1132">
        <v>1315201761</v>
      </c>
      <c r="G1132">
        <v>1862154563</v>
      </c>
      <c r="H1132">
        <v>2163787014</v>
      </c>
      <c r="I1132">
        <v>1649959144</v>
      </c>
      <c r="J1132">
        <v>2421855085</v>
      </c>
      <c r="K1132">
        <v>1559919832</v>
      </c>
      <c r="L1132">
        <v>2522204959</v>
      </c>
      <c r="M1132">
        <v>1939479894</v>
      </c>
      <c r="N1132">
        <v>2241524422</v>
      </c>
      <c r="O1132">
        <v>2124951149</v>
      </c>
      <c r="P1132">
        <v>244</v>
      </c>
      <c r="Q1132" t="s">
        <v>2545</v>
      </c>
    </row>
    <row r="1133" spans="1:17" x14ac:dyDescent="0.3">
      <c r="A1133" t="s">
        <v>17</v>
      </c>
      <c r="B1133" t="str">
        <f>"600556"</f>
        <v>600556</v>
      </c>
      <c r="C1133" t="s">
        <v>2546</v>
      </c>
      <c r="D1133" t="s">
        <v>622</v>
      </c>
      <c r="E1133">
        <v>1297799387</v>
      </c>
      <c r="F1133">
        <v>777859673</v>
      </c>
      <c r="G1133">
        <v>413179356</v>
      </c>
      <c r="H1133">
        <v>6744696</v>
      </c>
      <c r="I1133">
        <v>7695852</v>
      </c>
      <c r="J1133">
        <v>9484276</v>
      </c>
      <c r="K1133">
        <v>8197131</v>
      </c>
      <c r="L1133">
        <v>5830611</v>
      </c>
      <c r="M1133">
        <v>7847676</v>
      </c>
      <c r="N1133">
        <v>5923307</v>
      </c>
      <c r="O1133">
        <v>0</v>
      </c>
      <c r="P1133">
        <v>218</v>
      </c>
      <c r="Q1133" t="s">
        <v>2547</v>
      </c>
    </row>
    <row r="1134" spans="1:17" x14ac:dyDescent="0.3">
      <c r="A1134" t="s">
        <v>75</v>
      </c>
      <c r="B1134" t="str">
        <f>"002870"</f>
        <v>002870</v>
      </c>
      <c r="C1134" t="s">
        <v>2548</v>
      </c>
      <c r="D1134" t="s">
        <v>2549</v>
      </c>
      <c r="E1134">
        <v>1297106495</v>
      </c>
      <c r="F1134">
        <v>1375046880</v>
      </c>
      <c r="G1134">
        <v>180563985</v>
      </c>
      <c r="H1134">
        <v>196473433</v>
      </c>
      <c r="I1134">
        <v>190607441</v>
      </c>
      <c r="J1134">
        <v>205062011</v>
      </c>
      <c r="K1134">
        <v>170723908</v>
      </c>
      <c r="P1134">
        <v>91</v>
      </c>
      <c r="Q1134" t="s">
        <v>2550</v>
      </c>
    </row>
    <row r="1135" spans="1:17" x14ac:dyDescent="0.3">
      <c r="A1135" t="s">
        <v>75</v>
      </c>
      <c r="B1135" t="str">
        <f>"002918"</f>
        <v>002918</v>
      </c>
      <c r="C1135" t="s">
        <v>2551</v>
      </c>
      <c r="D1135" t="s">
        <v>2153</v>
      </c>
      <c r="E1135">
        <v>1295158998</v>
      </c>
      <c r="F1135">
        <v>1104577896</v>
      </c>
      <c r="G1135">
        <v>476116521</v>
      </c>
      <c r="H1135">
        <v>842230444</v>
      </c>
      <c r="I1135">
        <v>668014213</v>
      </c>
      <c r="J1135">
        <v>511756317</v>
      </c>
      <c r="P1135">
        <v>529</v>
      </c>
      <c r="Q1135" t="s">
        <v>2552</v>
      </c>
    </row>
    <row r="1136" spans="1:17" x14ac:dyDescent="0.3">
      <c r="A1136" t="s">
        <v>17</v>
      </c>
      <c r="B1136" t="str">
        <f>"600894"</f>
        <v>600894</v>
      </c>
      <c r="C1136" t="s">
        <v>2553</v>
      </c>
      <c r="D1136" t="s">
        <v>892</v>
      </c>
      <c r="E1136">
        <v>1294369798</v>
      </c>
      <c r="F1136">
        <v>1759786932</v>
      </c>
      <c r="G1136">
        <v>1347204037</v>
      </c>
      <c r="H1136">
        <v>1359653742</v>
      </c>
      <c r="I1136">
        <v>1268133157</v>
      </c>
      <c r="J1136">
        <v>1182069608</v>
      </c>
      <c r="K1136">
        <v>971140028</v>
      </c>
      <c r="L1136">
        <v>900504661</v>
      </c>
      <c r="M1136">
        <v>823185182</v>
      </c>
      <c r="N1136">
        <v>870853891</v>
      </c>
      <c r="O1136">
        <v>533903925</v>
      </c>
      <c r="P1136">
        <v>394</v>
      </c>
      <c r="Q1136" t="s">
        <v>2554</v>
      </c>
    </row>
    <row r="1137" spans="1:17" x14ac:dyDescent="0.3">
      <c r="A1137" t="s">
        <v>17</v>
      </c>
      <c r="B1137" t="str">
        <f>"603444"</f>
        <v>603444</v>
      </c>
      <c r="C1137" t="s">
        <v>2555</v>
      </c>
      <c r="D1137" t="s">
        <v>1165</v>
      </c>
      <c r="E1137">
        <v>1292575667</v>
      </c>
      <c r="F1137">
        <v>915016961</v>
      </c>
      <c r="G1137">
        <v>696590231</v>
      </c>
      <c r="H1137">
        <v>570213081</v>
      </c>
      <c r="I1137">
        <v>361835214</v>
      </c>
      <c r="J1137">
        <v>415509186</v>
      </c>
      <c r="K1137">
        <v>104204225</v>
      </c>
      <c r="P1137">
        <v>4237</v>
      </c>
      <c r="Q1137" t="s">
        <v>2556</v>
      </c>
    </row>
    <row r="1138" spans="1:17" x14ac:dyDescent="0.3">
      <c r="A1138" t="s">
        <v>17</v>
      </c>
      <c r="B1138" t="str">
        <f>"605266"</f>
        <v>605266</v>
      </c>
      <c r="C1138" t="s">
        <v>2557</v>
      </c>
      <c r="D1138" t="s">
        <v>936</v>
      </c>
      <c r="E1138">
        <v>1278501200</v>
      </c>
      <c r="F1138">
        <v>1090700522</v>
      </c>
      <c r="G1138">
        <v>999116769</v>
      </c>
      <c r="P1138">
        <v>105</v>
      </c>
      <c r="Q1138" t="s">
        <v>2558</v>
      </c>
    </row>
    <row r="1139" spans="1:17" x14ac:dyDescent="0.3">
      <c r="A1139" t="s">
        <v>17</v>
      </c>
      <c r="B1139" t="str">
        <f>"600552"</f>
        <v>600552</v>
      </c>
      <c r="C1139" t="s">
        <v>2559</v>
      </c>
      <c r="D1139" t="s">
        <v>128</v>
      </c>
      <c r="E1139">
        <v>1276711142</v>
      </c>
      <c r="F1139">
        <v>1206456235</v>
      </c>
      <c r="G1139">
        <v>1077281499</v>
      </c>
      <c r="H1139">
        <v>863730147</v>
      </c>
      <c r="I1139">
        <v>680594041</v>
      </c>
      <c r="J1139">
        <v>827892195</v>
      </c>
      <c r="K1139">
        <v>523247519</v>
      </c>
      <c r="L1139">
        <v>164614923</v>
      </c>
      <c r="M1139">
        <v>197342174</v>
      </c>
      <c r="N1139">
        <v>213704147</v>
      </c>
      <c r="O1139">
        <v>179251953</v>
      </c>
      <c r="P1139">
        <v>169</v>
      </c>
      <c r="Q1139" t="s">
        <v>2560</v>
      </c>
    </row>
    <row r="1140" spans="1:17" x14ac:dyDescent="0.3">
      <c r="A1140" t="s">
        <v>75</v>
      </c>
      <c r="B1140" t="str">
        <f>"000949"</f>
        <v>000949</v>
      </c>
      <c r="C1140" t="s">
        <v>2561</v>
      </c>
      <c r="D1140" t="s">
        <v>821</v>
      </c>
      <c r="E1140">
        <v>1272229969</v>
      </c>
      <c r="F1140">
        <v>835964079</v>
      </c>
      <c r="G1140">
        <v>514223914</v>
      </c>
      <c r="H1140">
        <v>610687303</v>
      </c>
      <c r="I1140">
        <v>501414083</v>
      </c>
      <c r="J1140">
        <v>461531552</v>
      </c>
      <c r="K1140">
        <v>595504646</v>
      </c>
      <c r="L1140">
        <v>341783616</v>
      </c>
      <c r="M1140">
        <v>379616806</v>
      </c>
      <c r="N1140">
        <v>414134592</v>
      </c>
      <c r="O1140">
        <v>482848179</v>
      </c>
      <c r="P1140">
        <v>157</v>
      </c>
      <c r="Q1140" t="s">
        <v>2562</v>
      </c>
    </row>
    <row r="1141" spans="1:17" x14ac:dyDescent="0.3">
      <c r="A1141" t="s">
        <v>17</v>
      </c>
      <c r="B1141" t="str">
        <f>"688055"</f>
        <v>688055</v>
      </c>
      <c r="C1141" t="s">
        <v>2563</v>
      </c>
      <c r="D1141" t="s">
        <v>128</v>
      </c>
      <c r="E1141">
        <v>1272193298</v>
      </c>
      <c r="F1141">
        <v>1301350446</v>
      </c>
      <c r="G1141">
        <v>879218552</v>
      </c>
      <c r="H1141">
        <v>844061336</v>
      </c>
      <c r="P1141">
        <v>76</v>
      </c>
      <c r="Q1141" t="s">
        <v>2564</v>
      </c>
    </row>
    <row r="1142" spans="1:17" x14ac:dyDescent="0.3">
      <c r="A1142" t="s">
        <v>75</v>
      </c>
      <c r="B1142" t="str">
        <f>"002595"</f>
        <v>002595</v>
      </c>
      <c r="C1142" t="s">
        <v>2565</v>
      </c>
      <c r="D1142" t="s">
        <v>1624</v>
      </c>
      <c r="E1142">
        <v>1270885679</v>
      </c>
      <c r="F1142">
        <v>884613280</v>
      </c>
      <c r="G1142">
        <v>958128505</v>
      </c>
      <c r="H1142">
        <v>685046806</v>
      </c>
      <c r="I1142">
        <v>729026250</v>
      </c>
      <c r="J1142">
        <v>703807164</v>
      </c>
      <c r="K1142">
        <v>625567782</v>
      </c>
      <c r="L1142">
        <v>468243303</v>
      </c>
      <c r="M1142">
        <v>334056635</v>
      </c>
      <c r="N1142">
        <v>200190853</v>
      </c>
      <c r="O1142">
        <v>147087137</v>
      </c>
      <c r="P1142">
        <v>4171</v>
      </c>
      <c r="Q1142" t="s">
        <v>2566</v>
      </c>
    </row>
    <row r="1143" spans="1:17" x14ac:dyDescent="0.3">
      <c r="A1143" t="s">
        <v>75</v>
      </c>
      <c r="B1143" t="str">
        <f>"300363"</f>
        <v>300363</v>
      </c>
      <c r="C1143" t="s">
        <v>2567</v>
      </c>
      <c r="D1143" t="s">
        <v>716</v>
      </c>
      <c r="E1143">
        <v>1270444902</v>
      </c>
      <c r="F1143">
        <v>444939528</v>
      </c>
      <c r="G1143">
        <v>414708480</v>
      </c>
      <c r="H1143">
        <v>260601792</v>
      </c>
      <c r="I1143">
        <v>273466770</v>
      </c>
      <c r="J1143">
        <v>388138032</v>
      </c>
      <c r="K1143">
        <v>305248394</v>
      </c>
      <c r="L1143">
        <v>373025374</v>
      </c>
      <c r="M1143">
        <v>218834710</v>
      </c>
      <c r="N1143">
        <v>213807920</v>
      </c>
      <c r="P1143">
        <v>542</v>
      </c>
      <c r="Q1143" t="s">
        <v>2568</v>
      </c>
    </row>
    <row r="1144" spans="1:17" x14ac:dyDescent="0.3">
      <c r="A1144" t="s">
        <v>75</v>
      </c>
      <c r="B1144" t="str">
        <f>"002878"</f>
        <v>002878</v>
      </c>
      <c r="C1144" t="s">
        <v>2569</v>
      </c>
      <c r="D1144" t="s">
        <v>2570</v>
      </c>
      <c r="E1144">
        <v>1270378143</v>
      </c>
      <c r="F1144">
        <v>540010459</v>
      </c>
      <c r="G1144">
        <v>543541602</v>
      </c>
      <c r="H1144">
        <v>475560964</v>
      </c>
      <c r="I1144">
        <v>356262340</v>
      </c>
      <c r="J1144">
        <v>201357195</v>
      </c>
      <c r="K1144">
        <v>0</v>
      </c>
      <c r="P1144">
        <v>345</v>
      </c>
      <c r="Q1144" t="s">
        <v>2571</v>
      </c>
    </row>
    <row r="1145" spans="1:17" x14ac:dyDescent="0.3">
      <c r="A1145" t="s">
        <v>75</v>
      </c>
      <c r="B1145" t="str">
        <f>"002035"</f>
        <v>002035</v>
      </c>
      <c r="C1145" t="s">
        <v>2572</v>
      </c>
      <c r="D1145" t="s">
        <v>1680</v>
      </c>
      <c r="E1145">
        <v>1269599069</v>
      </c>
      <c r="F1145">
        <v>1171778178</v>
      </c>
      <c r="G1145">
        <v>911278209</v>
      </c>
      <c r="H1145">
        <v>1091250290</v>
      </c>
      <c r="I1145">
        <v>962047913</v>
      </c>
      <c r="J1145">
        <v>750535537</v>
      </c>
      <c r="K1145">
        <v>656316190</v>
      </c>
      <c r="L1145">
        <v>602380972</v>
      </c>
      <c r="M1145">
        <v>665697730</v>
      </c>
      <c r="N1145">
        <v>575052683</v>
      </c>
      <c r="O1145">
        <v>315903167</v>
      </c>
      <c r="P1145">
        <v>1344</v>
      </c>
      <c r="Q1145" t="s">
        <v>2573</v>
      </c>
    </row>
    <row r="1146" spans="1:17" x14ac:dyDescent="0.3">
      <c r="A1146" t="s">
        <v>75</v>
      </c>
      <c r="B1146" t="str">
        <f>"000869"</f>
        <v>000869</v>
      </c>
      <c r="C1146" t="s">
        <v>2574</v>
      </c>
      <c r="D1146" t="s">
        <v>2575</v>
      </c>
      <c r="E1146">
        <v>1267477452</v>
      </c>
      <c r="F1146">
        <v>1124323460</v>
      </c>
      <c r="G1146">
        <v>777333801</v>
      </c>
      <c r="H1146">
        <v>1542378382</v>
      </c>
      <c r="I1146">
        <v>1766530391</v>
      </c>
      <c r="J1146">
        <v>1653469554</v>
      </c>
      <c r="K1146">
        <v>1852141728</v>
      </c>
      <c r="L1146">
        <v>1808838404</v>
      </c>
      <c r="M1146">
        <v>1668942443</v>
      </c>
      <c r="N1146">
        <v>1880180100</v>
      </c>
      <c r="O1146">
        <v>2146275218</v>
      </c>
      <c r="P1146">
        <v>833</v>
      </c>
      <c r="Q1146" t="s">
        <v>2576</v>
      </c>
    </row>
    <row r="1147" spans="1:17" x14ac:dyDescent="0.3">
      <c r="A1147" t="s">
        <v>17</v>
      </c>
      <c r="B1147" t="str">
        <f>"600601"</f>
        <v>600601</v>
      </c>
      <c r="C1147" t="s">
        <v>2577</v>
      </c>
      <c r="D1147" t="s">
        <v>567</v>
      </c>
      <c r="E1147">
        <v>1265516430</v>
      </c>
      <c r="F1147">
        <v>1398313125</v>
      </c>
      <c r="G1147">
        <v>1450904873</v>
      </c>
      <c r="H1147">
        <v>1259798512</v>
      </c>
      <c r="I1147">
        <v>1345257618</v>
      </c>
      <c r="J1147">
        <v>1301150849</v>
      </c>
      <c r="K1147">
        <v>1320618799</v>
      </c>
      <c r="L1147">
        <v>1297901237</v>
      </c>
      <c r="M1147">
        <v>1029949486</v>
      </c>
      <c r="N1147">
        <v>1443565721</v>
      </c>
      <c r="O1147">
        <v>1122841972</v>
      </c>
      <c r="P1147">
        <v>228</v>
      </c>
      <c r="Q1147" t="s">
        <v>2578</v>
      </c>
    </row>
    <row r="1148" spans="1:17" x14ac:dyDescent="0.3">
      <c r="A1148" t="s">
        <v>17</v>
      </c>
      <c r="B1148" t="str">
        <f>"603160"</f>
        <v>603160</v>
      </c>
      <c r="C1148" t="s">
        <v>2579</v>
      </c>
      <c r="D1148" t="s">
        <v>2580</v>
      </c>
      <c r="E1148">
        <v>1262282066</v>
      </c>
      <c r="F1148">
        <v>1600459491</v>
      </c>
      <c r="G1148">
        <v>1291703327</v>
      </c>
      <c r="H1148">
        <v>970661919</v>
      </c>
      <c r="I1148">
        <v>855831907</v>
      </c>
      <c r="J1148">
        <v>942960317</v>
      </c>
      <c r="K1148">
        <v>321506681</v>
      </c>
      <c r="P1148">
        <v>2243</v>
      </c>
      <c r="Q1148" t="s">
        <v>2581</v>
      </c>
    </row>
    <row r="1149" spans="1:17" x14ac:dyDescent="0.3">
      <c r="A1149" t="s">
        <v>75</v>
      </c>
      <c r="B1149" t="str">
        <f>"300496"</f>
        <v>300496</v>
      </c>
      <c r="C1149" t="s">
        <v>2582</v>
      </c>
      <c r="D1149" t="s">
        <v>224</v>
      </c>
      <c r="E1149">
        <v>1260933653</v>
      </c>
      <c r="F1149">
        <v>881939856</v>
      </c>
      <c r="G1149">
        <v>456222456</v>
      </c>
      <c r="H1149">
        <v>429704728</v>
      </c>
      <c r="I1149">
        <v>312808677</v>
      </c>
      <c r="J1149">
        <v>217998234</v>
      </c>
      <c r="K1149">
        <v>136603294</v>
      </c>
      <c r="L1149">
        <v>91053565</v>
      </c>
      <c r="M1149">
        <v>68866550</v>
      </c>
      <c r="P1149">
        <v>1141</v>
      </c>
      <c r="Q1149" t="s">
        <v>2583</v>
      </c>
    </row>
    <row r="1150" spans="1:17" x14ac:dyDescent="0.3">
      <c r="A1150" t="s">
        <v>75</v>
      </c>
      <c r="B1150" t="str">
        <f>"002605"</f>
        <v>002605</v>
      </c>
      <c r="C1150" t="s">
        <v>2584</v>
      </c>
      <c r="D1150" t="s">
        <v>1165</v>
      </c>
      <c r="E1150">
        <v>1257065375</v>
      </c>
      <c r="F1150">
        <v>1001463810</v>
      </c>
      <c r="G1150">
        <v>546239818</v>
      </c>
      <c r="H1150">
        <v>399179539</v>
      </c>
      <c r="I1150">
        <v>126040642</v>
      </c>
      <c r="J1150">
        <v>187763159</v>
      </c>
      <c r="K1150">
        <v>181868829</v>
      </c>
      <c r="L1150">
        <v>235619111</v>
      </c>
      <c r="M1150">
        <v>220199807</v>
      </c>
      <c r="N1150">
        <v>236278161</v>
      </c>
      <c r="O1150">
        <v>225339697</v>
      </c>
      <c r="P1150">
        <v>432</v>
      </c>
      <c r="Q1150" t="s">
        <v>2585</v>
      </c>
    </row>
    <row r="1151" spans="1:17" x14ac:dyDescent="0.3">
      <c r="A1151" t="s">
        <v>17</v>
      </c>
      <c r="B1151" t="str">
        <f>"601116"</f>
        <v>601116</v>
      </c>
      <c r="C1151" t="s">
        <v>2586</v>
      </c>
      <c r="D1151" t="s">
        <v>208</v>
      </c>
      <c r="E1151">
        <v>1248324846</v>
      </c>
      <c r="F1151">
        <v>1291282212</v>
      </c>
      <c r="G1151">
        <v>1468358558</v>
      </c>
      <c r="H1151">
        <v>1299068440</v>
      </c>
      <c r="I1151">
        <v>1291709619</v>
      </c>
      <c r="J1151">
        <v>1181660310</v>
      </c>
      <c r="K1151">
        <v>1382677909</v>
      </c>
      <c r="L1151">
        <v>1439632197</v>
      </c>
      <c r="M1151">
        <v>1422531297</v>
      </c>
      <c r="N1151">
        <v>1547969729</v>
      </c>
      <c r="O1151">
        <v>1726861160</v>
      </c>
      <c r="P1151">
        <v>124</v>
      </c>
      <c r="Q1151" t="s">
        <v>2587</v>
      </c>
    </row>
    <row r="1152" spans="1:17" x14ac:dyDescent="0.3">
      <c r="A1152" t="s">
        <v>75</v>
      </c>
      <c r="B1152" t="str">
        <f>"002097"</f>
        <v>002097</v>
      </c>
      <c r="C1152" t="s">
        <v>2588</v>
      </c>
      <c r="D1152" t="s">
        <v>262</v>
      </c>
      <c r="E1152">
        <v>1244378491</v>
      </c>
      <c r="F1152">
        <v>2126926734</v>
      </c>
      <c r="G1152">
        <v>1014769813</v>
      </c>
      <c r="H1152">
        <v>1376239030</v>
      </c>
      <c r="I1152">
        <v>830494730</v>
      </c>
      <c r="J1152">
        <v>537770228</v>
      </c>
      <c r="K1152">
        <v>244519596</v>
      </c>
      <c r="L1152">
        <v>347749376</v>
      </c>
      <c r="M1152">
        <v>509906677</v>
      </c>
      <c r="N1152">
        <v>408646991</v>
      </c>
      <c r="O1152">
        <v>338925517</v>
      </c>
      <c r="P1152">
        <v>217</v>
      </c>
      <c r="Q1152" t="s">
        <v>2589</v>
      </c>
    </row>
    <row r="1153" spans="1:17" x14ac:dyDescent="0.3">
      <c r="A1153" t="s">
        <v>75</v>
      </c>
      <c r="B1153" t="str">
        <f>"002822"</f>
        <v>002822</v>
      </c>
      <c r="C1153" t="s">
        <v>2590</v>
      </c>
      <c r="D1153" t="s">
        <v>707</v>
      </c>
      <c r="E1153">
        <v>1242630430</v>
      </c>
      <c r="F1153">
        <v>1139037802</v>
      </c>
      <c r="G1153">
        <v>713466412</v>
      </c>
      <c r="H1153">
        <v>819277842</v>
      </c>
      <c r="I1153">
        <v>534425236</v>
      </c>
      <c r="J1153">
        <v>398925460</v>
      </c>
      <c r="K1153">
        <v>430444745</v>
      </c>
      <c r="P1153">
        <v>134</v>
      </c>
      <c r="Q1153" t="s">
        <v>2591</v>
      </c>
    </row>
    <row r="1154" spans="1:17" x14ac:dyDescent="0.3">
      <c r="A1154" t="s">
        <v>17</v>
      </c>
      <c r="B1154" t="str">
        <f>"688187"</f>
        <v>688187</v>
      </c>
      <c r="C1154" t="s">
        <v>2592</v>
      </c>
      <c r="D1154" t="s">
        <v>156</v>
      </c>
      <c r="E1154">
        <v>1241010729</v>
      </c>
      <c r="P1154">
        <v>59</v>
      </c>
      <c r="Q1154" t="s">
        <v>2593</v>
      </c>
    </row>
    <row r="1155" spans="1:17" x14ac:dyDescent="0.3">
      <c r="A1155" t="s">
        <v>75</v>
      </c>
      <c r="B1155" t="str">
        <f>"000407"</f>
        <v>000407</v>
      </c>
      <c r="C1155" t="s">
        <v>2594</v>
      </c>
      <c r="D1155" t="s">
        <v>147</v>
      </c>
      <c r="E1155">
        <v>1238106533</v>
      </c>
      <c r="F1155">
        <v>1187471789</v>
      </c>
      <c r="G1155">
        <v>867246485</v>
      </c>
      <c r="H1155">
        <v>1707588356</v>
      </c>
      <c r="I1155">
        <v>1343582006</v>
      </c>
      <c r="J1155">
        <v>698537827</v>
      </c>
      <c r="K1155">
        <v>541185231</v>
      </c>
      <c r="L1155">
        <v>581541317</v>
      </c>
      <c r="M1155">
        <v>479592586</v>
      </c>
      <c r="N1155">
        <v>594909880</v>
      </c>
      <c r="O1155">
        <v>463104998</v>
      </c>
      <c r="P1155">
        <v>113</v>
      </c>
      <c r="Q1155" t="s">
        <v>2595</v>
      </c>
    </row>
    <row r="1156" spans="1:17" x14ac:dyDescent="0.3">
      <c r="A1156" t="s">
        <v>75</v>
      </c>
      <c r="B1156" t="str">
        <f>"300094"</f>
        <v>300094</v>
      </c>
      <c r="C1156" t="s">
        <v>2596</v>
      </c>
      <c r="D1156" t="s">
        <v>2597</v>
      </c>
      <c r="E1156">
        <v>1237376809</v>
      </c>
      <c r="F1156">
        <v>1406245379</v>
      </c>
      <c r="G1156">
        <v>1129591110</v>
      </c>
      <c r="H1156">
        <v>856548211</v>
      </c>
      <c r="I1156">
        <v>1088579101</v>
      </c>
      <c r="J1156">
        <v>879710999</v>
      </c>
      <c r="K1156">
        <v>661706028</v>
      </c>
      <c r="L1156">
        <v>452213912</v>
      </c>
      <c r="M1156">
        <v>632297789</v>
      </c>
      <c r="N1156">
        <v>439399337</v>
      </c>
      <c r="O1156">
        <v>336554352</v>
      </c>
      <c r="P1156">
        <v>123</v>
      </c>
      <c r="Q1156" t="s">
        <v>2598</v>
      </c>
    </row>
    <row r="1157" spans="1:17" x14ac:dyDescent="0.3">
      <c r="A1157" t="s">
        <v>75</v>
      </c>
      <c r="B1157" t="str">
        <f>"300268"</f>
        <v>300268</v>
      </c>
      <c r="C1157" t="s">
        <v>2599</v>
      </c>
      <c r="D1157" t="s">
        <v>831</v>
      </c>
      <c r="E1157">
        <v>1235579460</v>
      </c>
      <c r="F1157">
        <v>1197975735</v>
      </c>
      <c r="G1157">
        <v>1200435273</v>
      </c>
      <c r="H1157">
        <v>631242381</v>
      </c>
      <c r="I1157">
        <v>487529123</v>
      </c>
      <c r="J1157">
        <v>150000</v>
      </c>
      <c r="K1157">
        <v>465308</v>
      </c>
      <c r="L1157">
        <v>6116481</v>
      </c>
      <c r="M1157">
        <v>33662772</v>
      </c>
      <c r="N1157">
        <v>81629551</v>
      </c>
      <c r="O1157">
        <v>124513905</v>
      </c>
      <c r="P1157">
        <v>87</v>
      </c>
      <c r="Q1157" t="s">
        <v>2600</v>
      </c>
    </row>
    <row r="1158" spans="1:17" x14ac:dyDescent="0.3">
      <c r="A1158" t="s">
        <v>75</v>
      </c>
      <c r="B1158" t="str">
        <f>"300130"</f>
        <v>300130</v>
      </c>
      <c r="C1158" t="s">
        <v>2601</v>
      </c>
      <c r="D1158" t="s">
        <v>508</v>
      </c>
      <c r="E1158">
        <v>1234041804</v>
      </c>
      <c r="F1158">
        <v>816587913</v>
      </c>
      <c r="G1158">
        <v>689486363</v>
      </c>
      <c r="H1158">
        <v>638923226</v>
      </c>
      <c r="I1158">
        <v>317382464</v>
      </c>
      <c r="J1158">
        <v>198455387</v>
      </c>
      <c r="K1158">
        <v>150016216</v>
      </c>
      <c r="L1158">
        <v>102425908</v>
      </c>
      <c r="M1158">
        <v>75971409</v>
      </c>
      <c r="N1158">
        <v>85617121</v>
      </c>
      <c r="O1158">
        <v>54684385</v>
      </c>
      <c r="P1158">
        <v>202</v>
      </c>
      <c r="Q1158" t="s">
        <v>2602</v>
      </c>
    </row>
    <row r="1159" spans="1:17" x14ac:dyDescent="0.3">
      <c r="A1159" t="s">
        <v>17</v>
      </c>
      <c r="B1159" t="str">
        <f>"603868"</f>
        <v>603868</v>
      </c>
      <c r="C1159" t="s">
        <v>2603</v>
      </c>
      <c r="D1159" t="s">
        <v>2604</v>
      </c>
      <c r="E1159">
        <v>1234018727</v>
      </c>
      <c r="F1159">
        <v>886319231</v>
      </c>
      <c r="G1159">
        <v>922182174</v>
      </c>
      <c r="H1159">
        <v>1439573727</v>
      </c>
      <c r="I1159">
        <v>1048577940</v>
      </c>
      <c r="J1159">
        <v>1100380145</v>
      </c>
      <c r="K1159">
        <v>949845743</v>
      </c>
      <c r="L1159">
        <v>770684969</v>
      </c>
      <c r="P1159">
        <v>4435</v>
      </c>
      <c r="Q1159" t="s">
        <v>2605</v>
      </c>
    </row>
    <row r="1160" spans="1:17" x14ac:dyDescent="0.3">
      <c r="A1160" t="s">
        <v>17</v>
      </c>
      <c r="B1160" t="str">
        <f>"600588"</f>
        <v>600588</v>
      </c>
      <c r="C1160" t="s">
        <v>2606</v>
      </c>
      <c r="D1160" t="s">
        <v>989</v>
      </c>
      <c r="E1160">
        <v>1232855581</v>
      </c>
      <c r="F1160">
        <v>1187413289</v>
      </c>
      <c r="G1160">
        <v>1076090630</v>
      </c>
      <c r="H1160">
        <v>1387116843</v>
      </c>
      <c r="I1160">
        <v>1201010333</v>
      </c>
      <c r="J1160">
        <v>774489085</v>
      </c>
      <c r="K1160">
        <v>615865777</v>
      </c>
      <c r="L1160">
        <v>516573125</v>
      </c>
      <c r="M1160">
        <v>510425235</v>
      </c>
      <c r="N1160">
        <v>558942526</v>
      </c>
      <c r="O1160">
        <v>556418773</v>
      </c>
      <c r="P1160">
        <v>4576</v>
      </c>
      <c r="Q1160" t="s">
        <v>2607</v>
      </c>
    </row>
    <row r="1161" spans="1:17" x14ac:dyDescent="0.3">
      <c r="A1161" t="s">
        <v>17</v>
      </c>
      <c r="B1161" t="str">
        <f>"603353"</f>
        <v>603353</v>
      </c>
      <c r="C1161" t="s">
        <v>2608</v>
      </c>
      <c r="D1161" t="s">
        <v>559</v>
      </c>
      <c r="E1161">
        <v>1232207526</v>
      </c>
      <c r="F1161">
        <v>572302739</v>
      </c>
      <c r="G1161">
        <v>319858024</v>
      </c>
      <c r="H1161">
        <v>582063177</v>
      </c>
      <c r="P1161">
        <v>103</v>
      </c>
      <c r="Q1161" t="s">
        <v>2609</v>
      </c>
    </row>
    <row r="1162" spans="1:17" x14ac:dyDescent="0.3">
      <c r="A1162" t="s">
        <v>75</v>
      </c>
      <c r="B1162" t="str">
        <f>"002483"</f>
        <v>002483</v>
      </c>
      <c r="C1162" t="s">
        <v>2610</v>
      </c>
      <c r="D1162" t="s">
        <v>786</v>
      </c>
      <c r="E1162">
        <v>1230795313</v>
      </c>
      <c r="F1162">
        <v>662919786</v>
      </c>
      <c r="G1162">
        <v>706389145</v>
      </c>
      <c r="H1162">
        <v>754937631</v>
      </c>
      <c r="I1162">
        <v>373356061</v>
      </c>
      <c r="J1162">
        <v>406468034</v>
      </c>
      <c r="K1162">
        <v>492748445</v>
      </c>
      <c r="L1162">
        <v>464084013</v>
      </c>
      <c r="M1162">
        <v>318642242</v>
      </c>
      <c r="N1162">
        <v>307627417</v>
      </c>
      <c r="O1162">
        <v>242578173</v>
      </c>
      <c r="P1162">
        <v>93</v>
      </c>
      <c r="Q1162" t="s">
        <v>2611</v>
      </c>
    </row>
    <row r="1163" spans="1:17" x14ac:dyDescent="0.3">
      <c r="A1163" t="s">
        <v>75</v>
      </c>
      <c r="B1163" t="str">
        <f>"002394"</f>
        <v>002394</v>
      </c>
      <c r="C1163" t="s">
        <v>2612</v>
      </c>
      <c r="D1163" t="s">
        <v>1050</v>
      </c>
      <c r="E1163">
        <v>1230770501</v>
      </c>
      <c r="F1163">
        <v>970145218</v>
      </c>
      <c r="G1163">
        <v>785902844</v>
      </c>
      <c r="H1163">
        <v>949247638</v>
      </c>
      <c r="I1163">
        <v>1008517877</v>
      </c>
      <c r="J1163">
        <v>862816388</v>
      </c>
      <c r="K1163">
        <v>875404570</v>
      </c>
      <c r="L1163">
        <v>771564953</v>
      </c>
      <c r="M1163">
        <v>792740506</v>
      </c>
      <c r="N1163">
        <v>715802083</v>
      </c>
      <c r="O1163">
        <v>507861503</v>
      </c>
      <c r="P1163">
        <v>673</v>
      </c>
      <c r="Q1163" t="s">
        <v>2613</v>
      </c>
    </row>
    <row r="1164" spans="1:17" x14ac:dyDescent="0.3">
      <c r="A1164" t="s">
        <v>75</v>
      </c>
      <c r="B1164" t="str">
        <f>"300393"</f>
        <v>300393</v>
      </c>
      <c r="C1164" t="s">
        <v>2614</v>
      </c>
      <c r="D1164" t="s">
        <v>417</v>
      </c>
      <c r="E1164">
        <v>1230760126</v>
      </c>
      <c r="F1164">
        <v>665162733</v>
      </c>
      <c r="G1164">
        <v>481026812</v>
      </c>
      <c r="H1164">
        <v>307887738</v>
      </c>
      <c r="I1164">
        <v>337931950</v>
      </c>
      <c r="J1164">
        <v>434915349</v>
      </c>
      <c r="K1164">
        <v>253129954</v>
      </c>
      <c r="L1164">
        <v>98990459</v>
      </c>
      <c r="M1164">
        <v>64262657</v>
      </c>
      <c r="P1164">
        <v>304</v>
      </c>
      <c r="Q1164" t="s">
        <v>2615</v>
      </c>
    </row>
    <row r="1165" spans="1:17" x14ac:dyDescent="0.3">
      <c r="A1165" t="s">
        <v>17</v>
      </c>
      <c r="B1165" t="str">
        <f>"603408"</f>
        <v>603408</v>
      </c>
      <c r="C1165" t="s">
        <v>2616</v>
      </c>
      <c r="D1165" t="s">
        <v>2617</v>
      </c>
      <c r="E1165">
        <v>1228169737</v>
      </c>
      <c r="F1165">
        <v>1127415489</v>
      </c>
      <c r="G1165">
        <v>837399425</v>
      </c>
      <c r="H1165">
        <v>919253969</v>
      </c>
      <c r="P1165">
        <v>98</v>
      </c>
      <c r="Q1165" t="s">
        <v>2618</v>
      </c>
    </row>
    <row r="1166" spans="1:17" x14ac:dyDescent="0.3">
      <c r="A1166" t="s">
        <v>75</v>
      </c>
      <c r="B1166" t="str">
        <f>"000582"</f>
        <v>000582</v>
      </c>
      <c r="C1166" t="s">
        <v>2619</v>
      </c>
      <c r="D1166" t="s">
        <v>383</v>
      </c>
      <c r="E1166">
        <v>1225709290</v>
      </c>
      <c r="F1166">
        <v>922255305</v>
      </c>
      <c r="G1166">
        <v>982794695</v>
      </c>
      <c r="H1166">
        <v>909580748</v>
      </c>
      <c r="I1166">
        <v>945987136</v>
      </c>
      <c r="J1166">
        <v>593044416</v>
      </c>
      <c r="K1166">
        <v>636231807</v>
      </c>
      <c r="L1166">
        <v>676224424</v>
      </c>
      <c r="M1166">
        <v>1069546445</v>
      </c>
      <c r="N1166">
        <v>383530128</v>
      </c>
      <c r="O1166">
        <v>372364260</v>
      </c>
      <c r="P1166">
        <v>227</v>
      </c>
      <c r="Q1166" t="s">
        <v>2620</v>
      </c>
    </row>
    <row r="1167" spans="1:17" x14ac:dyDescent="0.3">
      <c r="A1167" t="s">
        <v>75</v>
      </c>
      <c r="B1167" t="str">
        <f>"002208"</f>
        <v>002208</v>
      </c>
      <c r="C1167" t="s">
        <v>2621</v>
      </c>
      <c r="D1167" t="s">
        <v>65</v>
      </c>
      <c r="E1167">
        <v>1224285066</v>
      </c>
      <c r="F1167">
        <v>2750505790</v>
      </c>
      <c r="G1167">
        <v>562456179</v>
      </c>
      <c r="H1167">
        <v>1163466946</v>
      </c>
      <c r="I1167">
        <v>788502539</v>
      </c>
      <c r="J1167">
        <v>672445427</v>
      </c>
      <c r="K1167">
        <v>732109715</v>
      </c>
      <c r="L1167">
        <v>345794342</v>
      </c>
      <c r="M1167">
        <v>691077492</v>
      </c>
      <c r="N1167">
        <v>746719715</v>
      </c>
      <c r="O1167">
        <v>188812195</v>
      </c>
      <c r="P1167">
        <v>198</v>
      </c>
      <c r="Q1167" t="s">
        <v>2622</v>
      </c>
    </row>
    <row r="1168" spans="1:17" x14ac:dyDescent="0.3">
      <c r="A1168" t="s">
        <v>17</v>
      </c>
      <c r="B1168" t="str">
        <f>"600773"</f>
        <v>600773</v>
      </c>
      <c r="C1168" t="s">
        <v>2623</v>
      </c>
      <c r="D1168" t="s">
        <v>65</v>
      </c>
      <c r="E1168">
        <v>1222005039</v>
      </c>
      <c r="F1168">
        <v>593079756</v>
      </c>
      <c r="G1168">
        <v>295741600</v>
      </c>
      <c r="H1168">
        <v>330349674</v>
      </c>
      <c r="I1168">
        <v>335735750</v>
      </c>
      <c r="J1168">
        <v>291251594</v>
      </c>
      <c r="K1168">
        <v>98487060</v>
      </c>
      <c r="L1168">
        <v>59756854</v>
      </c>
      <c r="M1168">
        <v>489263540</v>
      </c>
      <c r="N1168">
        <v>205325225</v>
      </c>
      <c r="O1168">
        <v>119579471</v>
      </c>
      <c r="P1168">
        <v>143</v>
      </c>
      <c r="Q1168" t="s">
        <v>2624</v>
      </c>
    </row>
    <row r="1169" spans="1:17" x14ac:dyDescent="0.3">
      <c r="A1169" t="s">
        <v>75</v>
      </c>
      <c r="B1169" t="str">
        <f>"000811"</f>
        <v>000811</v>
      </c>
      <c r="C1169" t="s">
        <v>2625</v>
      </c>
      <c r="D1169" t="s">
        <v>2626</v>
      </c>
      <c r="E1169">
        <v>1221847254</v>
      </c>
      <c r="F1169">
        <v>1065022017</v>
      </c>
      <c r="G1169">
        <v>734566592</v>
      </c>
      <c r="H1169">
        <v>845726655</v>
      </c>
      <c r="I1169">
        <v>731662337</v>
      </c>
      <c r="J1169">
        <v>616037311</v>
      </c>
      <c r="K1169">
        <v>581482048</v>
      </c>
      <c r="L1169">
        <v>402048989</v>
      </c>
      <c r="M1169">
        <v>362305923</v>
      </c>
      <c r="N1169">
        <v>297781094</v>
      </c>
      <c r="O1169">
        <v>347041240</v>
      </c>
      <c r="P1169">
        <v>224</v>
      </c>
      <c r="Q1169" t="s">
        <v>2627</v>
      </c>
    </row>
    <row r="1170" spans="1:17" x14ac:dyDescent="0.3">
      <c r="A1170" t="s">
        <v>17</v>
      </c>
      <c r="B1170" t="str">
        <f>"603002"</f>
        <v>603002</v>
      </c>
      <c r="C1170" t="s">
        <v>2628</v>
      </c>
      <c r="D1170" t="s">
        <v>1853</v>
      </c>
      <c r="E1170">
        <v>1220738909</v>
      </c>
      <c r="F1170">
        <v>917879680</v>
      </c>
      <c r="G1170">
        <v>486306904</v>
      </c>
      <c r="H1170">
        <v>406734728</v>
      </c>
      <c r="I1170">
        <v>490070820</v>
      </c>
      <c r="J1170">
        <v>257086807</v>
      </c>
      <c r="K1170">
        <v>248191795</v>
      </c>
      <c r="L1170">
        <v>320827465</v>
      </c>
      <c r="M1170">
        <v>298266606</v>
      </c>
      <c r="N1170">
        <v>319429514</v>
      </c>
      <c r="O1170">
        <v>377346054</v>
      </c>
      <c r="P1170">
        <v>117</v>
      </c>
      <c r="Q1170" t="s">
        <v>2629</v>
      </c>
    </row>
    <row r="1171" spans="1:17" x14ac:dyDescent="0.3">
      <c r="A1171" t="s">
        <v>75</v>
      </c>
      <c r="B1171" t="str">
        <f>"000546"</f>
        <v>000546</v>
      </c>
      <c r="C1171" t="s">
        <v>2630</v>
      </c>
      <c r="D1171" t="s">
        <v>191</v>
      </c>
      <c r="E1171">
        <v>1217564680</v>
      </c>
      <c r="F1171">
        <v>2103880436</v>
      </c>
      <c r="G1171">
        <v>1106238821</v>
      </c>
      <c r="H1171">
        <v>1550602686</v>
      </c>
      <c r="I1171">
        <v>1734237560</v>
      </c>
      <c r="J1171">
        <v>262475868</v>
      </c>
      <c r="K1171">
        <v>160319905</v>
      </c>
      <c r="L1171">
        <v>204046810</v>
      </c>
      <c r="M1171">
        <v>23140602</v>
      </c>
      <c r="N1171">
        <v>25199067</v>
      </c>
      <c r="O1171">
        <v>11983361</v>
      </c>
      <c r="P1171">
        <v>181</v>
      </c>
      <c r="Q1171" t="s">
        <v>2631</v>
      </c>
    </row>
    <row r="1172" spans="1:17" x14ac:dyDescent="0.3">
      <c r="A1172" t="s">
        <v>17</v>
      </c>
      <c r="B1172" t="str">
        <f>"600977"</f>
        <v>600977</v>
      </c>
      <c r="C1172" t="s">
        <v>2632</v>
      </c>
      <c r="D1172" t="s">
        <v>2532</v>
      </c>
      <c r="E1172">
        <v>1214847596</v>
      </c>
      <c r="F1172">
        <v>1353034302</v>
      </c>
      <c r="G1172">
        <v>764395463</v>
      </c>
      <c r="H1172">
        <v>2485497126</v>
      </c>
      <c r="I1172">
        <v>2520530874</v>
      </c>
      <c r="J1172">
        <v>2367824415</v>
      </c>
      <c r="K1172">
        <v>2022929497</v>
      </c>
      <c r="L1172">
        <v>0</v>
      </c>
      <c r="P1172">
        <v>554</v>
      </c>
      <c r="Q1172" t="s">
        <v>2633</v>
      </c>
    </row>
    <row r="1173" spans="1:17" x14ac:dyDescent="0.3">
      <c r="A1173" t="s">
        <v>17</v>
      </c>
      <c r="B1173" t="str">
        <f>"600760"</f>
        <v>600760</v>
      </c>
      <c r="C1173" t="s">
        <v>2634</v>
      </c>
      <c r="D1173" t="s">
        <v>1551</v>
      </c>
      <c r="E1173">
        <v>1214781269</v>
      </c>
      <c r="F1173">
        <v>4323246153</v>
      </c>
      <c r="G1173">
        <v>1409826134</v>
      </c>
      <c r="H1173">
        <v>2770220705</v>
      </c>
      <c r="I1173">
        <v>1246256387</v>
      </c>
      <c r="J1173">
        <v>222991809</v>
      </c>
      <c r="K1173">
        <v>185026302</v>
      </c>
      <c r="L1173">
        <v>277602909</v>
      </c>
      <c r="M1173">
        <v>411356157</v>
      </c>
      <c r="N1173">
        <v>412395010</v>
      </c>
      <c r="O1173">
        <v>422820102</v>
      </c>
      <c r="P1173">
        <v>827</v>
      </c>
      <c r="Q1173" t="s">
        <v>2635</v>
      </c>
    </row>
    <row r="1174" spans="1:17" x14ac:dyDescent="0.3">
      <c r="A1174" t="s">
        <v>75</v>
      </c>
      <c r="B1174" t="str">
        <f>"300316"</f>
        <v>300316</v>
      </c>
      <c r="C1174" t="s">
        <v>2636</v>
      </c>
      <c r="D1174" t="s">
        <v>2212</v>
      </c>
      <c r="E1174">
        <v>1214768676</v>
      </c>
      <c r="F1174">
        <v>1159033350</v>
      </c>
      <c r="G1174">
        <v>1074609132</v>
      </c>
      <c r="H1174">
        <v>343426895</v>
      </c>
      <c r="I1174">
        <v>420719207</v>
      </c>
      <c r="J1174">
        <v>215765058</v>
      </c>
      <c r="K1174">
        <v>166395292</v>
      </c>
      <c r="L1174">
        <v>45209445</v>
      </c>
      <c r="M1174">
        <v>70971017</v>
      </c>
      <c r="N1174">
        <v>68419224</v>
      </c>
      <c r="O1174">
        <v>93622429</v>
      </c>
      <c r="P1174">
        <v>1072</v>
      </c>
      <c r="Q1174" t="s">
        <v>2637</v>
      </c>
    </row>
    <row r="1175" spans="1:17" x14ac:dyDescent="0.3">
      <c r="A1175" t="s">
        <v>75</v>
      </c>
      <c r="B1175" t="str">
        <f>"002087"</f>
        <v>002087</v>
      </c>
      <c r="C1175" t="s">
        <v>2638</v>
      </c>
      <c r="D1175" t="s">
        <v>1050</v>
      </c>
      <c r="E1175">
        <v>1214177024</v>
      </c>
      <c r="F1175">
        <v>1459048658</v>
      </c>
      <c r="G1175">
        <v>1096619521</v>
      </c>
      <c r="H1175">
        <v>1455915188</v>
      </c>
      <c r="I1175">
        <v>1333260537</v>
      </c>
      <c r="J1175">
        <v>1070924774</v>
      </c>
      <c r="K1175">
        <v>750496809</v>
      </c>
      <c r="L1175">
        <v>628232451</v>
      </c>
      <c r="M1175">
        <v>699854462</v>
      </c>
      <c r="N1175">
        <v>949837019</v>
      </c>
      <c r="O1175">
        <v>800353457</v>
      </c>
      <c r="P1175">
        <v>208</v>
      </c>
      <c r="Q1175" t="s">
        <v>2639</v>
      </c>
    </row>
    <row r="1176" spans="1:17" x14ac:dyDescent="0.3">
      <c r="A1176" t="s">
        <v>75</v>
      </c>
      <c r="B1176" t="str">
        <f>"000507"</f>
        <v>000507</v>
      </c>
      <c r="C1176" t="s">
        <v>2640</v>
      </c>
      <c r="D1176" t="s">
        <v>383</v>
      </c>
      <c r="E1176">
        <v>1213965579</v>
      </c>
      <c r="F1176">
        <v>1094426476</v>
      </c>
      <c r="G1176">
        <v>584722873</v>
      </c>
      <c r="H1176">
        <v>706918508</v>
      </c>
      <c r="I1176">
        <v>453226250</v>
      </c>
      <c r="J1176">
        <v>456366341</v>
      </c>
      <c r="K1176">
        <v>366967900</v>
      </c>
      <c r="L1176">
        <v>589541596</v>
      </c>
      <c r="M1176">
        <v>290953294</v>
      </c>
      <c r="N1176">
        <v>277053162</v>
      </c>
      <c r="O1176">
        <v>167199319</v>
      </c>
      <c r="P1176">
        <v>185</v>
      </c>
      <c r="Q1176" t="s">
        <v>2641</v>
      </c>
    </row>
    <row r="1177" spans="1:17" x14ac:dyDescent="0.3">
      <c r="A1177" t="s">
        <v>75</v>
      </c>
      <c r="B1177" t="str">
        <f>"002506"</f>
        <v>002506</v>
      </c>
      <c r="C1177" t="s">
        <v>2642</v>
      </c>
      <c r="D1177" t="s">
        <v>417</v>
      </c>
      <c r="E1177">
        <v>1212160729</v>
      </c>
      <c r="F1177">
        <v>1026831688</v>
      </c>
      <c r="G1177">
        <v>1382814130</v>
      </c>
      <c r="H1177">
        <v>3106515350</v>
      </c>
      <c r="I1177">
        <v>3869617173</v>
      </c>
      <c r="J1177">
        <v>1067754012</v>
      </c>
      <c r="K1177">
        <v>1201164030</v>
      </c>
      <c r="L1177">
        <v>387091720</v>
      </c>
      <c r="M1177">
        <v>83600282</v>
      </c>
      <c r="N1177">
        <v>88888392</v>
      </c>
      <c r="O1177">
        <v>404035270</v>
      </c>
      <c r="P1177">
        <v>315</v>
      </c>
      <c r="Q1177" t="s">
        <v>2643</v>
      </c>
    </row>
    <row r="1178" spans="1:17" x14ac:dyDescent="0.3">
      <c r="A1178" t="s">
        <v>75</v>
      </c>
      <c r="B1178" t="str">
        <f>"002993"</f>
        <v>002993</v>
      </c>
      <c r="C1178" t="s">
        <v>2644</v>
      </c>
      <c r="D1178" t="s">
        <v>55</v>
      </c>
      <c r="E1178">
        <v>1211844865</v>
      </c>
      <c r="F1178">
        <v>790796437</v>
      </c>
      <c r="G1178">
        <v>769030041</v>
      </c>
      <c r="H1178">
        <v>504170113</v>
      </c>
      <c r="P1178">
        <v>145</v>
      </c>
      <c r="Q1178" t="s">
        <v>2645</v>
      </c>
    </row>
    <row r="1179" spans="1:17" x14ac:dyDescent="0.3">
      <c r="A1179" t="s">
        <v>17</v>
      </c>
      <c r="B1179" t="str">
        <f>"603358"</f>
        <v>603358</v>
      </c>
      <c r="C1179" t="s">
        <v>2646</v>
      </c>
      <c r="D1179" t="s">
        <v>1321</v>
      </c>
      <c r="E1179">
        <v>1210844940</v>
      </c>
      <c r="F1179">
        <v>1248630413</v>
      </c>
      <c r="G1179">
        <v>1045775542</v>
      </c>
      <c r="H1179">
        <v>1041925423</v>
      </c>
      <c r="I1179">
        <v>877881317</v>
      </c>
      <c r="J1179">
        <v>656136858</v>
      </c>
      <c r="K1179">
        <v>633046665</v>
      </c>
      <c r="P1179">
        <v>131</v>
      </c>
      <c r="Q1179" t="s">
        <v>2647</v>
      </c>
    </row>
    <row r="1180" spans="1:17" x14ac:dyDescent="0.3">
      <c r="A1180" t="s">
        <v>75</v>
      </c>
      <c r="B1180" t="str">
        <f>"002239"</f>
        <v>002239</v>
      </c>
      <c r="C1180" t="s">
        <v>2648</v>
      </c>
      <c r="D1180" t="s">
        <v>433</v>
      </c>
      <c r="E1180">
        <v>1210410775</v>
      </c>
      <c r="F1180">
        <v>921446119</v>
      </c>
      <c r="G1180">
        <v>1137862909</v>
      </c>
      <c r="H1180">
        <v>932179123</v>
      </c>
      <c r="I1180">
        <v>1203131502</v>
      </c>
      <c r="J1180">
        <v>1369686236</v>
      </c>
      <c r="K1180">
        <v>1044141490</v>
      </c>
      <c r="L1180">
        <v>138058476</v>
      </c>
      <c r="M1180">
        <v>125816476</v>
      </c>
      <c r="N1180">
        <v>107816061</v>
      </c>
      <c r="O1180">
        <v>115409236</v>
      </c>
      <c r="P1180">
        <v>242</v>
      </c>
      <c r="Q1180" t="s">
        <v>2649</v>
      </c>
    </row>
    <row r="1181" spans="1:17" x14ac:dyDescent="0.3">
      <c r="A1181" t="s">
        <v>75</v>
      </c>
      <c r="B1181" t="str">
        <f>"002815"</f>
        <v>002815</v>
      </c>
      <c r="C1181" t="s">
        <v>2650</v>
      </c>
      <c r="D1181" t="s">
        <v>567</v>
      </c>
      <c r="E1181">
        <v>1209477128</v>
      </c>
      <c r="F1181">
        <v>1081149543</v>
      </c>
      <c r="G1181">
        <v>816063924</v>
      </c>
      <c r="H1181">
        <v>986227450</v>
      </c>
      <c r="I1181">
        <v>821311199</v>
      </c>
      <c r="J1181">
        <v>626541815</v>
      </c>
      <c r="K1181">
        <v>442022471</v>
      </c>
      <c r="P1181">
        <v>919</v>
      </c>
      <c r="Q1181" t="s">
        <v>2651</v>
      </c>
    </row>
    <row r="1182" spans="1:17" x14ac:dyDescent="0.3">
      <c r="A1182" t="s">
        <v>75</v>
      </c>
      <c r="B1182" t="str">
        <f>"300782"</f>
        <v>300782</v>
      </c>
      <c r="C1182" t="s">
        <v>2652</v>
      </c>
      <c r="D1182" t="s">
        <v>2580</v>
      </c>
      <c r="E1182">
        <v>1208673596</v>
      </c>
      <c r="F1182">
        <v>955734997</v>
      </c>
      <c r="G1182">
        <v>509049200</v>
      </c>
      <c r="H1182">
        <v>165331339</v>
      </c>
      <c r="I1182">
        <v>119356892</v>
      </c>
      <c r="P1182">
        <v>1609</v>
      </c>
      <c r="Q1182" t="s">
        <v>2653</v>
      </c>
    </row>
    <row r="1183" spans="1:17" x14ac:dyDescent="0.3">
      <c r="A1183" t="s">
        <v>17</v>
      </c>
      <c r="B1183" t="str">
        <f>"600778"</f>
        <v>600778</v>
      </c>
      <c r="C1183" t="s">
        <v>2654</v>
      </c>
      <c r="D1183" t="s">
        <v>359</v>
      </c>
      <c r="E1183">
        <v>1207308783</v>
      </c>
      <c r="F1183">
        <v>1496885110</v>
      </c>
      <c r="G1183">
        <v>1280188089</v>
      </c>
      <c r="H1183">
        <v>1648216774</v>
      </c>
      <c r="I1183">
        <v>1956852925</v>
      </c>
      <c r="J1183">
        <v>1746078565</v>
      </c>
      <c r="K1183">
        <v>1753595190</v>
      </c>
      <c r="L1183">
        <v>1909961374</v>
      </c>
      <c r="M1183">
        <v>2089646355</v>
      </c>
      <c r="N1183">
        <v>2673520297</v>
      </c>
      <c r="O1183">
        <v>1495579216</v>
      </c>
      <c r="P1183">
        <v>82</v>
      </c>
      <c r="Q1183" t="s">
        <v>2655</v>
      </c>
    </row>
    <row r="1184" spans="1:17" x14ac:dyDescent="0.3">
      <c r="A1184" t="s">
        <v>75</v>
      </c>
      <c r="B1184" t="str">
        <f>"000666"</f>
        <v>000666</v>
      </c>
      <c r="C1184" t="s">
        <v>2656</v>
      </c>
      <c r="D1184" t="s">
        <v>2657</v>
      </c>
      <c r="E1184">
        <v>1198851943</v>
      </c>
      <c r="F1184">
        <v>1159515026</v>
      </c>
      <c r="G1184">
        <v>461125535</v>
      </c>
      <c r="H1184">
        <v>914407720</v>
      </c>
      <c r="I1184">
        <v>704619956</v>
      </c>
      <c r="J1184">
        <v>682755608</v>
      </c>
      <c r="K1184">
        <v>687252377</v>
      </c>
      <c r="L1184">
        <v>708293645</v>
      </c>
      <c r="M1184">
        <v>1150446294</v>
      </c>
      <c r="N1184">
        <v>1075113128</v>
      </c>
      <c r="O1184">
        <v>1609737048</v>
      </c>
      <c r="P1184">
        <v>186</v>
      </c>
      <c r="Q1184" t="s">
        <v>2658</v>
      </c>
    </row>
    <row r="1185" spans="1:17" x14ac:dyDescent="0.3">
      <c r="A1185" t="s">
        <v>75</v>
      </c>
      <c r="B1185" t="str">
        <f>"000525"</f>
        <v>000525</v>
      </c>
      <c r="C1185" t="s">
        <v>2659</v>
      </c>
      <c r="D1185" t="s">
        <v>811</v>
      </c>
      <c r="E1185">
        <v>1198071773</v>
      </c>
      <c r="F1185">
        <v>767380255</v>
      </c>
      <c r="G1185">
        <v>659236974</v>
      </c>
      <c r="H1185">
        <v>1197569960</v>
      </c>
      <c r="I1185">
        <v>1252962203</v>
      </c>
      <c r="J1185">
        <v>910728485</v>
      </c>
      <c r="K1185">
        <v>725913803</v>
      </c>
      <c r="L1185">
        <v>1061136642</v>
      </c>
      <c r="M1185">
        <v>973007110</v>
      </c>
      <c r="N1185">
        <v>979082632</v>
      </c>
      <c r="O1185">
        <v>1627078821</v>
      </c>
      <c r="P1185">
        <v>150</v>
      </c>
      <c r="Q1185" t="s">
        <v>2660</v>
      </c>
    </row>
    <row r="1186" spans="1:17" x14ac:dyDescent="0.3">
      <c r="A1186" t="s">
        <v>75</v>
      </c>
      <c r="B1186" t="str">
        <f>"002803"</f>
        <v>002803</v>
      </c>
      <c r="C1186" t="s">
        <v>2661</v>
      </c>
      <c r="D1186" t="s">
        <v>1236</v>
      </c>
      <c r="E1186">
        <v>1197121025</v>
      </c>
      <c r="F1186">
        <v>1145891035</v>
      </c>
      <c r="G1186">
        <v>735141331</v>
      </c>
      <c r="H1186">
        <v>759302445</v>
      </c>
      <c r="I1186">
        <v>425731757</v>
      </c>
      <c r="J1186">
        <v>171189961</v>
      </c>
      <c r="K1186">
        <v>104929787</v>
      </c>
      <c r="L1186">
        <v>72764384</v>
      </c>
      <c r="P1186">
        <v>601</v>
      </c>
      <c r="Q1186" t="s">
        <v>2662</v>
      </c>
    </row>
    <row r="1187" spans="1:17" x14ac:dyDescent="0.3">
      <c r="A1187" t="s">
        <v>17</v>
      </c>
      <c r="B1187" t="str">
        <f>"603223"</f>
        <v>603223</v>
      </c>
      <c r="C1187" t="s">
        <v>2663</v>
      </c>
      <c r="D1187" t="s">
        <v>608</v>
      </c>
      <c r="E1187">
        <v>1196006313</v>
      </c>
      <c r="F1187">
        <v>1577649238</v>
      </c>
      <c r="G1187">
        <v>1032583917</v>
      </c>
      <c r="H1187">
        <v>2238914214</v>
      </c>
      <c r="I1187">
        <v>1205710622</v>
      </c>
      <c r="J1187">
        <v>737939460</v>
      </c>
      <c r="K1187">
        <v>368609837</v>
      </c>
      <c r="L1187">
        <v>0</v>
      </c>
      <c r="M1187">
        <v>0</v>
      </c>
      <c r="P1187">
        <v>98</v>
      </c>
      <c r="Q1187" t="s">
        <v>2664</v>
      </c>
    </row>
    <row r="1188" spans="1:17" x14ac:dyDescent="0.3">
      <c r="A1188" t="s">
        <v>17</v>
      </c>
      <c r="B1188" t="str">
        <f>"600316"</f>
        <v>600316</v>
      </c>
      <c r="C1188" t="s">
        <v>2665</v>
      </c>
      <c r="D1188" t="s">
        <v>1551</v>
      </c>
      <c r="E1188">
        <v>1193350796</v>
      </c>
      <c r="F1188">
        <v>1940412919</v>
      </c>
      <c r="G1188">
        <v>107436387</v>
      </c>
      <c r="H1188">
        <v>849246171</v>
      </c>
      <c r="I1188">
        <v>321066825</v>
      </c>
      <c r="J1188">
        <v>284646932</v>
      </c>
      <c r="K1188">
        <v>289271214</v>
      </c>
      <c r="L1188">
        <v>222034151</v>
      </c>
      <c r="M1188">
        <v>408484153</v>
      </c>
      <c r="N1188">
        <v>278951869</v>
      </c>
      <c r="O1188">
        <v>158169884</v>
      </c>
      <c r="P1188">
        <v>387</v>
      </c>
      <c r="Q1188" t="s">
        <v>2666</v>
      </c>
    </row>
    <row r="1189" spans="1:17" x14ac:dyDescent="0.3">
      <c r="A1189" t="s">
        <v>17</v>
      </c>
      <c r="B1189" t="str">
        <f>"600819"</f>
        <v>600819</v>
      </c>
      <c r="C1189" t="s">
        <v>2667</v>
      </c>
      <c r="D1189" t="s">
        <v>1436</v>
      </c>
      <c r="E1189">
        <v>1191856650</v>
      </c>
      <c r="F1189">
        <v>1058521198</v>
      </c>
      <c r="G1189">
        <v>885071342</v>
      </c>
      <c r="H1189">
        <v>1149213109</v>
      </c>
      <c r="I1189">
        <v>943351703</v>
      </c>
      <c r="J1189">
        <v>782036514</v>
      </c>
      <c r="K1189">
        <v>812475190</v>
      </c>
      <c r="L1189">
        <v>804084239</v>
      </c>
      <c r="M1189">
        <v>671782985</v>
      </c>
      <c r="N1189">
        <v>499376967</v>
      </c>
      <c r="O1189">
        <v>598094092</v>
      </c>
      <c r="P1189">
        <v>94</v>
      </c>
      <c r="Q1189" t="s">
        <v>2668</v>
      </c>
    </row>
    <row r="1190" spans="1:17" x14ac:dyDescent="0.3">
      <c r="A1190" t="s">
        <v>75</v>
      </c>
      <c r="B1190" t="str">
        <f>"301219"</f>
        <v>301219</v>
      </c>
      <c r="C1190" t="s">
        <v>2669</v>
      </c>
      <c r="E1190">
        <v>1191022024</v>
      </c>
      <c r="G1190">
        <v>398878147</v>
      </c>
      <c r="P1190">
        <v>8</v>
      </c>
      <c r="Q1190" t="s">
        <v>2670</v>
      </c>
    </row>
    <row r="1191" spans="1:17" x14ac:dyDescent="0.3">
      <c r="A1191" t="s">
        <v>75</v>
      </c>
      <c r="B1191" t="str">
        <f>"002640"</f>
        <v>002640</v>
      </c>
      <c r="C1191" t="s">
        <v>2671</v>
      </c>
      <c r="D1191" t="s">
        <v>1236</v>
      </c>
      <c r="E1191">
        <v>1189366881</v>
      </c>
      <c r="F1191">
        <v>2417136290</v>
      </c>
      <c r="G1191">
        <v>3629532579</v>
      </c>
      <c r="H1191">
        <v>4345480045</v>
      </c>
      <c r="I1191">
        <v>4628271087</v>
      </c>
      <c r="J1191">
        <v>2597836502</v>
      </c>
      <c r="K1191">
        <v>1612618520</v>
      </c>
      <c r="L1191">
        <v>593424218</v>
      </c>
      <c r="M1191">
        <v>73930245</v>
      </c>
      <c r="N1191">
        <v>72044743</v>
      </c>
      <c r="O1191">
        <v>64328124</v>
      </c>
      <c r="P1191">
        <v>263</v>
      </c>
      <c r="Q1191" t="s">
        <v>2672</v>
      </c>
    </row>
    <row r="1192" spans="1:17" x14ac:dyDescent="0.3">
      <c r="A1192" t="s">
        <v>17</v>
      </c>
      <c r="B1192" t="str">
        <f>"600121"</f>
        <v>600121</v>
      </c>
      <c r="C1192" t="s">
        <v>2673</v>
      </c>
      <c r="D1192" t="s">
        <v>71</v>
      </c>
      <c r="E1192">
        <v>1189185625</v>
      </c>
      <c r="F1192">
        <v>647413498</v>
      </c>
      <c r="G1192">
        <v>602448225</v>
      </c>
      <c r="H1192">
        <v>1278847256</v>
      </c>
      <c r="I1192">
        <v>1062973558</v>
      </c>
      <c r="J1192">
        <v>1200697533</v>
      </c>
      <c r="K1192">
        <v>1889783894</v>
      </c>
      <c r="L1192">
        <v>3073895849</v>
      </c>
      <c r="M1192">
        <v>3229777867</v>
      </c>
      <c r="N1192">
        <v>5054942152</v>
      </c>
      <c r="O1192">
        <v>5107177568</v>
      </c>
      <c r="P1192">
        <v>180</v>
      </c>
      <c r="Q1192" t="s">
        <v>2674</v>
      </c>
    </row>
    <row r="1193" spans="1:17" x14ac:dyDescent="0.3">
      <c r="A1193" t="s">
        <v>75</v>
      </c>
      <c r="B1193" t="str">
        <f>"300737"</f>
        <v>300737</v>
      </c>
      <c r="C1193" t="s">
        <v>2675</v>
      </c>
      <c r="D1193" t="s">
        <v>752</v>
      </c>
      <c r="E1193">
        <v>1188929029</v>
      </c>
      <c r="F1193">
        <v>1405140879</v>
      </c>
      <c r="G1193">
        <v>891543118</v>
      </c>
      <c r="H1193">
        <v>625213661</v>
      </c>
      <c r="I1193">
        <v>548502586</v>
      </c>
      <c r="J1193">
        <v>321244803</v>
      </c>
      <c r="P1193">
        <v>459</v>
      </c>
      <c r="Q1193" t="s">
        <v>2676</v>
      </c>
    </row>
    <row r="1194" spans="1:17" x14ac:dyDescent="0.3">
      <c r="A1194" t="s">
        <v>17</v>
      </c>
      <c r="B1194" t="str">
        <f>"600536"</f>
        <v>600536</v>
      </c>
      <c r="C1194" t="s">
        <v>2677</v>
      </c>
      <c r="D1194" t="s">
        <v>224</v>
      </c>
      <c r="E1194">
        <v>1188070160</v>
      </c>
      <c r="F1194">
        <v>1462809078</v>
      </c>
      <c r="G1194">
        <v>576438632</v>
      </c>
      <c r="H1194">
        <v>855838668</v>
      </c>
      <c r="I1194">
        <v>624790143</v>
      </c>
      <c r="J1194">
        <v>664425577</v>
      </c>
      <c r="K1194">
        <v>711379771</v>
      </c>
      <c r="L1194">
        <v>631516936</v>
      </c>
      <c r="M1194">
        <v>696164139</v>
      </c>
      <c r="N1194">
        <v>475660009</v>
      </c>
      <c r="O1194">
        <v>350583414</v>
      </c>
      <c r="P1194">
        <v>621</v>
      </c>
      <c r="Q1194" t="s">
        <v>2678</v>
      </c>
    </row>
    <row r="1195" spans="1:17" x14ac:dyDescent="0.3">
      <c r="A1195" t="s">
        <v>17</v>
      </c>
      <c r="B1195" t="str">
        <f>"600929"</f>
        <v>600929</v>
      </c>
      <c r="C1195" t="s">
        <v>2679</v>
      </c>
      <c r="D1195" t="s">
        <v>1275</v>
      </c>
      <c r="E1195">
        <v>1188045206</v>
      </c>
      <c r="F1195">
        <v>496864511</v>
      </c>
      <c r="G1195">
        <v>395482483</v>
      </c>
      <c r="H1195">
        <v>425036745</v>
      </c>
      <c r="I1195">
        <v>536761673</v>
      </c>
      <c r="J1195">
        <v>472421126</v>
      </c>
      <c r="P1195">
        <v>133</v>
      </c>
      <c r="Q1195" t="s">
        <v>2680</v>
      </c>
    </row>
    <row r="1196" spans="1:17" x14ac:dyDescent="0.3">
      <c r="A1196" t="s">
        <v>75</v>
      </c>
      <c r="B1196" t="str">
        <f>"002681"</f>
        <v>002681</v>
      </c>
      <c r="C1196" t="s">
        <v>2681</v>
      </c>
      <c r="D1196" t="s">
        <v>55</v>
      </c>
      <c r="E1196">
        <v>1187282030</v>
      </c>
      <c r="F1196">
        <v>1110763757</v>
      </c>
      <c r="G1196">
        <v>952273555</v>
      </c>
      <c r="H1196">
        <v>917560941</v>
      </c>
      <c r="I1196">
        <v>1292881378</v>
      </c>
      <c r="J1196">
        <v>530877340</v>
      </c>
      <c r="K1196">
        <v>492434233</v>
      </c>
      <c r="L1196">
        <v>440749656</v>
      </c>
      <c r="M1196">
        <v>203647863</v>
      </c>
      <c r="N1196">
        <v>179394611</v>
      </c>
      <c r="O1196">
        <v>168429918</v>
      </c>
      <c r="P1196">
        <v>216</v>
      </c>
      <c r="Q1196" t="s">
        <v>2682</v>
      </c>
    </row>
    <row r="1197" spans="1:17" x14ac:dyDescent="0.3">
      <c r="A1197" t="s">
        <v>17</v>
      </c>
      <c r="B1197" t="str">
        <f>"600727"</f>
        <v>600727</v>
      </c>
      <c r="C1197" t="s">
        <v>2683</v>
      </c>
      <c r="D1197" t="s">
        <v>956</v>
      </c>
      <c r="E1197">
        <v>1187142448</v>
      </c>
      <c r="F1197">
        <v>692660704</v>
      </c>
      <c r="G1197">
        <v>295517205</v>
      </c>
      <c r="H1197">
        <v>236712973</v>
      </c>
      <c r="I1197">
        <v>140406549</v>
      </c>
      <c r="J1197">
        <v>230760850</v>
      </c>
      <c r="K1197">
        <v>133779850</v>
      </c>
      <c r="L1197">
        <v>134874711</v>
      </c>
      <c r="M1197">
        <v>119831244</v>
      </c>
      <c r="N1197">
        <v>126301751</v>
      </c>
      <c r="O1197">
        <v>197516329</v>
      </c>
      <c r="P1197">
        <v>138</v>
      </c>
      <c r="Q1197" t="s">
        <v>2684</v>
      </c>
    </row>
    <row r="1198" spans="1:17" x14ac:dyDescent="0.3">
      <c r="A1198" t="s">
        <v>17</v>
      </c>
      <c r="B1198" t="str">
        <f>"603787"</f>
        <v>603787</v>
      </c>
      <c r="C1198" t="s">
        <v>2685</v>
      </c>
      <c r="D1198" t="s">
        <v>1457</v>
      </c>
      <c r="E1198">
        <v>1186707025</v>
      </c>
      <c r="F1198">
        <v>1094948760</v>
      </c>
      <c r="G1198">
        <v>353681931</v>
      </c>
      <c r="H1198">
        <v>469313793</v>
      </c>
      <c r="I1198">
        <v>692448090</v>
      </c>
      <c r="J1198">
        <v>601773114</v>
      </c>
      <c r="K1198">
        <v>465289264</v>
      </c>
      <c r="P1198">
        <v>103</v>
      </c>
      <c r="Q1198" t="s">
        <v>2686</v>
      </c>
    </row>
    <row r="1199" spans="1:17" x14ac:dyDescent="0.3">
      <c r="A1199" t="s">
        <v>75</v>
      </c>
      <c r="B1199" t="str">
        <f>"002538"</f>
        <v>002538</v>
      </c>
      <c r="C1199" t="s">
        <v>2687</v>
      </c>
      <c r="D1199" t="s">
        <v>1047</v>
      </c>
      <c r="E1199">
        <v>1185121282</v>
      </c>
      <c r="F1199">
        <v>733031472</v>
      </c>
      <c r="G1199">
        <v>869291159</v>
      </c>
      <c r="H1199">
        <v>366949362</v>
      </c>
      <c r="I1199">
        <v>294372302</v>
      </c>
      <c r="J1199">
        <v>279633818</v>
      </c>
      <c r="K1199">
        <v>309423085</v>
      </c>
      <c r="L1199">
        <v>353422865</v>
      </c>
      <c r="M1199">
        <v>184856153</v>
      </c>
      <c r="N1199">
        <v>311035282</v>
      </c>
      <c r="O1199">
        <v>331781605</v>
      </c>
      <c r="P1199">
        <v>174</v>
      </c>
      <c r="Q1199" t="s">
        <v>2688</v>
      </c>
    </row>
    <row r="1200" spans="1:17" x14ac:dyDescent="0.3">
      <c r="A1200" t="s">
        <v>17</v>
      </c>
      <c r="B1200" t="str">
        <f>"688696"</f>
        <v>688696</v>
      </c>
      <c r="C1200" t="s">
        <v>2689</v>
      </c>
      <c r="D1200" t="s">
        <v>287</v>
      </c>
      <c r="E1200">
        <v>1183851106</v>
      </c>
      <c r="F1200">
        <v>941053058</v>
      </c>
      <c r="G1200">
        <v>706819577</v>
      </c>
      <c r="P1200">
        <v>150</v>
      </c>
      <c r="Q1200" t="s">
        <v>2690</v>
      </c>
    </row>
    <row r="1201" spans="1:17" x14ac:dyDescent="0.3">
      <c r="A1201" t="s">
        <v>75</v>
      </c>
      <c r="B1201" t="str">
        <f>"002851"</f>
        <v>002851</v>
      </c>
      <c r="C1201" t="s">
        <v>2691</v>
      </c>
      <c r="D1201" t="s">
        <v>2692</v>
      </c>
      <c r="E1201">
        <v>1183517698</v>
      </c>
      <c r="F1201">
        <v>781363853</v>
      </c>
      <c r="G1201">
        <v>800490115</v>
      </c>
      <c r="H1201">
        <v>717294032</v>
      </c>
      <c r="I1201">
        <v>361885838</v>
      </c>
      <c r="J1201">
        <v>245353375</v>
      </c>
      <c r="K1201">
        <v>215319231</v>
      </c>
      <c r="P1201">
        <v>565</v>
      </c>
      <c r="Q1201" t="s">
        <v>2693</v>
      </c>
    </row>
    <row r="1202" spans="1:17" x14ac:dyDescent="0.3">
      <c r="A1202" t="s">
        <v>75</v>
      </c>
      <c r="B1202" t="str">
        <f>"002661"</f>
        <v>002661</v>
      </c>
      <c r="C1202" t="s">
        <v>2694</v>
      </c>
      <c r="D1202" t="s">
        <v>831</v>
      </c>
      <c r="E1202">
        <v>1183195495</v>
      </c>
      <c r="F1202">
        <v>1182559620</v>
      </c>
      <c r="G1202">
        <v>1089840468</v>
      </c>
      <c r="H1202">
        <v>847641389</v>
      </c>
      <c r="I1202">
        <v>762994202</v>
      </c>
      <c r="J1202">
        <v>544743704</v>
      </c>
      <c r="K1202">
        <v>568163288</v>
      </c>
      <c r="L1202">
        <v>437007759</v>
      </c>
      <c r="M1202">
        <v>357291814</v>
      </c>
      <c r="N1202">
        <v>267182299</v>
      </c>
      <c r="O1202">
        <v>258208202</v>
      </c>
      <c r="P1202">
        <v>511</v>
      </c>
      <c r="Q1202" t="s">
        <v>2695</v>
      </c>
    </row>
    <row r="1203" spans="1:17" x14ac:dyDescent="0.3">
      <c r="A1203" t="s">
        <v>17</v>
      </c>
      <c r="B1203" t="str">
        <f>"600490"</f>
        <v>600490</v>
      </c>
      <c r="C1203" t="s">
        <v>2696</v>
      </c>
      <c r="D1203" t="s">
        <v>45</v>
      </c>
      <c r="E1203">
        <v>1182926145</v>
      </c>
      <c r="F1203">
        <v>3078549191</v>
      </c>
      <c r="G1203">
        <v>2111461280</v>
      </c>
      <c r="H1203">
        <v>4521443528</v>
      </c>
      <c r="I1203">
        <v>2740697448</v>
      </c>
      <c r="J1203">
        <v>699271284</v>
      </c>
      <c r="K1203">
        <v>759465919</v>
      </c>
      <c r="L1203">
        <v>459213390</v>
      </c>
      <c r="M1203">
        <v>712341230</v>
      </c>
      <c r="N1203">
        <v>594885087</v>
      </c>
      <c r="O1203">
        <v>87838600</v>
      </c>
      <c r="P1203">
        <v>144</v>
      </c>
      <c r="Q1203" t="s">
        <v>2697</v>
      </c>
    </row>
    <row r="1204" spans="1:17" x14ac:dyDescent="0.3">
      <c r="A1204" t="s">
        <v>17</v>
      </c>
      <c r="B1204" t="str">
        <f>"603179"</f>
        <v>603179</v>
      </c>
      <c r="C1204" t="s">
        <v>2698</v>
      </c>
      <c r="D1204" t="s">
        <v>433</v>
      </c>
      <c r="E1204">
        <v>1178218081</v>
      </c>
      <c r="F1204">
        <v>650733803</v>
      </c>
      <c r="G1204">
        <v>579144771</v>
      </c>
      <c r="H1204">
        <v>628352256</v>
      </c>
      <c r="I1204">
        <v>707893377</v>
      </c>
      <c r="J1204">
        <v>363007462</v>
      </c>
      <c r="K1204">
        <v>182283352</v>
      </c>
      <c r="P1204">
        <v>302</v>
      </c>
      <c r="Q1204" t="s">
        <v>2699</v>
      </c>
    </row>
    <row r="1205" spans="1:17" x14ac:dyDescent="0.3">
      <c r="A1205" t="s">
        <v>75</v>
      </c>
      <c r="B1205" t="str">
        <f>"002426"</f>
        <v>002426</v>
      </c>
      <c r="C1205" t="s">
        <v>2700</v>
      </c>
      <c r="D1205" t="s">
        <v>153</v>
      </c>
      <c r="E1205">
        <v>1178174805</v>
      </c>
      <c r="F1205">
        <v>1533185858</v>
      </c>
      <c r="G1205">
        <v>2012705058</v>
      </c>
      <c r="H1205">
        <v>4190556052</v>
      </c>
      <c r="I1205">
        <v>4943417735</v>
      </c>
      <c r="J1205">
        <v>4031083516</v>
      </c>
      <c r="K1205">
        <v>3511101537</v>
      </c>
      <c r="L1205">
        <v>798682147</v>
      </c>
      <c r="M1205">
        <v>396160258</v>
      </c>
      <c r="N1205">
        <v>435432311</v>
      </c>
      <c r="O1205">
        <v>503055640</v>
      </c>
      <c r="P1205">
        <v>207</v>
      </c>
      <c r="Q1205" t="s">
        <v>2701</v>
      </c>
    </row>
    <row r="1206" spans="1:17" x14ac:dyDescent="0.3">
      <c r="A1206" t="s">
        <v>75</v>
      </c>
      <c r="B1206" t="str">
        <f>"002392"</f>
        <v>002392</v>
      </c>
      <c r="C1206" t="s">
        <v>2702</v>
      </c>
      <c r="D1206" t="s">
        <v>2703</v>
      </c>
      <c r="E1206">
        <v>1177062424</v>
      </c>
      <c r="F1206">
        <v>406566215</v>
      </c>
      <c r="G1206">
        <v>765938834</v>
      </c>
      <c r="H1206">
        <v>462759110</v>
      </c>
      <c r="I1206">
        <v>424628228</v>
      </c>
      <c r="J1206">
        <v>335936261</v>
      </c>
      <c r="K1206">
        <v>234540922</v>
      </c>
      <c r="L1206">
        <v>196359355</v>
      </c>
      <c r="M1206">
        <v>181716105</v>
      </c>
      <c r="N1206">
        <v>145510169</v>
      </c>
      <c r="O1206">
        <v>128901100</v>
      </c>
      <c r="P1206">
        <v>142</v>
      </c>
      <c r="Q1206" t="s">
        <v>2704</v>
      </c>
    </row>
    <row r="1207" spans="1:17" x14ac:dyDescent="0.3">
      <c r="A1207" t="s">
        <v>75</v>
      </c>
      <c r="B1207" t="str">
        <f>"001313"</f>
        <v>001313</v>
      </c>
      <c r="C1207" t="s">
        <v>2705</v>
      </c>
      <c r="E1207">
        <v>1174292396</v>
      </c>
      <c r="F1207">
        <v>1052325654</v>
      </c>
      <c r="P1207">
        <v>10</v>
      </c>
      <c r="Q1207" t="s">
        <v>2706</v>
      </c>
    </row>
    <row r="1208" spans="1:17" x14ac:dyDescent="0.3">
      <c r="A1208" t="s">
        <v>75</v>
      </c>
      <c r="B1208" t="str">
        <f>"300171"</f>
        <v>300171</v>
      </c>
      <c r="C1208" t="s">
        <v>2707</v>
      </c>
      <c r="D1208" t="s">
        <v>334</v>
      </c>
      <c r="E1208">
        <v>1172484202</v>
      </c>
      <c r="F1208">
        <v>1022111090</v>
      </c>
      <c r="G1208">
        <v>563448867</v>
      </c>
      <c r="H1208">
        <v>564522148</v>
      </c>
      <c r="I1208">
        <v>415213418</v>
      </c>
      <c r="J1208">
        <v>268022840</v>
      </c>
      <c r="K1208">
        <v>251888547</v>
      </c>
      <c r="L1208">
        <v>321724810</v>
      </c>
      <c r="M1208">
        <v>209390273</v>
      </c>
      <c r="N1208">
        <v>292951757</v>
      </c>
      <c r="O1208">
        <v>220848471</v>
      </c>
      <c r="P1208">
        <v>248</v>
      </c>
      <c r="Q1208" t="s">
        <v>2708</v>
      </c>
    </row>
    <row r="1209" spans="1:17" x14ac:dyDescent="0.3">
      <c r="A1209" t="s">
        <v>17</v>
      </c>
      <c r="B1209" t="str">
        <f>"603100"</f>
        <v>603100</v>
      </c>
      <c r="C1209" t="s">
        <v>2709</v>
      </c>
      <c r="D1209" t="s">
        <v>2549</v>
      </c>
      <c r="E1209">
        <v>1172426221</v>
      </c>
      <c r="F1209">
        <v>995325469</v>
      </c>
      <c r="G1209">
        <v>621640949</v>
      </c>
      <c r="H1209">
        <v>726828327</v>
      </c>
      <c r="I1209">
        <v>588516738</v>
      </c>
      <c r="J1209">
        <v>581068896</v>
      </c>
      <c r="K1209">
        <v>659149698</v>
      </c>
      <c r="L1209">
        <v>672983932</v>
      </c>
      <c r="M1209">
        <v>618431497</v>
      </c>
      <c r="N1209">
        <v>627475872</v>
      </c>
      <c r="P1209">
        <v>194</v>
      </c>
      <c r="Q1209" t="s">
        <v>2710</v>
      </c>
    </row>
    <row r="1210" spans="1:17" x14ac:dyDescent="0.3">
      <c r="A1210" t="s">
        <v>75</v>
      </c>
      <c r="B1210" t="str">
        <f>"002055"</f>
        <v>002055</v>
      </c>
      <c r="C1210" t="s">
        <v>2711</v>
      </c>
      <c r="D1210" t="s">
        <v>55</v>
      </c>
      <c r="E1210">
        <v>1172105915</v>
      </c>
      <c r="F1210">
        <v>1390998805</v>
      </c>
      <c r="G1210">
        <v>1750394451</v>
      </c>
      <c r="H1210">
        <v>1504577992</v>
      </c>
      <c r="I1210">
        <v>1501230278</v>
      </c>
      <c r="J1210">
        <v>1035234804</v>
      </c>
      <c r="K1210">
        <v>895753466</v>
      </c>
      <c r="L1210">
        <v>805978043</v>
      </c>
      <c r="M1210">
        <v>640419521</v>
      </c>
      <c r="N1210">
        <v>438827921</v>
      </c>
      <c r="O1210">
        <v>458057975</v>
      </c>
      <c r="P1210">
        <v>245</v>
      </c>
      <c r="Q1210" t="s">
        <v>2712</v>
      </c>
    </row>
    <row r="1211" spans="1:17" x14ac:dyDescent="0.3">
      <c r="A1211" t="s">
        <v>75</v>
      </c>
      <c r="B1211" t="str">
        <f>"000598"</f>
        <v>000598</v>
      </c>
      <c r="C1211" t="s">
        <v>2713</v>
      </c>
      <c r="D1211" t="s">
        <v>1107</v>
      </c>
      <c r="E1211">
        <v>1171251323</v>
      </c>
      <c r="F1211">
        <v>956849232</v>
      </c>
      <c r="G1211">
        <v>747219299</v>
      </c>
      <c r="H1211">
        <v>1007040390</v>
      </c>
      <c r="I1211">
        <v>897470334</v>
      </c>
      <c r="J1211">
        <v>749306416</v>
      </c>
      <c r="K1211">
        <v>684781759</v>
      </c>
      <c r="L1211">
        <v>616621189</v>
      </c>
      <c r="M1211">
        <v>559380481</v>
      </c>
      <c r="N1211">
        <v>550264962</v>
      </c>
      <c r="O1211">
        <v>371706431</v>
      </c>
      <c r="P1211">
        <v>444</v>
      </c>
      <c r="Q1211" t="s">
        <v>2714</v>
      </c>
    </row>
    <row r="1212" spans="1:17" x14ac:dyDescent="0.3">
      <c r="A1212" t="s">
        <v>17</v>
      </c>
      <c r="B1212" t="str">
        <f>"603031"</f>
        <v>603031</v>
      </c>
      <c r="C1212" t="s">
        <v>2715</v>
      </c>
      <c r="D1212" t="s">
        <v>208</v>
      </c>
      <c r="E1212">
        <v>1170906751</v>
      </c>
      <c r="F1212">
        <v>603995836</v>
      </c>
      <c r="G1212">
        <v>580661031</v>
      </c>
      <c r="H1212">
        <v>639595417</v>
      </c>
      <c r="I1212">
        <v>600762164</v>
      </c>
      <c r="J1212">
        <v>556636661</v>
      </c>
      <c r="K1212">
        <v>470240480</v>
      </c>
      <c r="P1212">
        <v>70</v>
      </c>
      <c r="Q1212" t="s">
        <v>2716</v>
      </c>
    </row>
    <row r="1213" spans="1:17" x14ac:dyDescent="0.3">
      <c r="A1213" t="s">
        <v>75</v>
      </c>
      <c r="B1213" t="str">
        <f>"002906"</f>
        <v>002906</v>
      </c>
      <c r="C1213" t="s">
        <v>2717</v>
      </c>
      <c r="D1213" t="s">
        <v>433</v>
      </c>
      <c r="E1213">
        <v>1170829786</v>
      </c>
      <c r="F1213">
        <v>829190251</v>
      </c>
      <c r="G1213">
        <v>731392591</v>
      </c>
      <c r="H1213">
        <v>631360991</v>
      </c>
      <c r="I1213">
        <v>773062583</v>
      </c>
      <c r="J1213">
        <v>933711081</v>
      </c>
      <c r="P1213">
        <v>228</v>
      </c>
      <c r="Q1213" t="s">
        <v>2718</v>
      </c>
    </row>
    <row r="1214" spans="1:17" x14ac:dyDescent="0.3">
      <c r="A1214" t="s">
        <v>17</v>
      </c>
      <c r="B1214" t="str">
        <f>"603730"</f>
        <v>603730</v>
      </c>
      <c r="C1214" t="s">
        <v>2719</v>
      </c>
      <c r="D1214" t="s">
        <v>194</v>
      </c>
      <c r="E1214">
        <v>1170524836</v>
      </c>
      <c r="F1214">
        <v>1491023673</v>
      </c>
      <c r="G1214">
        <v>1441622534</v>
      </c>
      <c r="H1214">
        <v>1435510630</v>
      </c>
      <c r="I1214">
        <v>822672077</v>
      </c>
      <c r="J1214">
        <v>816365693</v>
      </c>
      <c r="P1214">
        <v>522</v>
      </c>
      <c r="Q1214" t="s">
        <v>2720</v>
      </c>
    </row>
    <row r="1215" spans="1:17" x14ac:dyDescent="0.3">
      <c r="A1215" t="s">
        <v>17</v>
      </c>
      <c r="B1215" t="str">
        <f>"603278"</f>
        <v>603278</v>
      </c>
      <c r="C1215" t="s">
        <v>2721</v>
      </c>
      <c r="D1215" t="s">
        <v>153</v>
      </c>
      <c r="E1215">
        <v>1167752773</v>
      </c>
      <c r="F1215">
        <v>874562625</v>
      </c>
      <c r="G1215">
        <v>477717463</v>
      </c>
      <c r="H1215">
        <v>425214158</v>
      </c>
      <c r="I1215">
        <v>332848138</v>
      </c>
      <c r="J1215">
        <v>282818614</v>
      </c>
      <c r="P1215">
        <v>122</v>
      </c>
      <c r="Q1215" t="s">
        <v>2722</v>
      </c>
    </row>
    <row r="1216" spans="1:17" x14ac:dyDescent="0.3">
      <c r="A1216" t="s">
        <v>75</v>
      </c>
      <c r="B1216" t="str">
        <f>"002140"</f>
        <v>002140</v>
      </c>
      <c r="C1216" t="s">
        <v>2723</v>
      </c>
      <c r="D1216" t="s">
        <v>184</v>
      </c>
      <c r="E1216">
        <v>1167070746</v>
      </c>
      <c r="F1216">
        <v>1088014521</v>
      </c>
      <c r="G1216">
        <v>254137362</v>
      </c>
      <c r="H1216">
        <v>393759588</v>
      </c>
      <c r="I1216">
        <v>364056210</v>
      </c>
      <c r="J1216">
        <v>263167246</v>
      </c>
      <c r="K1216">
        <v>299039242</v>
      </c>
      <c r="L1216">
        <v>134735349</v>
      </c>
      <c r="M1216">
        <v>885035047</v>
      </c>
      <c r="N1216">
        <v>469398649</v>
      </c>
      <c r="O1216">
        <v>466773813</v>
      </c>
      <c r="P1216">
        <v>129</v>
      </c>
      <c r="Q1216" t="s">
        <v>2724</v>
      </c>
    </row>
    <row r="1217" spans="1:17" x14ac:dyDescent="0.3">
      <c r="A1217" t="s">
        <v>75</v>
      </c>
      <c r="B1217" t="str">
        <f>"000707"</f>
        <v>000707</v>
      </c>
      <c r="C1217" t="s">
        <v>2725</v>
      </c>
      <c r="D1217" t="s">
        <v>1821</v>
      </c>
      <c r="E1217">
        <v>1164178320</v>
      </c>
      <c r="F1217">
        <v>524659016</v>
      </c>
      <c r="G1217">
        <v>277862616</v>
      </c>
      <c r="H1217">
        <v>724707513</v>
      </c>
      <c r="I1217">
        <v>1618131681</v>
      </c>
      <c r="J1217">
        <v>1107143273</v>
      </c>
      <c r="K1217">
        <v>791575503</v>
      </c>
      <c r="L1217">
        <v>791213559</v>
      </c>
      <c r="M1217">
        <v>972917077</v>
      </c>
      <c r="N1217">
        <v>1404741804</v>
      </c>
      <c r="O1217">
        <v>1396791355</v>
      </c>
      <c r="P1217">
        <v>83</v>
      </c>
      <c r="Q1217" t="s">
        <v>2726</v>
      </c>
    </row>
    <row r="1218" spans="1:17" x14ac:dyDescent="0.3">
      <c r="A1218" t="s">
        <v>17</v>
      </c>
      <c r="B1218" t="str">
        <f>"600460"</f>
        <v>600460</v>
      </c>
      <c r="C1218" t="s">
        <v>2727</v>
      </c>
      <c r="D1218" t="s">
        <v>2728</v>
      </c>
      <c r="E1218">
        <v>1163996791</v>
      </c>
      <c r="F1218">
        <v>743492145</v>
      </c>
      <c r="G1218">
        <v>486381334</v>
      </c>
      <c r="H1218">
        <v>832589143</v>
      </c>
      <c r="I1218">
        <v>682588945</v>
      </c>
      <c r="J1218">
        <v>617703567</v>
      </c>
      <c r="K1218">
        <v>481170620</v>
      </c>
      <c r="L1218">
        <v>468446518</v>
      </c>
      <c r="M1218">
        <v>434599754</v>
      </c>
      <c r="N1218">
        <v>344284360</v>
      </c>
      <c r="O1218">
        <v>339024741</v>
      </c>
      <c r="P1218">
        <v>1167</v>
      </c>
      <c r="Q1218" t="s">
        <v>2729</v>
      </c>
    </row>
    <row r="1219" spans="1:17" x14ac:dyDescent="0.3">
      <c r="A1219" t="s">
        <v>17</v>
      </c>
      <c r="B1219" t="str">
        <f>"600456"</f>
        <v>600456</v>
      </c>
      <c r="C1219" t="s">
        <v>2730</v>
      </c>
      <c r="D1219" t="s">
        <v>364</v>
      </c>
      <c r="E1219">
        <v>1163949055</v>
      </c>
      <c r="F1219">
        <v>501157821</v>
      </c>
      <c r="G1219">
        <v>513868740</v>
      </c>
      <c r="H1219">
        <v>449304678</v>
      </c>
      <c r="I1219">
        <v>452829248</v>
      </c>
      <c r="J1219">
        <v>221683818</v>
      </c>
      <c r="K1219">
        <v>202428698</v>
      </c>
      <c r="L1219">
        <v>242975893</v>
      </c>
      <c r="M1219">
        <v>402056176</v>
      </c>
      <c r="N1219">
        <v>212621906</v>
      </c>
      <c r="O1219">
        <v>347638682</v>
      </c>
      <c r="P1219">
        <v>330</v>
      </c>
      <c r="Q1219" t="s">
        <v>2731</v>
      </c>
    </row>
    <row r="1220" spans="1:17" x14ac:dyDescent="0.3">
      <c r="A1220" t="s">
        <v>17</v>
      </c>
      <c r="B1220" t="str">
        <f>"603123"</f>
        <v>603123</v>
      </c>
      <c r="C1220" t="s">
        <v>2732</v>
      </c>
      <c r="D1220" t="s">
        <v>582</v>
      </c>
      <c r="E1220">
        <v>1162749969</v>
      </c>
      <c r="F1220">
        <v>1144269713</v>
      </c>
      <c r="G1220">
        <v>154440861</v>
      </c>
      <c r="H1220">
        <v>1490879300</v>
      </c>
      <c r="I1220">
        <v>1524716534</v>
      </c>
      <c r="J1220">
        <v>1546657820</v>
      </c>
      <c r="K1220">
        <v>1607681943</v>
      </c>
      <c r="L1220">
        <v>1762728846</v>
      </c>
      <c r="M1220">
        <v>1269271422</v>
      </c>
      <c r="N1220">
        <v>1659994750</v>
      </c>
      <c r="O1220">
        <v>1681066129</v>
      </c>
      <c r="P1220">
        <v>100</v>
      </c>
      <c r="Q1220" t="s">
        <v>2733</v>
      </c>
    </row>
    <row r="1221" spans="1:17" x14ac:dyDescent="0.3">
      <c r="A1221" t="s">
        <v>17</v>
      </c>
      <c r="B1221" t="str">
        <f>"601279"</f>
        <v>601279</v>
      </c>
      <c r="C1221" t="s">
        <v>2734</v>
      </c>
      <c r="D1221" t="s">
        <v>1321</v>
      </c>
      <c r="E1221">
        <v>1162031264</v>
      </c>
      <c r="F1221">
        <v>1321309361</v>
      </c>
      <c r="G1221">
        <v>1197135118</v>
      </c>
      <c r="P1221">
        <v>43</v>
      </c>
      <c r="Q1221" t="s">
        <v>2735</v>
      </c>
    </row>
    <row r="1222" spans="1:17" x14ac:dyDescent="0.3">
      <c r="A1222" t="s">
        <v>75</v>
      </c>
      <c r="B1222" t="str">
        <f>"000851"</f>
        <v>000851</v>
      </c>
      <c r="C1222" t="s">
        <v>2736</v>
      </c>
      <c r="D1222" t="s">
        <v>169</v>
      </c>
      <c r="E1222">
        <v>1161167841</v>
      </c>
      <c r="F1222">
        <v>1366956840</v>
      </c>
      <c r="G1222">
        <v>985424660</v>
      </c>
      <c r="H1222">
        <v>2343026993</v>
      </c>
      <c r="I1222">
        <v>2478245715</v>
      </c>
      <c r="J1222">
        <v>1854701377</v>
      </c>
      <c r="K1222">
        <v>1594915063</v>
      </c>
      <c r="L1222">
        <v>1867516146</v>
      </c>
      <c r="M1222">
        <v>1721863323</v>
      </c>
      <c r="N1222">
        <v>634112278</v>
      </c>
      <c r="O1222">
        <v>1111396746</v>
      </c>
      <c r="P1222">
        <v>224</v>
      </c>
      <c r="Q1222" t="s">
        <v>2737</v>
      </c>
    </row>
    <row r="1223" spans="1:17" x14ac:dyDescent="0.3">
      <c r="A1223" t="s">
        <v>17</v>
      </c>
      <c r="B1223" t="str">
        <f>"600935"</f>
        <v>600935</v>
      </c>
      <c r="C1223" t="s">
        <v>2738</v>
      </c>
      <c r="D1223" t="s">
        <v>311</v>
      </c>
      <c r="E1223">
        <v>1160171130</v>
      </c>
      <c r="P1223">
        <v>16</v>
      </c>
      <c r="Q1223" t="s">
        <v>2739</v>
      </c>
    </row>
    <row r="1224" spans="1:17" x14ac:dyDescent="0.3">
      <c r="A1224" t="s">
        <v>75</v>
      </c>
      <c r="B1224" t="str">
        <f>"002409"</f>
        <v>002409</v>
      </c>
      <c r="C1224" t="s">
        <v>2740</v>
      </c>
      <c r="D1224" t="s">
        <v>489</v>
      </c>
      <c r="E1224">
        <v>1160130420</v>
      </c>
      <c r="F1224">
        <v>1084920277</v>
      </c>
      <c r="G1224">
        <v>465925838</v>
      </c>
      <c r="H1224">
        <v>389810354</v>
      </c>
      <c r="I1224">
        <v>240866468</v>
      </c>
      <c r="J1224">
        <v>240140327</v>
      </c>
      <c r="K1224">
        <v>257586676</v>
      </c>
      <c r="L1224">
        <v>334370214</v>
      </c>
      <c r="M1224">
        <v>377086415</v>
      </c>
      <c r="N1224">
        <v>299849567</v>
      </c>
      <c r="O1224">
        <v>231240475</v>
      </c>
      <c r="P1224">
        <v>496</v>
      </c>
      <c r="Q1224" t="s">
        <v>2741</v>
      </c>
    </row>
    <row r="1225" spans="1:17" x14ac:dyDescent="0.3">
      <c r="A1225" t="s">
        <v>75</v>
      </c>
      <c r="B1225" t="str">
        <f>"002152"</f>
        <v>002152</v>
      </c>
      <c r="C1225" t="s">
        <v>2742</v>
      </c>
      <c r="D1225" t="s">
        <v>508</v>
      </c>
      <c r="E1225">
        <v>1160035478</v>
      </c>
      <c r="F1225">
        <v>1181325076</v>
      </c>
      <c r="G1225">
        <v>957092534</v>
      </c>
      <c r="H1225">
        <v>898254349</v>
      </c>
      <c r="I1225">
        <v>773623670</v>
      </c>
      <c r="J1225">
        <v>741072957</v>
      </c>
      <c r="K1225">
        <v>753996557</v>
      </c>
      <c r="L1225">
        <v>513519300</v>
      </c>
      <c r="M1225">
        <v>410627527</v>
      </c>
      <c r="N1225">
        <v>362388007</v>
      </c>
      <c r="O1225">
        <v>373626741</v>
      </c>
      <c r="P1225">
        <v>16880</v>
      </c>
      <c r="Q1225" t="s">
        <v>2743</v>
      </c>
    </row>
    <row r="1226" spans="1:17" x14ac:dyDescent="0.3">
      <c r="A1226" t="s">
        <v>75</v>
      </c>
      <c r="B1226" t="str">
        <f>"000850"</f>
        <v>000850</v>
      </c>
      <c r="C1226" t="s">
        <v>2744</v>
      </c>
      <c r="D1226" t="s">
        <v>1050</v>
      </c>
      <c r="E1226">
        <v>1158570352</v>
      </c>
      <c r="F1226">
        <v>946332766</v>
      </c>
      <c r="G1226">
        <v>548686903</v>
      </c>
      <c r="H1226">
        <v>699991065</v>
      </c>
      <c r="I1226">
        <v>635312667</v>
      </c>
      <c r="J1226">
        <v>531424731</v>
      </c>
      <c r="K1226">
        <v>456027821</v>
      </c>
      <c r="L1226">
        <v>556531812</v>
      </c>
      <c r="M1226">
        <v>615723327</v>
      </c>
      <c r="N1226">
        <v>512383864</v>
      </c>
      <c r="O1226">
        <v>756400382</v>
      </c>
      <c r="P1226">
        <v>121</v>
      </c>
      <c r="Q1226" t="s">
        <v>2745</v>
      </c>
    </row>
    <row r="1227" spans="1:17" x14ac:dyDescent="0.3">
      <c r="A1227" t="s">
        <v>17</v>
      </c>
      <c r="B1227" t="str">
        <f>"603600"</f>
        <v>603600</v>
      </c>
      <c r="C1227" t="s">
        <v>2746</v>
      </c>
      <c r="D1227" t="s">
        <v>1123</v>
      </c>
      <c r="E1227">
        <v>1158190874</v>
      </c>
      <c r="F1227">
        <v>1256807212</v>
      </c>
      <c r="G1227">
        <v>589837696</v>
      </c>
      <c r="H1227">
        <v>639211480</v>
      </c>
      <c r="I1227">
        <v>497489484</v>
      </c>
      <c r="J1227">
        <v>385474812</v>
      </c>
      <c r="K1227">
        <v>319637956</v>
      </c>
      <c r="L1227">
        <v>263760031</v>
      </c>
      <c r="M1227">
        <v>204676947</v>
      </c>
      <c r="P1227">
        <v>290</v>
      </c>
      <c r="Q1227" t="s">
        <v>2747</v>
      </c>
    </row>
    <row r="1228" spans="1:17" x14ac:dyDescent="0.3">
      <c r="A1228" t="s">
        <v>75</v>
      </c>
      <c r="B1228" t="str">
        <f>"000913"</f>
        <v>000913</v>
      </c>
      <c r="C1228" t="s">
        <v>2748</v>
      </c>
      <c r="D1228" t="s">
        <v>1457</v>
      </c>
      <c r="E1228">
        <v>1156719819</v>
      </c>
      <c r="F1228">
        <v>904695072</v>
      </c>
      <c r="G1228">
        <v>751209112</v>
      </c>
      <c r="H1228">
        <v>876204020</v>
      </c>
      <c r="I1228">
        <v>578616451</v>
      </c>
      <c r="J1228">
        <v>394983575</v>
      </c>
      <c r="K1228">
        <v>395288160</v>
      </c>
      <c r="L1228">
        <v>435098340</v>
      </c>
      <c r="M1228">
        <v>112445669</v>
      </c>
      <c r="N1228">
        <v>592362930</v>
      </c>
      <c r="O1228">
        <v>502815896</v>
      </c>
      <c r="P1228">
        <v>176</v>
      </c>
      <c r="Q1228" t="s">
        <v>2749</v>
      </c>
    </row>
    <row r="1229" spans="1:17" x14ac:dyDescent="0.3">
      <c r="A1229" t="s">
        <v>17</v>
      </c>
      <c r="B1229" t="str">
        <f>"600268"</f>
        <v>600268</v>
      </c>
      <c r="C1229" t="s">
        <v>2750</v>
      </c>
      <c r="D1229" t="s">
        <v>682</v>
      </c>
      <c r="E1229">
        <v>1156239692</v>
      </c>
      <c r="F1229">
        <v>1065866615</v>
      </c>
      <c r="G1229">
        <v>686234947</v>
      </c>
      <c r="H1229">
        <v>846321020</v>
      </c>
      <c r="I1229">
        <v>669498642</v>
      </c>
      <c r="J1229">
        <v>1149920715</v>
      </c>
      <c r="K1229">
        <v>707133684</v>
      </c>
      <c r="L1229">
        <v>847710225</v>
      </c>
      <c r="M1229">
        <v>719427476</v>
      </c>
      <c r="N1229">
        <v>560832313</v>
      </c>
      <c r="O1229">
        <v>460766796</v>
      </c>
      <c r="P1229">
        <v>245</v>
      </c>
      <c r="Q1229" t="s">
        <v>2751</v>
      </c>
    </row>
    <row r="1230" spans="1:17" x14ac:dyDescent="0.3">
      <c r="A1230" t="s">
        <v>17</v>
      </c>
      <c r="B1230" t="str">
        <f>"603681"</f>
        <v>603681</v>
      </c>
      <c r="C1230" t="s">
        <v>2752</v>
      </c>
      <c r="D1230" t="s">
        <v>2753</v>
      </c>
      <c r="E1230">
        <v>1155957661</v>
      </c>
      <c r="F1230">
        <v>678062546</v>
      </c>
      <c r="G1230">
        <v>409078605</v>
      </c>
      <c r="H1230">
        <v>458000988</v>
      </c>
      <c r="I1230">
        <v>352771001</v>
      </c>
      <c r="P1230">
        <v>113</v>
      </c>
      <c r="Q1230" t="s">
        <v>2754</v>
      </c>
    </row>
    <row r="1231" spans="1:17" x14ac:dyDescent="0.3">
      <c r="A1231" t="s">
        <v>17</v>
      </c>
      <c r="B1231" t="str">
        <f>"600131"</f>
        <v>600131</v>
      </c>
      <c r="C1231" t="s">
        <v>2755</v>
      </c>
      <c r="D1231" t="s">
        <v>224</v>
      </c>
      <c r="E1231">
        <v>1155666793</v>
      </c>
      <c r="F1231">
        <v>1372305628</v>
      </c>
      <c r="G1231">
        <v>773887577</v>
      </c>
      <c r="H1231">
        <v>228630014</v>
      </c>
      <c r="I1231">
        <v>247695372</v>
      </c>
      <c r="J1231">
        <v>165743361</v>
      </c>
      <c r="K1231">
        <v>241780646</v>
      </c>
      <c r="L1231">
        <v>183855564</v>
      </c>
      <c r="M1231">
        <v>172045233</v>
      </c>
      <c r="N1231">
        <v>202448155</v>
      </c>
      <c r="O1231">
        <v>173378252</v>
      </c>
      <c r="P1231">
        <v>209</v>
      </c>
      <c r="Q1231" t="s">
        <v>2756</v>
      </c>
    </row>
    <row r="1232" spans="1:17" x14ac:dyDescent="0.3">
      <c r="A1232" t="s">
        <v>75</v>
      </c>
      <c r="B1232" t="str">
        <f>"002094"</f>
        <v>002094</v>
      </c>
      <c r="C1232" t="s">
        <v>2757</v>
      </c>
      <c r="D1232" t="s">
        <v>2758</v>
      </c>
      <c r="E1232">
        <v>1153927408</v>
      </c>
      <c r="F1232">
        <v>957231487</v>
      </c>
      <c r="G1232">
        <v>916373544</v>
      </c>
      <c r="H1232">
        <v>1592883083</v>
      </c>
      <c r="I1232">
        <v>1333100090</v>
      </c>
      <c r="J1232">
        <v>804002231</v>
      </c>
      <c r="K1232">
        <v>515359596</v>
      </c>
      <c r="L1232">
        <v>240814725</v>
      </c>
      <c r="M1232">
        <v>223090153</v>
      </c>
      <c r="N1232">
        <v>356576340</v>
      </c>
      <c r="O1232">
        <v>170061378</v>
      </c>
      <c r="P1232">
        <v>183</v>
      </c>
      <c r="Q1232" t="s">
        <v>2759</v>
      </c>
    </row>
    <row r="1233" spans="1:17" x14ac:dyDescent="0.3">
      <c r="A1233" t="s">
        <v>75</v>
      </c>
      <c r="B1233" t="str">
        <f>"300284"</f>
        <v>300284</v>
      </c>
      <c r="C1233" t="s">
        <v>2760</v>
      </c>
      <c r="D1233" t="s">
        <v>2118</v>
      </c>
      <c r="E1233">
        <v>1153339522</v>
      </c>
      <c r="F1233">
        <v>1298521245</v>
      </c>
      <c r="G1233">
        <v>1150830818</v>
      </c>
      <c r="H1233">
        <v>1279003087</v>
      </c>
      <c r="I1233">
        <v>1345795033</v>
      </c>
      <c r="J1233">
        <v>1438707011</v>
      </c>
      <c r="K1233">
        <v>663335195</v>
      </c>
      <c r="L1233">
        <v>521770541</v>
      </c>
      <c r="M1233">
        <v>475859022</v>
      </c>
      <c r="N1233">
        <v>338565194</v>
      </c>
      <c r="O1233">
        <v>176467334</v>
      </c>
      <c r="P1233">
        <v>274</v>
      </c>
      <c r="Q1233" t="s">
        <v>2761</v>
      </c>
    </row>
    <row r="1234" spans="1:17" x14ac:dyDescent="0.3">
      <c r="A1234" t="s">
        <v>17</v>
      </c>
      <c r="B1234" t="str">
        <f>"600649"</f>
        <v>600649</v>
      </c>
      <c r="C1234" t="s">
        <v>2762</v>
      </c>
      <c r="D1234" t="s">
        <v>65</v>
      </c>
      <c r="E1234">
        <v>1151501741</v>
      </c>
      <c r="F1234">
        <v>2783334304</v>
      </c>
      <c r="G1234">
        <v>23270283</v>
      </c>
      <c r="H1234">
        <v>78122563</v>
      </c>
      <c r="I1234">
        <v>1412630486</v>
      </c>
      <c r="J1234">
        <v>1168751938</v>
      </c>
      <c r="K1234">
        <v>1515128426</v>
      </c>
      <c r="L1234">
        <v>1661656667</v>
      </c>
      <c r="M1234">
        <v>1126029796</v>
      </c>
      <c r="N1234">
        <v>984592213</v>
      </c>
      <c r="O1234">
        <v>767582215</v>
      </c>
      <c r="P1234">
        <v>205</v>
      </c>
      <c r="Q1234" t="s">
        <v>2763</v>
      </c>
    </row>
    <row r="1235" spans="1:17" x14ac:dyDescent="0.3">
      <c r="A1235" t="s">
        <v>17</v>
      </c>
      <c r="B1235" t="str">
        <f>"600728"</f>
        <v>600728</v>
      </c>
      <c r="C1235" t="s">
        <v>2764</v>
      </c>
      <c r="D1235" t="s">
        <v>224</v>
      </c>
      <c r="E1235">
        <v>1150987091</v>
      </c>
      <c r="F1235">
        <v>1159395166</v>
      </c>
      <c r="G1235">
        <v>800773070</v>
      </c>
      <c r="H1235">
        <v>797755147</v>
      </c>
      <c r="I1235">
        <v>915382831</v>
      </c>
      <c r="J1235">
        <v>618072074</v>
      </c>
      <c r="K1235">
        <v>553873194</v>
      </c>
      <c r="L1235">
        <v>435003779</v>
      </c>
      <c r="M1235">
        <v>441589227</v>
      </c>
      <c r="N1235">
        <v>136134288</v>
      </c>
      <c r="O1235">
        <v>182661860</v>
      </c>
      <c r="P1235">
        <v>345</v>
      </c>
      <c r="Q1235" t="s">
        <v>2765</v>
      </c>
    </row>
    <row r="1236" spans="1:17" x14ac:dyDescent="0.3">
      <c r="A1236" t="s">
        <v>75</v>
      </c>
      <c r="B1236" t="str">
        <f>"002387"</f>
        <v>002387</v>
      </c>
      <c r="C1236" t="s">
        <v>2766</v>
      </c>
      <c r="D1236" t="s">
        <v>128</v>
      </c>
      <c r="E1236">
        <v>1149260526</v>
      </c>
      <c r="F1236">
        <v>1151079666</v>
      </c>
      <c r="G1236">
        <v>255945342</v>
      </c>
      <c r="H1236">
        <v>188989990</v>
      </c>
      <c r="I1236">
        <v>0</v>
      </c>
      <c r="J1236">
        <v>0</v>
      </c>
      <c r="K1236">
        <v>57900483</v>
      </c>
      <c r="L1236">
        <v>146516778</v>
      </c>
      <c r="M1236">
        <v>109025496</v>
      </c>
      <c r="N1236">
        <v>206278280</v>
      </c>
      <c r="O1236">
        <v>186422778</v>
      </c>
      <c r="P1236">
        <v>274</v>
      </c>
      <c r="Q1236" t="s">
        <v>2767</v>
      </c>
    </row>
    <row r="1237" spans="1:17" x14ac:dyDescent="0.3">
      <c r="A1237" t="s">
        <v>75</v>
      </c>
      <c r="B1237" t="str">
        <f>"002368"</f>
        <v>002368</v>
      </c>
      <c r="C1237" t="s">
        <v>2768</v>
      </c>
      <c r="D1237" t="s">
        <v>224</v>
      </c>
      <c r="E1237">
        <v>1148755987</v>
      </c>
      <c r="F1237">
        <v>1167141650</v>
      </c>
      <c r="G1237">
        <v>768653801</v>
      </c>
      <c r="H1237">
        <v>877602538</v>
      </c>
      <c r="I1237">
        <v>907248180</v>
      </c>
      <c r="J1237">
        <v>1285111578</v>
      </c>
      <c r="K1237">
        <v>863100896</v>
      </c>
      <c r="L1237">
        <v>595030960</v>
      </c>
      <c r="M1237">
        <v>499953829</v>
      </c>
      <c r="N1237">
        <v>489558817</v>
      </c>
      <c r="O1237">
        <v>465979709</v>
      </c>
      <c r="P1237">
        <v>373</v>
      </c>
      <c r="Q1237" t="s">
        <v>2769</v>
      </c>
    </row>
    <row r="1238" spans="1:17" x14ac:dyDescent="0.3">
      <c r="A1238" t="s">
        <v>17</v>
      </c>
      <c r="B1238" t="str">
        <f>"600572"</f>
        <v>600572</v>
      </c>
      <c r="C1238" t="s">
        <v>2770</v>
      </c>
      <c r="D1238" t="s">
        <v>321</v>
      </c>
      <c r="E1238">
        <v>1147763467</v>
      </c>
      <c r="F1238">
        <v>1342124769</v>
      </c>
      <c r="G1238">
        <v>1583931036</v>
      </c>
      <c r="H1238">
        <v>1862430690</v>
      </c>
      <c r="I1238">
        <v>1679244348</v>
      </c>
      <c r="J1238">
        <v>1118487694</v>
      </c>
      <c r="K1238">
        <v>1553201191</v>
      </c>
      <c r="L1238">
        <v>934764025</v>
      </c>
      <c r="M1238">
        <v>706388956</v>
      </c>
      <c r="N1238">
        <v>710529501</v>
      </c>
      <c r="O1238">
        <v>648348570</v>
      </c>
      <c r="P1238">
        <v>467</v>
      </c>
      <c r="Q1238" t="s">
        <v>2771</v>
      </c>
    </row>
    <row r="1239" spans="1:17" x14ac:dyDescent="0.3">
      <c r="A1239" t="s">
        <v>75</v>
      </c>
      <c r="B1239" t="str">
        <f>"002431"</f>
        <v>002431</v>
      </c>
      <c r="C1239" t="s">
        <v>2772</v>
      </c>
      <c r="D1239" t="s">
        <v>1523</v>
      </c>
      <c r="E1239">
        <v>1147477313</v>
      </c>
      <c r="F1239">
        <v>1144236674</v>
      </c>
      <c r="G1239">
        <v>806870271</v>
      </c>
      <c r="H1239">
        <v>1233865032</v>
      </c>
      <c r="I1239">
        <v>1427038637</v>
      </c>
      <c r="J1239">
        <v>1202756007</v>
      </c>
      <c r="K1239">
        <v>1127370659</v>
      </c>
      <c r="L1239">
        <v>948194735</v>
      </c>
      <c r="M1239">
        <v>730215184</v>
      </c>
      <c r="N1239">
        <v>551023423</v>
      </c>
      <c r="O1239">
        <v>377012197</v>
      </c>
      <c r="P1239">
        <v>124</v>
      </c>
      <c r="Q1239" t="s">
        <v>2773</v>
      </c>
    </row>
    <row r="1240" spans="1:17" x14ac:dyDescent="0.3">
      <c r="A1240" t="s">
        <v>17</v>
      </c>
      <c r="B1240" t="str">
        <f>"605166"</f>
        <v>605166</v>
      </c>
      <c r="C1240" t="s">
        <v>2774</v>
      </c>
      <c r="D1240" t="s">
        <v>1239</v>
      </c>
      <c r="E1240">
        <v>1146795267</v>
      </c>
      <c r="F1240">
        <v>555092314</v>
      </c>
      <c r="G1240">
        <v>356289065</v>
      </c>
      <c r="H1240">
        <v>205605508</v>
      </c>
      <c r="P1240">
        <v>68</v>
      </c>
      <c r="Q1240" t="s">
        <v>2775</v>
      </c>
    </row>
    <row r="1241" spans="1:17" x14ac:dyDescent="0.3">
      <c r="A1241" t="s">
        <v>75</v>
      </c>
      <c r="B1241" t="str">
        <f>"300482"</f>
        <v>300482</v>
      </c>
      <c r="C1241" t="s">
        <v>2776</v>
      </c>
      <c r="D1241" t="s">
        <v>967</v>
      </c>
      <c r="E1241">
        <v>1146697926</v>
      </c>
      <c r="F1241">
        <v>578912057</v>
      </c>
      <c r="G1241">
        <v>960277139</v>
      </c>
      <c r="H1241">
        <v>448379386</v>
      </c>
      <c r="I1241">
        <v>360028097</v>
      </c>
      <c r="J1241">
        <v>183912099</v>
      </c>
      <c r="K1241">
        <v>110910157</v>
      </c>
      <c r="L1241">
        <v>79448411</v>
      </c>
      <c r="M1241">
        <v>0</v>
      </c>
      <c r="P1241">
        <v>17071</v>
      </c>
      <c r="Q1241" t="s">
        <v>2777</v>
      </c>
    </row>
    <row r="1242" spans="1:17" x14ac:dyDescent="0.3">
      <c r="A1242" t="s">
        <v>75</v>
      </c>
      <c r="B1242" t="str">
        <f>"002950"</f>
        <v>002950</v>
      </c>
      <c r="C1242" t="s">
        <v>2778</v>
      </c>
      <c r="D1242" t="s">
        <v>1538</v>
      </c>
      <c r="E1242">
        <v>1145964691</v>
      </c>
      <c r="F1242">
        <v>624769899</v>
      </c>
      <c r="G1242">
        <v>810309455</v>
      </c>
      <c r="H1242">
        <v>491811955</v>
      </c>
      <c r="I1242">
        <v>485343510</v>
      </c>
      <c r="P1242">
        <v>1080</v>
      </c>
      <c r="Q1242" t="s">
        <v>2779</v>
      </c>
    </row>
    <row r="1243" spans="1:17" x14ac:dyDescent="0.3">
      <c r="A1243" t="s">
        <v>75</v>
      </c>
      <c r="B1243" t="str">
        <f>"300438"</f>
        <v>300438</v>
      </c>
      <c r="C1243" t="s">
        <v>2780</v>
      </c>
      <c r="D1243" t="s">
        <v>131</v>
      </c>
      <c r="E1243">
        <v>1144315374</v>
      </c>
      <c r="F1243">
        <v>814241427</v>
      </c>
      <c r="G1243">
        <v>535308416</v>
      </c>
      <c r="H1243">
        <v>441154864</v>
      </c>
      <c r="I1243">
        <v>405815663</v>
      </c>
      <c r="J1243">
        <v>229910064</v>
      </c>
      <c r="K1243">
        <v>188273169</v>
      </c>
      <c r="L1243">
        <v>139801892</v>
      </c>
      <c r="M1243">
        <v>132164626</v>
      </c>
      <c r="P1243">
        <v>394</v>
      </c>
      <c r="Q1243" t="s">
        <v>2781</v>
      </c>
    </row>
    <row r="1244" spans="1:17" x14ac:dyDescent="0.3">
      <c r="A1244" t="s">
        <v>75</v>
      </c>
      <c r="B1244" t="str">
        <f>"002798"</f>
        <v>002798</v>
      </c>
      <c r="C1244" t="s">
        <v>2782</v>
      </c>
      <c r="D1244" t="s">
        <v>2153</v>
      </c>
      <c r="E1244">
        <v>1143698587</v>
      </c>
      <c r="F1244">
        <v>1256858250</v>
      </c>
      <c r="G1244">
        <v>529112269</v>
      </c>
      <c r="H1244">
        <v>1345022760</v>
      </c>
      <c r="I1244">
        <v>788142570</v>
      </c>
      <c r="J1244">
        <v>119158138</v>
      </c>
      <c r="K1244">
        <v>77954600</v>
      </c>
      <c r="L1244">
        <v>90315600</v>
      </c>
      <c r="P1244">
        <v>374</v>
      </c>
      <c r="Q1244" t="s">
        <v>2783</v>
      </c>
    </row>
    <row r="1245" spans="1:17" x14ac:dyDescent="0.3">
      <c r="A1245" t="s">
        <v>17</v>
      </c>
      <c r="B1245" t="str">
        <f>"688219"</f>
        <v>688219</v>
      </c>
      <c r="C1245" t="s">
        <v>2784</v>
      </c>
      <c r="D1245" t="s">
        <v>639</v>
      </c>
      <c r="E1245">
        <v>1143036140</v>
      </c>
      <c r="F1245">
        <v>866371954</v>
      </c>
      <c r="G1245">
        <v>400145049</v>
      </c>
      <c r="P1245">
        <v>50</v>
      </c>
      <c r="Q1245" t="s">
        <v>2785</v>
      </c>
    </row>
    <row r="1246" spans="1:17" x14ac:dyDescent="0.3">
      <c r="A1246" t="s">
        <v>75</v>
      </c>
      <c r="B1246" t="str">
        <f>"002367"</f>
        <v>002367</v>
      </c>
      <c r="C1246" t="s">
        <v>2786</v>
      </c>
      <c r="D1246" t="s">
        <v>892</v>
      </c>
      <c r="E1246">
        <v>1137817813</v>
      </c>
      <c r="F1246">
        <v>1086195926</v>
      </c>
      <c r="G1246">
        <v>848255125</v>
      </c>
      <c r="H1246">
        <v>870168743</v>
      </c>
      <c r="I1246">
        <v>757377945</v>
      </c>
      <c r="J1246">
        <v>850684632</v>
      </c>
      <c r="K1246">
        <v>725637174</v>
      </c>
      <c r="L1246">
        <v>569865062</v>
      </c>
      <c r="M1246">
        <v>518638994</v>
      </c>
      <c r="N1246">
        <v>388126059</v>
      </c>
      <c r="O1246">
        <v>324938285</v>
      </c>
      <c r="P1246">
        <v>388</v>
      </c>
      <c r="Q1246" t="s">
        <v>2787</v>
      </c>
    </row>
    <row r="1247" spans="1:17" x14ac:dyDescent="0.3">
      <c r="A1247" t="s">
        <v>75</v>
      </c>
      <c r="B1247" t="str">
        <f>"000795"</f>
        <v>000795</v>
      </c>
      <c r="C1247" t="s">
        <v>2788</v>
      </c>
      <c r="D1247" t="s">
        <v>1096</v>
      </c>
      <c r="E1247">
        <v>1136598617</v>
      </c>
      <c r="F1247">
        <v>770673672</v>
      </c>
      <c r="G1247">
        <v>543950426</v>
      </c>
      <c r="H1247">
        <v>509296844</v>
      </c>
      <c r="I1247">
        <v>476376081</v>
      </c>
      <c r="J1247">
        <v>422514253</v>
      </c>
      <c r="K1247">
        <v>258730510</v>
      </c>
      <c r="L1247">
        <v>116835405</v>
      </c>
      <c r="M1247">
        <v>210867716</v>
      </c>
      <c r="N1247">
        <v>223651149</v>
      </c>
      <c r="O1247">
        <v>482179705</v>
      </c>
      <c r="P1247">
        <v>145</v>
      </c>
      <c r="Q1247" t="s">
        <v>2789</v>
      </c>
    </row>
    <row r="1248" spans="1:17" x14ac:dyDescent="0.3">
      <c r="A1248" t="s">
        <v>75</v>
      </c>
      <c r="B1248" t="str">
        <f>"300815"</f>
        <v>300815</v>
      </c>
      <c r="C1248" t="s">
        <v>2790</v>
      </c>
      <c r="D1248" t="s">
        <v>1187</v>
      </c>
      <c r="E1248">
        <v>1135811792</v>
      </c>
      <c r="F1248">
        <v>977085541</v>
      </c>
      <c r="G1248">
        <v>779148450</v>
      </c>
      <c r="H1248">
        <v>796910603</v>
      </c>
      <c r="P1248">
        <v>345</v>
      </c>
      <c r="Q1248" t="s">
        <v>2791</v>
      </c>
    </row>
    <row r="1249" spans="1:17" x14ac:dyDescent="0.3">
      <c r="A1249" t="s">
        <v>17</v>
      </c>
      <c r="B1249" t="str">
        <f>"603589"</f>
        <v>603589</v>
      </c>
      <c r="C1249" t="s">
        <v>2792</v>
      </c>
      <c r="D1249" t="s">
        <v>201</v>
      </c>
      <c r="E1249">
        <v>1135578863</v>
      </c>
      <c r="F1249">
        <v>1102511951</v>
      </c>
      <c r="G1249">
        <v>867109984</v>
      </c>
      <c r="H1249">
        <v>1220863954</v>
      </c>
      <c r="I1249">
        <v>1242258990</v>
      </c>
      <c r="J1249">
        <v>949930581</v>
      </c>
      <c r="K1249">
        <v>711887723</v>
      </c>
      <c r="L1249">
        <v>0</v>
      </c>
      <c r="M1249">
        <v>0</v>
      </c>
      <c r="P1249">
        <v>6961</v>
      </c>
      <c r="Q1249" t="s">
        <v>2793</v>
      </c>
    </row>
    <row r="1250" spans="1:17" x14ac:dyDescent="0.3">
      <c r="A1250" t="s">
        <v>17</v>
      </c>
      <c r="B1250" t="str">
        <f>"600537"</f>
        <v>600537</v>
      </c>
      <c r="C1250" t="s">
        <v>2794</v>
      </c>
      <c r="D1250" t="s">
        <v>417</v>
      </c>
      <c r="E1250">
        <v>1135165130</v>
      </c>
      <c r="F1250">
        <v>638094773</v>
      </c>
      <c r="G1250">
        <v>564144810</v>
      </c>
      <c r="H1250">
        <v>290729255</v>
      </c>
      <c r="I1250">
        <v>471539133</v>
      </c>
      <c r="J1250">
        <v>518772130</v>
      </c>
      <c r="K1250">
        <v>970882885</v>
      </c>
      <c r="L1250">
        <v>498254312</v>
      </c>
      <c r="M1250">
        <v>404861893</v>
      </c>
      <c r="N1250">
        <v>577009706</v>
      </c>
      <c r="O1250">
        <v>103535982</v>
      </c>
      <c r="P1250">
        <v>147</v>
      </c>
      <c r="Q1250" t="s">
        <v>2795</v>
      </c>
    </row>
    <row r="1251" spans="1:17" x14ac:dyDescent="0.3">
      <c r="A1251" t="s">
        <v>17</v>
      </c>
      <c r="B1251" t="str">
        <f>"600510"</f>
        <v>600510</v>
      </c>
      <c r="C1251" t="s">
        <v>2796</v>
      </c>
      <c r="D1251" t="s">
        <v>65</v>
      </c>
      <c r="E1251">
        <v>1135152359</v>
      </c>
      <c r="F1251">
        <v>1615867348</v>
      </c>
      <c r="G1251">
        <v>2173249789</v>
      </c>
      <c r="H1251">
        <v>1695928058</v>
      </c>
      <c r="I1251">
        <v>2310054014</v>
      </c>
      <c r="J1251">
        <v>949972073</v>
      </c>
      <c r="K1251">
        <v>746382858</v>
      </c>
      <c r="L1251">
        <v>683730926</v>
      </c>
      <c r="M1251">
        <v>729531180</v>
      </c>
      <c r="N1251">
        <v>886120039</v>
      </c>
      <c r="O1251">
        <v>476673396</v>
      </c>
      <c r="P1251">
        <v>240</v>
      </c>
      <c r="Q1251" t="s">
        <v>2797</v>
      </c>
    </row>
    <row r="1252" spans="1:17" x14ac:dyDescent="0.3">
      <c r="A1252" t="s">
        <v>17</v>
      </c>
      <c r="B1252" t="str">
        <f>"600255"</f>
        <v>600255</v>
      </c>
      <c r="C1252" t="s">
        <v>2798</v>
      </c>
      <c r="D1252" t="s">
        <v>1526</v>
      </c>
      <c r="E1252">
        <v>1134697729</v>
      </c>
      <c r="F1252">
        <v>930597167</v>
      </c>
      <c r="G1252">
        <v>1085984353</v>
      </c>
      <c r="H1252">
        <v>1271358111</v>
      </c>
      <c r="I1252">
        <v>1622559291</v>
      </c>
      <c r="J1252">
        <v>1741062009</v>
      </c>
      <c r="K1252">
        <v>1107287254</v>
      </c>
      <c r="L1252">
        <v>1213425658</v>
      </c>
      <c r="M1252">
        <v>1305244218</v>
      </c>
      <c r="N1252">
        <v>717960655</v>
      </c>
      <c r="O1252">
        <v>1084022671</v>
      </c>
      <c r="P1252">
        <v>82</v>
      </c>
      <c r="Q1252" t="s">
        <v>2799</v>
      </c>
    </row>
    <row r="1253" spans="1:17" x14ac:dyDescent="0.3">
      <c r="A1253" t="s">
        <v>75</v>
      </c>
      <c r="B1253" t="str">
        <f>"002262"</f>
        <v>002262</v>
      </c>
      <c r="C1253" t="s">
        <v>2800</v>
      </c>
      <c r="D1253" t="s">
        <v>543</v>
      </c>
      <c r="E1253">
        <v>1132239926</v>
      </c>
      <c r="F1253">
        <v>1070089030</v>
      </c>
      <c r="G1253">
        <v>861273616</v>
      </c>
      <c r="H1253">
        <v>974420362</v>
      </c>
      <c r="I1253">
        <v>930689881</v>
      </c>
      <c r="J1253">
        <v>747391411</v>
      </c>
      <c r="K1253">
        <v>648065334</v>
      </c>
      <c r="L1253">
        <v>673682081</v>
      </c>
      <c r="M1253">
        <v>586343703</v>
      </c>
      <c r="N1253">
        <v>464085946</v>
      </c>
      <c r="O1253">
        <v>441234159</v>
      </c>
      <c r="P1253">
        <v>51365</v>
      </c>
      <c r="Q1253" t="s">
        <v>2801</v>
      </c>
    </row>
    <row r="1254" spans="1:17" x14ac:dyDescent="0.3">
      <c r="A1254" t="s">
        <v>75</v>
      </c>
      <c r="B1254" t="str">
        <f>"000423"</f>
        <v>000423</v>
      </c>
      <c r="C1254" t="s">
        <v>2802</v>
      </c>
      <c r="D1254" t="s">
        <v>321</v>
      </c>
      <c r="E1254">
        <v>1129771897</v>
      </c>
      <c r="F1254">
        <v>1567272286</v>
      </c>
      <c r="G1254">
        <v>863833642</v>
      </c>
      <c r="H1254">
        <v>922544403</v>
      </c>
      <c r="I1254">
        <v>1315324857</v>
      </c>
      <c r="J1254">
        <v>1471771159</v>
      </c>
      <c r="K1254">
        <v>834247907</v>
      </c>
      <c r="L1254">
        <v>982485327</v>
      </c>
      <c r="M1254">
        <v>818848470</v>
      </c>
      <c r="N1254">
        <v>719938868</v>
      </c>
      <c r="O1254">
        <v>628308170</v>
      </c>
      <c r="P1254">
        <v>24620</v>
      </c>
      <c r="Q1254" t="s">
        <v>2803</v>
      </c>
    </row>
    <row r="1255" spans="1:17" x14ac:dyDescent="0.3">
      <c r="A1255" t="s">
        <v>17</v>
      </c>
      <c r="B1255" t="str">
        <f>"600410"</f>
        <v>600410</v>
      </c>
      <c r="C1255" t="s">
        <v>2804</v>
      </c>
      <c r="D1255" t="s">
        <v>224</v>
      </c>
      <c r="E1255">
        <v>1126078747</v>
      </c>
      <c r="F1255">
        <v>1062864322</v>
      </c>
      <c r="G1255">
        <v>1119060147</v>
      </c>
      <c r="H1255">
        <v>1640924091</v>
      </c>
      <c r="I1255">
        <v>1668006211</v>
      </c>
      <c r="J1255">
        <v>1541469952</v>
      </c>
      <c r="K1255">
        <v>1429024011</v>
      </c>
      <c r="L1255">
        <v>1229092888</v>
      </c>
      <c r="M1255">
        <v>1257364814</v>
      </c>
      <c r="N1255">
        <v>1437238236</v>
      </c>
      <c r="O1255">
        <v>1233804127</v>
      </c>
      <c r="P1255">
        <v>514</v>
      </c>
      <c r="Q1255" t="s">
        <v>2805</v>
      </c>
    </row>
    <row r="1256" spans="1:17" x14ac:dyDescent="0.3">
      <c r="A1256" t="s">
        <v>17</v>
      </c>
      <c r="B1256" t="str">
        <f>"688567"</f>
        <v>688567</v>
      </c>
      <c r="C1256" t="s">
        <v>2806</v>
      </c>
      <c r="D1256" t="s">
        <v>131</v>
      </c>
      <c r="E1256">
        <v>1125067077</v>
      </c>
      <c r="F1256">
        <v>681425254</v>
      </c>
      <c r="G1256">
        <v>291612273</v>
      </c>
      <c r="P1256">
        <v>107</v>
      </c>
      <c r="Q1256" t="s">
        <v>2807</v>
      </c>
    </row>
    <row r="1257" spans="1:17" x14ac:dyDescent="0.3">
      <c r="A1257" t="s">
        <v>75</v>
      </c>
      <c r="B1257" t="str">
        <f>"300638"</f>
        <v>300638</v>
      </c>
      <c r="C1257" t="s">
        <v>2808</v>
      </c>
      <c r="D1257" t="s">
        <v>556</v>
      </c>
      <c r="E1257">
        <v>1124967758</v>
      </c>
      <c r="F1257">
        <v>942970351</v>
      </c>
      <c r="G1257">
        <v>492845621</v>
      </c>
      <c r="H1257">
        <v>386725419</v>
      </c>
      <c r="I1257">
        <v>213400430</v>
      </c>
      <c r="J1257">
        <v>77031426</v>
      </c>
      <c r="K1257">
        <v>55875436</v>
      </c>
      <c r="P1257">
        <v>757</v>
      </c>
      <c r="Q1257" t="s">
        <v>2809</v>
      </c>
    </row>
    <row r="1258" spans="1:17" x14ac:dyDescent="0.3">
      <c r="A1258" t="s">
        <v>17</v>
      </c>
      <c r="B1258" t="str">
        <f>"600517"</f>
        <v>600517</v>
      </c>
      <c r="C1258" t="s">
        <v>2810</v>
      </c>
      <c r="D1258" t="s">
        <v>347</v>
      </c>
      <c r="E1258">
        <v>1121260777</v>
      </c>
      <c r="F1258">
        <v>1246849471</v>
      </c>
      <c r="G1258">
        <v>698222467</v>
      </c>
      <c r="H1258">
        <v>816928523</v>
      </c>
      <c r="I1258">
        <v>654549425</v>
      </c>
      <c r="J1258">
        <v>811973472</v>
      </c>
      <c r="K1258">
        <v>963598637</v>
      </c>
      <c r="L1258">
        <v>691578188</v>
      </c>
      <c r="M1258">
        <v>510653687</v>
      </c>
      <c r="N1258">
        <v>532938467</v>
      </c>
      <c r="O1258">
        <v>259151830</v>
      </c>
      <c r="P1258">
        <v>246</v>
      </c>
      <c r="Q1258" t="s">
        <v>2811</v>
      </c>
    </row>
    <row r="1259" spans="1:17" x14ac:dyDescent="0.3">
      <c r="A1259" t="s">
        <v>75</v>
      </c>
      <c r="B1259" t="str">
        <f>"002548"</f>
        <v>002548</v>
      </c>
      <c r="C1259" t="s">
        <v>2812</v>
      </c>
      <c r="D1259" t="s">
        <v>824</v>
      </c>
      <c r="E1259">
        <v>1120481097</v>
      </c>
      <c r="F1259">
        <v>1140635347</v>
      </c>
      <c r="G1259">
        <v>583306028</v>
      </c>
      <c r="H1259">
        <v>567216923</v>
      </c>
      <c r="I1259">
        <v>632331547</v>
      </c>
      <c r="J1259">
        <v>628164440</v>
      </c>
      <c r="K1259">
        <v>498654876</v>
      </c>
      <c r="L1259">
        <v>610170999</v>
      </c>
      <c r="M1259">
        <v>416895712</v>
      </c>
      <c r="N1259">
        <v>360556038</v>
      </c>
      <c r="O1259">
        <v>353810821</v>
      </c>
      <c r="P1259">
        <v>260</v>
      </c>
      <c r="Q1259" t="s">
        <v>2813</v>
      </c>
    </row>
    <row r="1260" spans="1:17" x14ac:dyDescent="0.3">
      <c r="A1260" t="s">
        <v>17</v>
      </c>
      <c r="B1260" t="str">
        <f>"603518"</f>
        <v>603518</v>
      </c>
      <c r="C1260" t="s">
        <v>2814</v>
      </c>
      <c r="D1260" t="s">
        <v>814</v>
      </c>
      <c r="E1260">
        <v>1118428646</v>
      </c>
      <c r="F1260">
        <v>1060512454</v>
      </c>
      <c r="G1260">
        <v>855756722</v>
      </c>
      <c r="H1260">
        <v>986707159</v>
      </c>
      <c r="I1260">
        <v>867585248</v>
      </c>
      <c r="J1260">
        <v>379497979</v>
      </c>
      <c r="K1260">
        <v>219986794</v>
      </c>
      <c r="L1260">
        <v>268782690</v>
      </c>
      <c r="M1260">
        <v>256508515</v>
      </c>
      <c r="P1260">
        <v>204</v>
      </c>
      <c r="Q1260" t="s">
        <v>2815</v>
      </c>
    </row>
    <row r="1261" spans="1:17" x14ac:dyDescent="0.3">
      <c r="A1261" t="s">
        <v>75</v>
      </c>
      <c r="B1261" t="str">
        <f>"002743"</f>
        <v>002743</v>
      </c>
      <c r="C1261" t="s">
        <v>2816</v>
      </c>
      <c r="D1261" t="s">
        <v>1028</v>
      </c>
      <c r="E1261">
        <v>1118080575</v>
      </c>
      <c r="F1261">
        <v>1047236415</v>
      </c>
      <c r="G1261">
        <v>725289301</v>
      </c>
      <c r="H1261">
        <v>862147856</v>
      </c>
      <c r="I1261">
        <v>772328697</v>
      </c>
      <c r="J1261">
        <v>476236951</v>
      </c>
      <c r="K1261">
        <v>337337582</v>
      </c>
      <c r="L1261">
        <v>321180475</v>
      </c>
      <c r="M1261">
        <v>425860954</v>
      </c>
      <c r="P1261">
        <v>77</v>
      </c>
      <c r="Q1261" t="s">
        <v>2817</v>
      </c>
    </row>
    <row r="1262" spans="1:17" x14ac:dyDescent="0.3">
      <c r="A1262" t="s">
        <v>17</v>
      </c>
      <c r="B1262" t="str">
        <f>"600038"</f>
        <v>600038</v>
      </c>
      <c r="C1262" t="s">
        <v>2818</v>
      </c>
      <c r="D1262" t="s">
        <v>1551</v>
      </c>
      <c r="E1262">
        <v>1117650714</v>
      </c>
      <c r="F1262">
        <v>3230731902</v>
      </c>
      <c r="G1262">
        <v>2624316687</v>
      </c>
      <c r="H1262">
        <v>2856748429</v>
      </c>
      <c r="I1262">
        <v>1451275882</v>
      </c>
      <c r="J1262">
        <v>3500449365</v>
      </c>
      <c r="K1262">
        <v>2796604168</v>
      </c>
      <c r="L1262">
        <v>1333651797</v>
      </c>
      <c r="M1262">
        <v>1416666644</v>
      </c>
      <c r="N1262">
        <v>583747294</v>
      </c>
      <c r="O1262">
        <v>620249388</v>
      </c>
      <c r="P1262">
        <v>447</v>
      </c>
      <c r="Q1262" t="s">
        <v>2819</v>
      </c>
    </row>
    <row r="1263" spans="1:17" x14ac:dyDescent="0.3">
      <c r="A1263" t="s">
        <v>75</v>
      </c>
      <c r="B1263" t="str">
        <f>"002116"</f>
        <v>002116</v>
      </c>
      <c r="C1263" t="s">
        <v>2820</v>
      </c>
      <c r="D1263" t="s">
        <v>52</v>
      </c>
      <c r="E1263">
        <v>1116774326</v>
      </c>
      <c r="F1263">
        <v>1029184722</v>
      </c>
      <c r="G1263">
        <v>1121937885</v>
      </c>
      <c r="H1263">
        <v>1084981300</v>
      </c>
      <c r="I1263">
        <v>963157928</v>
      </c>
      <c r="J1263">
        <v>893094311</v>
      </c>
      <c r="K1263">
        <v>1001792703</v>
      </c>
      <c r="L1263">
        <v>1040174040</v>
      </c>
      <c r="M1263">
        <v>1265768609</v>
      </c>
      <c r="N1263">
        <v>1003298775</v>
      </c>
      <c r="O1263">
        <v>843783761</v>
      </c>
      <c r="P1263">
        <v>176</v>
      </c>
      <c r="Q1263" t="s">
        <v>2821</v>
      </c>
    </row>
    <row r="1264" spans="1:17" x14ac:dyDescent="0.3">
      <c r="A1264" t="s">
        <v>75</v>
      </c>
      <c r="B1264" t="str">
        <f>"300059"</f>
        <v>300059</v>
      </c>
      <c r="C1264" t="s">
        <v>2822</v>
      </c>
      <c r="D1264" t="s">
        <v>2823</v>
      </c>
      <c r="E1264">
        <v>1115533605</v>
      </c>
      <c r="F1264">
        <v>1050704724</v>
      </c>
      <c r="G1264">
        <v>0</v>
      </c>
      <c r="H1264">
        <v>307655574</v>
      </c>
      <c r="I1264">
        <v>314121297</v>
      </c>
      <c r="J1264">
        <v>197437298</v>
      </c>
      <c r="K1264">
        <v>301031199</v>
      </c>
      <c r="L1264">
        <v>364008187</v>
      </c>
      <c r="M1264">
        <v>55640072</v>
      </c>
      <c r="N1264">
        <v>28184482</v>
      </c>
      <c r="O1264">
        <v>29970445</v>
      </c>
      <c r="P1264">
        <v>5893</v>
      </c>
      <c r="Q1264" t="s">
        <v>2824</v>
      </c>
    </row>
    <row r="1265" spans="1:17" x14ac:dyDescent="0.3">
      <c r="A1265" t="s">
        <v>17</v>
      </c>
      <c r="B1265" t="str">
        <f>"603686"</f>
        <v>603686</v>
      </c>
      <c r="C1265" t="s">
        <v>2825</v>
      </c>
      <c r="D1265" t="s">
        <v>1642</v>
      </c>
      <c r="E1265">
        <v>1114887698</v>
      </c>
      <c r="F1265">
        <v>1187734367</v>
      </c>
      <c r="G1265">
        <v>823934880</v>
      </c>
      <c r="H1265">
        <v>818870529</v>
      </c>
      <c r="I1265">
        <v>493736014</v>
      </c>
      <c r="J1265">
        <v>302459775</v>
      </c>
      <c r="K1265">
        <v>254902515</v>
      </c>
      <c r="L1265">
        <v>246694800</v>
      </c>
      <c r="M1265">
        <v>157705421</v>
      </c>
      <c r="P1265">
        <v>760</v>
      </c>
      <c r="Q1265" t="s">
        <v>2826</v>
      </c>
    </row>
    <row r="1266" spans="1:17" x14ac:dyDescent="0.3">
      <c r="A1266" t="s">
        <v>17</v>
      </c>
      <c r="B1266" t="str">
        <f>"600640"</f>
        <v>600640</v>
      </c>
      <c r="C1266" t="s">
        <v>2827</v>
      </c>
      <c r="D1266" t="s">
        <v>1689</v>
      </c>
      <c r="E1266">
        <v>1113682118</v>
      </c>
      <c r="F1266">
        <v>1190867416</v>
      </c>
      <c r="G1266">
        <v>897261816</v>
      </c>
      <c r="H1266">
        <v>1155710764</v>
      </c>
      <c r="I1266">
        <v>1945166806</v>
      </c>
      <c r="J1266">
        <v>1503912229</v>
      </c>
      <c r="K1266">
        <v>790433376</v>
      </c>
      <c r="L1266">
        <v>615366761</v>
      </c>
      <c r="M1266">
        <v>436222619</v>
      </c>
      <c r="N1266">
        <v>400087115</v>
      </c>
      <c r="O1266">
        <v>56373030</v>
      </c>
      <c r="P1266">
        <v>163</v>
      </c>
      <c r="Q1266" t="s">
        <v>2828</v>
      </c>
    </row>
    <row r="1267" spans="1:17" x14ac:dyDescent="0.3">
      <c r="A1267" t="s">
        <v>75</v>
      </c>
      <c r="B1267" t="str">
        <f>"002654"</f>
        <v>002654</v>
      </c>
      <c r="C1267" t="s">
        <v>2829</v>
      </c>
      <c r="D1267" t="s">
        <v>1044</v>
      </c>
      <c r="E1267">
        <v>1113220986</v>
      </c>
      <c r="F1267">
        <v>1030099251</v>
      </c>
      <c r="G1267">
        <v>998866650</v>
      </c>
      <c r="H1267">
        <v>936729272</v>
      </c>
      <c r="I1267">
        <v>833894305</v>
      </c>
      <c r="J1267">
        <v>497846056</v>
      </c>
      <c r="K1267">
        <v>197834940</v>
      </c>
      <c r="L1267">
        <v>138663725</v>
      </c>
      <c r="M1267">
        <v>99472092</v>
      </c>
      <c r="N1267">
        <v>82564520</v>
      </c>
      <c r="O1267">
        <v>52539345</v>
      </c>
      <c r="P1267">
        <v>124</v>
      </c>
      <c r="Q1267" t="s">
        <v>2830</v>
      </c>
    </row>
    <row r="1268" spans="1:17" x14ac:dyDescent="0.3">
      <c r="A1268" t="s">
        <v>75</v>
      </c>
      <c r="B1268" t="str">
        <f>"002404"</f>
        <v>002404</v>
      </c>
      <c r="C1268" t="s">
        <v>2831</v>
      </c>
      <c r="D1268" t="s">
        <v>2832</v>
      </c>
      <c r="E1268">
        <v>1111568647</v>
      </c>
      <c r="F1268">
        <v>753479579</v>
      </c>
      <c r="G1268">
        <v>682532799</v>
      </c>
      <c r="H1268">
        <v>912013395</v>
      </c>
      <c r="I1268">
        <v>899225633</v>
      </c>
      <c r="J1268">
        <v>640869976</v>
      </c>
      <c r="K1268">
        <v>556239121</v>
      </c>
      <c r="L1268">
        <v>570123985</v>
      </c>
      <c r="M1268">
        <v>453638175</v>
      </c>
      <c r="N1268">
        <v>457014890</v>
      </c>
      <c r="O1268">
        <v>440106044</v>
      </c>
      <c r="P1268">
        <v>108</v>
      </c>
      <c r="Q1268" t="s">
        <v>2833</v>
      </c>
    </row>
    <row r="1269" spans="1:17" x14ac:dyDescent="0.3">
      <c r="A1269" t="s">
        <v>17</v>
      </c>
      <c r="B1269" t="str">
        <f>"603658"</f>
        <v>603658</v>
      </c>
      <c r="C1269" t="s">
        <v>2834</v>
      </c>
      <c r="D1269" t="s">
        <v>967</v>
      </c>
      <c r="E1269">
        <v>1109829531</v>
      </c>
      <c r="F1269">
        <v>961717625</v>
      </c>
      <c r="G1269">
        <v>611666602</v>
      </c>
      <c r="H1269">
        <v>605678232</v>
      </c>
      <c r="I1269">
        <v>477784037</v>
      </c>
      <c r="J1269">
        <v>320350840</v>
      </c>
      <c r="K1269">
        <v>229753844</v>
      </c>
      <c r="P1269">
        <v>2606</v>
      </c>
      <c r="Q1269" t="s">
        <v>2835</v>
      </c>
    </row>
    <row r="1270" spans="1:17" x14ac:dyDescent="0.3">
      <c r="A1270" t="s">
        <v>75</v>
      </c>
      <c r="B1270" t="str">
        <f>"002959"</f>
        <v>002959</v>
      </c>
      <c r="C1270" t="s">
        <v>2836</v>
      </c>
      <c r="D1270" t="s">
        <v>939</v>
      </c>
      <c r="E1270">
        <v>1108661866</v>
      </c>
      <c r="F1270">
        <v>927848717</v>
      </c>
      <c r="G1270">
        <v>786534477</v>
      </c>
      <c r="H1270">
        <v>654166681</v>
      </c>
      <c r="I1270">
        <v>511955824</v>
      </c>
      <c r="P1270">
        <v>1479</v>
      </c>
      <c r="Q1270" t="s">
        <v>2837</v>
      </c>
    </row>
    <row r="1271" spans="1:17" x14ac:dyDescent="0.3">
      <c r="A1271" t="s">
        <v>75</v>
      </c>
      <c r="B1271" t="str">
        <f>"002573"</f>
        <v>002573</v>
      </c>
      <c r="C1271" t="s">
        <v>2838</v>
      </c>
      <c r="D1271" t="s">
        <v>2317</v>
      </c>
      <c r="E1271">
        <v>1107593780</v>
      </c>
      <c r="F1271">
        <v>614405651</v>
      </c>
      <c r="G1271">
        <v>506669744</v>
      </c>
      <c r="H1271">
        <v>815487519</v>
      </c>
      <c r="I1271">
        <v>704475805</v>
      </c>
      <c r="J1271">
        <v>436202658</v>
      </c>
      <c r="K1271">
        <v>353623407</v>
      </c>
      <c r="L1271">
        <v>215779852</v>
      </c>
      <c r="M1271">
        <v>117342368</v>
      </c>
      <c r="N1271">
        <v>110446837</v>
      </c>
      <c r="O1271">
        <v>194025741</v>
      </c>
      <c r="P1271">
        <v>613</v>
      </c>
      <c r="Q1271" t="s">
        <v>2839</v>
      </c>
    </row>
    <row r="1272" spans="1:17" x14ac:dyDescent="0.3">
      <c r="A1272" t="s">
        <v>17</v>
      </c>
      <c r="B1272" t="str">
        <f>"600515"</f>
        <v>600515</v>
      </c>
      <c r="C1272" t="s">
        <v>2840</v>
      </c>
      <c r="D1272" t="s">
        <v>65</v>
      </c>
      <c r="E1272">
        <v>1106349330</v>
      </c>
      <c r="F1272">
        <v>1237617170</v>
      </c>
      <c r="G1272">
        <v>988315696</v>
      </c>
      <c r="H1272">
        <v>2353528902</v>
      </c>
      <c r="I1272">
        <v>2791589300</v>
      </c>
      <c r="J1272">
        <v>2471615579</v>
      </c>
      <c r="K1272">
        <v>421248306</v>
      </c>
      <c r="L1272">
        <v>383282609</v>
      </c>
      <c r="M1272">
        <v>320433114</v>
      </c>
      <c r="N1272">
        <v>241095715</v>
      </c>
      <c r="O1272">
        <v>226962311</v>
      </c>
      <c r="P1272">
        <v>163</v>
      </c>
      <c r="Q1272" t="s">
        <v>2841</v>
      </c>
    </row>
    <row r="1273" spans="1:17" x14ac:dyDescent="0.3">
      <c r="A1273" t="s">
        <v>75</v>
      </c>
      <c r="B1273" t="str">
        <f>"002472"</f>
        <v>002472</v>
      </c>
      <c r="C1273" t="s">
        <v>2842</v>
      </c>
      <c r="D1273" t="s">
        <v>172</v>
      </c>
      <c r="E1273">
        <v>1105992310</v>
      </c>
      <c r="F1273">
        <v>945769870</v>
      </c>
      <c r="G1273">
        <v>680760765</v>
      </c>
      <c r="H1273">
        <v>512217112</v>
      </c>
      <c r="I1273">
        <v>588189247</v>
      </c>
      <c r="J1273">
        <v>509357633</v>
      </c>
      <c r="K1273">
        <v>375139472</v>
      </c>
      <c r="L1273">
        <v>305711367</v>
      </c>
      <c r="M1273">
        <v>244567294</v>
      </c>
      <c r="N1273">
        <v>237316630</v>
      </c>
      <c r="O1273">
        <v>201108137</v>
      </c>
      <c r="P1273">
        <v>258</v>
      </c>
      <c r="Q1273" t="s">
        <v>2843</v>
      </c>
    </row>
    <row r="1274" spans="1:17" x14ac:dyDescent="0.3">
      <c r="A1274" t="s">
        <v>17</v>
      </c>
      <c r="B1274" t="str">
        <f>"603348"</f>
        <v>603348</v>
      </c>
      <c r="C1274" t="s">
        <v>2844</v>
      </c>
      <c r="D1274" t="s">
        <v>1321</v>
      </c>
      <c r="E1274">
        <v>1105774112</v>
      </c>
      <c r="F1274">
        <v>892729643</v>
      </c>
      <c r="G1274">
        <v>375733524</v>
      </c>
      <c r="H1274">
        <v>368179507</v>
      </c>
      <c r="I1274">
        <v>386919809</v>
      </c>
      <c r="J1274">
        <v>303474321</v>
      </c>
      <c r="P1274">
        <v>193</v>
      </c>
      <c r="Q1274" t="s">
        <v>2845</v>
      </c>
    </row>
    <row r="1275" spans="1:17" x14ac:dyDescent="0.3">
      <c r="A1275" t="s">
        <v>17</v>
      </c>
      <c r="B1275" t="str">
        <f>"605196"</f>
        <v>605196</v>
      </c>
      <c r="C1275" t="s">
        <v>2846</v>
      </c>
      <c r="D1275" t="s">
        <v>562</v>
      </c>
      <c r="E1275">
        <v>1101100100</v>
      </c>
      <c r="F1275">
        <v>608632895</v>
      </c>
      <c r="G1275">
        <v>680642955</v>
      </c>
      <c r="P1275">
        <v>27</v>
      </c>
      <c r="Q1275" t="s">
        <v>2847</v>
      </c>
    </row>
    <row r="1276" spans="1:17" x14ac:dyDescent="0.3">
      <c r="A1276" t="s">
        <v>17</v>
      </c>
      <c r="B1276" t="str">
        <f>"600775"</f>
        <v>600775</v>
      </c>
      <c r="C1276" t="s">
        <v>2848</v>
      </c>
      <c r="D1276" t="s">
        <v>556</v>
      </c>
      <c r="E1276">
        <v>1100731595</v>
      </c>
      <c r="F1276">
        <v>1157577993</v>
      </c>
      <c r="G1276">
        <v>1031890264</v>
      </c>
      <c r="H1276">
        <v>985491184</v>
      </c>
      <c r="I1276">
        <v>1091057541</v>
      </c>
      <c r="J1276">
        <v>1084165671</v>
      </c>
      <c r="K1276">
        <v>742484932</v>
      </c>
      <c r="L1276">
        <v>890679167</v>
      </c>
      <c r="M1276">
        <v>672016718</v>
      </c>
      <c r="N1276">
        <v>446982496</v>
      </c>
      <c r="O1276">
        <v>563743199</v>
      </c>
      <c r="P1276">
        <v>179</v>
      </c>
      <c r="Q1276" t="s">
        <v>2849</v>
      </c>
    </row>
    <row r="1277" spans="1:17" x14ac:dyDescent="0.3">
      <c r="A1277" t="s">
        <v>17</v>
      </c>
      <c r="B1277" t="str">
        <f>"603626"</f>
        <v>603626</v>
      </c>
      <c r="C1277" t="s">
        <v>2850</v>
      </c>
      <c r="D1277" t="s">
        <v>55</v>
      </c>
      <c r="E1277">
        <v>1100674173</v>
      </c>
      <c r="F1277">
        <v>1036874909</v>
      </c>
      <c r="G1277">
        <v>551969251</v>
      </c>
      <c r="H1277">
        <v>873488285</v>
      </c>
      <c r="I1277">
        <v>713692635</v>
      </c>
      <c r="J1277">
        <v>410092348</v>
      </c>
      <c r="K1277">
        <v>509767994</v>
      </c>
      <c r="P1277">
        <v>173</v>
      </c>
      <c r="Q1277" t="s">
        <v>2851</v>
      </c>
    </row>
    <row r="1278" spans="1:17" x14ac:dyDescent="0.3">
      <c r="A1278" t="s">
        <v>75</v>
      </c>
      <c r="B1278" t="str">
        <f>"000429"</f>
        <v>000429</v>
      </c>
      <c r="C1278" t="s">
        <v>2852</v>
      </c>
      <c r="D1278" t="s">
        <v>1248</v>
      </c>
      <c r="E1278">
        <v>1100295479</v>
      </c>
      <c r="F1278">
        <v>1231428068</v>
      </c>
      <c r="G1278">
        <v>247991044</v>
      </c>
      <c r="H1278">
        <v>738658073</v>
      </c>
      <c r="I1278">
        <v>734954247</v>
      </c>
      <c r="J1278">
        <v>654396443</v>
      </c>
      <c r="K1278">
        <v>371262766</v>
      </c>
      <c r="L1278">
        <v>317519096</v>
      </c>
      <c r="M1278">
        <v>247532769</v>
      </c>
      <c r="N1278">
        <v>264898291</v>
      </c>
      <c r="O1278">
        <v>241545906</v>
      </c>
      <c r="P1278">
        <v>1026</v>
      </c>
      <c r="Q1278" t="s">
        <v>2853</v>
      </c>
    </row>
    <row r="1279" spans="1:17" x14ac:dyDescent="0.3">
      <c r="A1279" t="s">
        <v>17</v>
      </c>
      <c r="B1279" t="str">
        <f>"605589"</f>
        <v>605589</v>
      </c>
      <c r="C1279" t="s">
        <v>2854</v>
      </c>
      <c r="D1279" t="s">
        <v>2855</v>
      </c>
      <c r="E1279">
        <v>1099791286</v>
      </c>
      <c r="F1279">
        <v>1042241942</v>
      </c>
      <c r="G1279">
        <v>1040473360</v>
      </c>
      <c r="P1279">
        <v>40</v>
      </c>
      <c r="Q1279" t="s">
        <v>2856</v>
      </c>
    </row>
    <row r="1280" spans="1:17" x14ac:dyDescent="0.3">
      <c r="A1280" t="s">
        <v>75</v>
      </c>
      <c r="B1280" t="str">
        <f>"002482"</f>
        <v>002482</v>
      </c>
      <c r="C1280" t="s">
        <v>2857</v>
      </c>
      <c r="D1280" t="s">
        <v>707</v>
      </c>
      <c r="E1280">
        <v>1099176615</v>
      </c>
      <c r="F1280">
        <v>3491295586</v>
      </c>
      <c r="G1280">
        <v>3356701931</v>
      </c>
      <c r="H1280">
        <v>1962501016</v>
      </c>
      <c r="I1280">
        <v>2364479797</v>
      </c>
      <c r="J1280">
        <v>2763690990</v>
      </c>
      <c r="K1280">
        <v>1005448010</v>
      </c>
      <c r="L1280">
        <v>1133232496</v>
      </c>
      <c r="M1280">
        <v>1106476150</v>
      </c>
      <c r="N1280">
        <v>1376126688</v>
      </c>
      <c r="O1280">
        <v>1055214002</v>
      </c>
      <c r="P1280">
        <v>112</v>
      </c>
      <c r="Q1280" t="s">
        <v>2858</v>
      </c>
    </row>
    <row r="1281" spans="1:17" x14ac:dyDescent="0.3">
      <c r="A1281" t="s">
        <v>17</v>
      </c>
      <c r="B1281" t="str">
        <f>"601226"</f>
        <v>601226</v>
      </c>
      <c r="C1281" t="s">
        <v>2859</v>
      </c>
      <c r="D1281" t="s">
        <v>52</v>
      </c>
      <c r="E1281">
        <v>1097808209</v>
      </c>
      <c r="F1281">
        <v>1442470814</v>
      </c>
      <c r="G1281">
        <v>1340385665</v>
      </c>
      <c r="H1281">
        <v>1179613687</v>
      </c>
      <c r="I1281">
        <v>945605090</v>
      </c>
      <c r="J1281">
        <v>1033233214</v>
      </c>
      <c r="K1281">
        <v>662644455</v>
      </c>
      <c r="L1281">
        <v>383103388</v>
      </c>
      <c r="M1281">
        <v>553555699</v>
      </c>
      <c r="P1281">
        <v>114</v>
      </c>
      <c r="Q1281" t="s">
        <v>2860</v>
      </c>
    </row>
    <row r="1282" spans="1:17" x14ac:dyDescent="0.3">
      <c r="A1282" t="s">
        <v>75</v>
      </c>
      <c r="B1282" t="str">
        <f>"000682"</f>
        <v>000682</v>
      </c>
      <c r="C1282" t="s">
        <v>2861</v>
      </c>
      <c r="D1282" t="s">
        <v>682</v>
      </c>
      <c r="E1282">
        <v>1097596873</v>
      </c>
      <c r="F1282">
        <v>990158958</v>
      </c>
      <c r="G1282">
        <v>855898469</v>
      </c>
      <c r="H1282">
        <v>828751351</v>
      </c>
      <c r="I1282">
        <v>638702448</v>
      </c>
      <c r="J1282">
        <v>569405773</v>
      </c>
      <c r="K1282">
        <v>473421100</v>
      </c>
      <c r="L1282">
        <v>427500073</v>
      </c>
      <c r="M1282">
        <v>452740600</v>
      </c>
      <c r="N1282">
        <v>387788665</v>
      </c>
      <c r="O1282">
        <v>210848787</v>
      </c>
      <c r="P1282">
        <v>156</v>
      </c>
      <c r="Q1282" t="s">
        <v>2862</v>
      </c>
    </row>
    <row r="1283" spans="1:17" x14ac:dyDescent="0.3">
      <c r="A1283" t="s">
        <v>75</v>
      </c>
      <c r="B1283" t="str">
        <f>"002372"</f>
        <v>002372</v>
      </c>
      <c r="C1283" t="s">
        <v>2863</v>
      </c>
      <c r="D1283" t="s">
        <v>1583</v>
      </c>
      <c r="E1283">
        <v>1097509073</v>
      </c>
      <c r="F1283">
        <v>1059166520</v>
      </c>
      <c r="G1283">
        <v>708714635</v>
      </c>
      <c r="H1283">
        <v>938695674</v>
      </c>
      <c r="I1283">
        <v>864241003</v>
      </c>
      <c r="J1283">
        <v>718775916</v>
      </c>
      <c r="K1283">
        <v>623873223</v>
      </c>
      <c r="L1283">
        <v>521496491</v>
      </c>
      <c r="M1283">
        <v>460290317</v>
      </c>
      <c r="N1283">
        <v>431421760</v>
      </c>
      <c r="O1283">
        <v>375953804</v>
      </c>
      <c r="P1283">
        <v>10689</v>
      </c>
      <c r="Q1283" t="s">
        <v>2864</v>
      </c>
    </row>
    <row r="1284" spans="1:17" x14ac:dyDescent="0.3">
      <c r="A1284" t="s">
        <v>17</v>
      </c>
      <c r="B1284" t="str">
        <f>"600287"</f>
        <v>600287</v>
      </c>
      <c r="C1284" t="s">
        <v>2865</v>
      </c>
      <c r="D1284" t="s">
        <v>142</v>
      </c>
      <c r="E1284">
        <v>1093270525</v>
      </c>
      <c r="F1284">
        <v>1157811153</v>
      </c>
      <c r="G1284">
        <v>1038071307</v>
      </c>
      <c r="H1284">
        <v>1260076983</v>
      </c>
      <c r="I1284">
        <v>1287769280</v>
      </c>
      <c r="J1284">
        <v>1260058849</v>
      </c>
      <c r="K1284">
        <v>1236061914</v>
      </c>
      <c r="L1284">
        <v>1688593098</v>
      </c>
      <c r="M1284">
        <v>1507674984</v>
      </c>
      <c r="N1284">
        <v>1455051411</v>
      </c>
      <c r="O1284">
        <v>1013551076</v>
      </c>
      <c r="P1284">
        <v>72</v>
      </c>
      <c r="Q1284" t="s">
        <v>2866</v>
      </c>
    </row>
    <row r="1285" spans="1:17" x14ac:dyDescent="0.3">
      <c r="A1285" t="s">
        <v>75</v>
      </c>
      <c r="B1285" t="str">
        <f>"000852"</f>
        <v>000852</v>
      </c>
      <c r="C1285" t="s">
        <v>2867</v>
      </c>
      <c r="D1285" t="s">
        <v>786</v>
      </c>
      <c r="E1285">
        <v>1089971324</v>
      </c>
      <c r="F1285">
        <v>722839945</v>
      </c>
      <c r="G1285">
        <v>824973963</v>
      </c>
      <c r="H1285">
        <v>1321853130</v>
      </c>
      <c r="I1285">
        <v>1096978260</v>
      </c>
      <c r="J1285">
        <v>487038841</v>
      </c>
      <c r="K1285">
        <v>844423255</v>
      </c>
      <c r="L1285">
        <v>198080554</v>
      </c>
      <c r="M1285">
        <v>315762895</v>
      </c>
      <c r="N1285">
        <v>275308094</v>
      </c>
      <c r="O1285">
        <v>299505619</v>
      </c>
      <c r="P1285">
        <v>155</v>
      </c>
      <c r="Q1285" t="s">
        <v>2868</v>
      </c>
    </row>
    <row r="1286" spans="1:17" x14ac:dyDescent="0.3">
      <c r="A1286" t="s">
        <v>17</v>
      </c>
      <c r="B1286" t="str">
        <f>"603305"</f>
        <v>603305</v>
      </c>
      <c r="C1286" t="s">
        <v>2869</v>
      </c>
      <c r="D1286" t="s">
        <v>172</v>
      </c>
      <c r="E1286">
        <v>1089795898</v>
      </c>
      <c r="F1286">
        <v>502208984</v>
      </c>
      <c r="G1286">
        <v>197178690</v>
      </c>
      <c r="H1286">
        <v>236330060</v>
      </c>
      <c r="I1286">
        <v>212807241</v>
      </c>
      <c r="J1286">
        <v>174422406</v>
      </c>
      <c r="K1286">
        <v>0</v>
      </c>
      <c r="P1286">
        <v>506</v>
      </c>
      <c r="Q1286" t="s">
        <v>2870</v>
      </c>
    </row>
    <row r="1287" spans="1:17" x14ac:dyDescent="0.3">
      <c r="A1287" t="s">
        <v>17</v>
      </c>
      <c r="B1287" t="str">
        <f>"603379"</f>
        <v>603379</v>
      </c>
      <c r="C1287" t="s">
        <v>2871</v>
      </c>
      <c r="D1287" t="s">
        <v>946</v>
      </c>
      <c r="E1287">
        <v>1085458602</v>
      </c>
      <c r="F1287">
        <v>581134874</v>
      </c>
      <c r="G1287">
        <v>646129526</v>
      </c>
      <c r="H1287">
        <v>815119183</v>
      </c>
      <c r="I1287">
        <v>755318102</v>
      </c>
      <c r="P1287">
        <v>140</v>
      </c>
      <c r="Q1287" t="s">
        <v>2872</v>
      </c>
    </row>
    <row r="1288" spans="1:17" x14ac:dyDescent="0.3">
      <c r="A1288" t="s">
        <v>75</v>
      </c>
      <c r="B1288" t="str">
        <f>"002738"</f>
        <v>002738</v>
      </c>
      <c r="C1288" t="s">
        <v>2873</v>
      </c>
      <c r="D1288" t="s">
        <v>364</v>
      </c>
      <c r="E1288">
        <v>1085346367</v>
      </c>
      <c r="F1288">
        <v>348390272</v>
      </c>
      <c r="G1288">
        <v>301282371</v>
      </c>
      <c r="H1288">
        <v>235992936</v>
      </c>
      <c r="I1288">
        <v>97923282</v>
      </c>
      <c r="J1288">
        <v>82006613</v>
      </c>
      <c r="K1288">
        <v>42324998</v>
      </c>
      <c r="L1288">
        <v>26953016</v>
      </c>
      <c r="M1288">
        <v>40489851</v>
      </c>
      <c r="P1288">
        <v>192</v>
      </c>
      <c r="Q1288" t="s">
        <v>2874</v>
      </c>
    </row>
    <row r="1289" spans="1:17" x14ac:dyDescent="0.3">
      <c r="A1289" t="s">
        <v>75</v>
      </c>
      <c r="B1289" t="str">
        <f>"000732"</f>
        <v>000732</v>
      </c>
      <c r="C1289" t="s">
        <v>2875</v>
      </c>
      <c r="D1289" t="s">
        <v>65</v>
      </c>
      <c r="E1289">
        <v>1084659935</v>
      </c>
      <c r="F1289">
        <v>614055077</v>
      </c>
      <c r="G1289">
        <v>2802392123</v>
      </c>
      <c r="H1289">
        <v>16985049709</v>
      </c>
      <c r="I1289">
        <v>9125628301</v>
      </c>
      <c r="J1289">
        <v>5846562915</v>
      </c>
      <c r="K1289">
        <v>4375202318</v>
      </c>
      <c r="L1289">
        <v>3085726252</v>
      </c>
      <c r="M1289">
        <v>2994621970</v>
      </c>
      <c r="N1289">
        <v>1314587527</v>
      </c>
      <c r="O1289">
        <v>529308355</v>
      </c>
      <c r="P1289">
        <v>438</v>
      </c>
      <c r="Q1289" t="s">
        <v>2876</v>
      </c>
    </row>
    <row r="1290" spans="1:17" x14ac:dyDescent="0.3">
      <c r="A1290" t="s">
        <v>75</v>
      </c>
      <c r="B1290" t="str">
        <f>"002226"</f>
        <v>002226</v>
      </c>
      <c r="C1290" t="s">
        <v>2877</v>
      </c>
      <c r="D1290" t="s">
        <v>1830</v>
      </c>
      <c r="E1290">
        <v>1081846224</v>
      </c>
      <c r="F1290">
        <v>953620287</v>
      </c>
      <c r="G1290">
        <v>529931436</v>
      </c>
      <c r="H1290">
        <v>530756163</v>
      </c>
      <c r="I1290">
        <v>438659756</v>
      </c>
      <c r="J1290">
        <v>267755773</v>
      </c>
      <c r="K1290">
        <v>254233678</v>
      </c>
      <c r="L1290">
        <v>322684017</v>
      </c>
      <c r="M1290">
        <v>353700038</v>
      </c>
      <c r="N1290">
        <v>323171324</v>
      </c>
      <c r="O1290">
        <v>334264158</v>
      </c>
      <c r="P1290">
        <v>172</v>
      </c>
      <c r="Q1290" t="s">
        <v>2878</v>
      </c>
    </row>
    <row r="1291" spans="1:17" x14ac:dyDescent="0.3">
      <c r="A1291" t="s">
        <v>75</v>
      </c>
      <c r="B1291" t="str">
        <f>"002335"</f>
        <v>002335</v>
      </c>
      <c r="C1291" t="s">
        <v>2879</v>
      </c>
      <c r="D1291" t="s">
        <v>2692</v>
      </c>
      <c r="E1291">
        <v>1081796228</v>
      </c>
      <c r="F1291">
        <v>1005964520</v>
      </c>
      <c r="G1291">
        <v>826336574</v>
      </c>
      <c r="H1291">
        <v>774546234</v>
      </c>
      <c r="I1291">
        <v>576555340</v>
      </c>
      <c r="J1291">
        <v>325544876</v>
      </c>
      <c r="K1291">
        <v>313238490</v>
      </c>
      <c r="L1291">
        <v>242190802</v>
      </c>
      <c r="M1291">
        <v>197670435</v>
      </c>
      <c r="N1291">
        <v>164069421</v>
      </c>
      <c r="O1291">
        <v>141676391</v>
      </c>
      <c r="P1291">
        <v>431</v>
      </c>
      <c r="Q1291" t="s">
        <v>2880</v>
      </c>
    </row>
    <row r="1292" spans="1:17" x14ac:dyDescent="0.3">
      <c r="A1292" t="s">
        <v>17</v>
      </c>
      <c r="B1292" t="str">
        <f>"603169"</f>
        <v>603169</v>
      </c>
      <c r="C1292" t="s">
        <v>2881</v>
      </c>
      <c r="D1292" t="s">
        <v>786</v>
      </c>
      <c r="E1292">
        <v>1081296969</v>
      </c>
      <c r="F1292">
        <v>655446289</v>
      </c>
      <c r="G1292">
        <v>888971817</v>
      </c>
      <c r="H1292">
        <v>800873627</v>
      </c>
      <c r="I1292">
        <v>587348212</v>
      </c>
      <c r="J1292">
        <v>586946577</v>
      </c>
      <c r="K1292">
        <v>264715525</v>
      </c>
      <c r="L1292">
        <v>275486751</v>
      </c>
      <c r="M1292">
        <v>284993291</v>
      </c>
      <c r="P1292">
        <v>81</v>
      </c>
      <c r="Q1292" t="s">
        <v>2882</v>
      </c>
    </row>
    <row r="1293" spans="1:17" x14ac:dyDescent="0.3">
      <c r="A1293" t="s">
        <v>75</v>
      </c>
      <c r="B1293" t="str">
        <f>"002716"</f>
        <v>002716</v>
      </c>
      <c r="C1293" t="s">
        <v>2883</v>
      </c>
      <c r="D1293" t="s">
        <v>249</v>
      </c>
      <c r="E1293">
        <v>1076782847</v>
      </c>
      <c r="F1293">
        <v>14116636</v>
      </c>
      <c r="G1293">
        <v>333350402</v>
      </c>
      <c r="H1293">
        <v>1836422512</v>
      </c>
      <c r="I1293">
        <v>2458734432</v>
      </c>
      <c r="J1293">
        <v>2953214350</v>
      </c>
      <c r="K1293">
        <v>1437843423</v>
      </c>
      <c r="L1293">
        <v>1475565684</v>
      </c>
      <c r="M1293">
        <v>1100452399</v>
      </c>
      <c r="N1293">
        <v>864320368</v>
      </c>
      <c r="P1293">
        <v>129</v>
      </c>
      <c r="Q1293" t="s">
        <v>2884</v>
      </c>
    </row>
    <row r="1294" spans="1:17" x14ac:dyDescent="0.3">
      <c r="A1294" t="s">
        <v>17</v>
      </c>
      <c r="B1294" t="str">
        <f>"600557"</f>
        <v>600557</v>
      </c>
      <c r="C1294" t="s">
        <v>2885</v>
      </c>
      <c r="D1294" t="s">
        <v>321</v>
      </c>
      <c r="E1294">
        <v>1075565704</v>
      </c>
      <c r="F1294">
        <v>827856016</v>
      </c>
      <c r="G1294">
        <v>974928749</v>
      </c>
      <c r="H1294">
        <v>1312855120</v>
      </c>
      <c r="I1294">
        <v>1191158035</v>
      </c>
      <c r="J1294">
        <v>706510056</v>
      </c>
      <c r="K1294">
        <v>880423301</v>
      </c>
      <c r="L1294">
        <v>658802880</v>
      </c>
      <c r="M1294">
        <v>588774565</v>
      </c>
      <c r="N1294">
        <v>593837670</v>
      </c>
      <c r="O1294">
        <v>394230521</v>
      </c>
      <c r="P1294">
        <v>427</v>
      </c>
      <c r="Q1294" t="s">
        <v>2886</v>
      </c>
    </row>
    <row r="1295" spans="1:17" x14ac:dyDescent="0.3">
      <c r="A1295" t="s">
        <v>17</v>
      </c>
      <c r="B1295" t="str">
        <f>"601126"</f>
        <v>601126</v>
      </c>
      <c r="C1295" t="s">
        <v>2887</v>
      </c>
      <c r="D1295" t="s">
        <v>682</v>
      </c>
      <c r="E1295">
        <v>1070332344</v>
      </c>
      <c r="F1295">
        <v>1153292314</v>
      </c>
      <c r="G1295">
        <v>719391886</v>
      </c>
      <c r="H1295">
        <v>1021525220</v>
      </c>
      <c r="I1295">
        <v>757751204</v>
      </c>
      <c r="J1295">
        <v>665504661</v>
      </c>
      <c r="K1295">
        <v>628422435</v>
      </c>
      <c r="L1295">
        <v>571006628</v>
      </c>
      <c r="M1295">
        <v>593716584</v>
      </c>
      <c r="N1295">
        <v>458234137</v>
      </c>
      <c r="O1295">
        <v>336973162</v>
      </c>
      <c r="P1295">
        <v>279</v>
      </c>
      <c r="Q1295" t="s">
        <v>2888</v>
      </c>
    </row>
    <row r="1296" spans="1:17" x14ac:dyDescent="0.3">
      <c r="A1296" t="s">
        <v>75</v>
      </c>
      <c r="B1296" t="str">
        <f>"000917"</f>
        <v>000917</v>
      </c>
      <c r="C1296" t="s">
        <v>2889</v>
      </c>
      <c r="D1296" t="s">
        <v>1991</v>
      </c>
      <c r="E1296">
        <v>1069839312</v>
      </c>
      <c r="F1296">
        <v>1193514012</v>
      </c>
      <c r="G1296">
        <v>1257911222</v>
      </c>
      <c r="H1296">
        <v>1490653050</v>
      </c>
      <c r="I1296">
        <v>2452832124</v>
      </c>
      <c r="J1296">
        <v>1951362945</v>
      </c>
      <c r="K1296">
        <v>1823193853</v>
      </c>
      <c r="L1296">
        <v>1298653891</v>
      </c>
      <c r="M1296">
        <v>1118208988</v>
      </c>
      <c r="N1296">
        <v>975824626</v>
      </c>
      <c r="O1296">
        <v>736055902</v>
      </c>
      <c r="P1296">
        <v>267</v>
      </c>
      <c r="Q1296" t="s">
        <v>2890</v>
      </c>
    </row>
    <row r="1297" spans="1:17" x14ac:dyDescent="0.3">
      <c r="A1297" t="s">
        <v>75</v>
      </c>
      <c r="B1297" t="str">
        <f>"000733"</f>
        <v>000733</v>
      </c>
      <c r="C1297" t="s">
        <v>2891</v>
      </c>
      <c r="D1297" t="s">
        <v>1572</v>
      </c>
      <c r="E1297">
        <v>1069493408</v>
      </c>
      <c r="F1297">
        <v>838374879</v>
      </c>
      <c r="G1297">
        <v>498386652</v>
      </c>
      <c r="H1297">
        <v>586846739</v>
      </c>
      <c r="I1297">
        <v>1119407849</v>
      </c>
      <c r="J1297">
        <v>1595208567</v>
      </c>
      <c r="K1297">
        <v>1065849617</v>
      </c>
      <c r="L1297">
        <v>587094999</v>
      </c>
      <c r="M1297">
        <v>606886878</v>
      </c>
      <c r="N1297">
        <v>476709129</v>
      </c>
      <c r="O1297">
        <v>521134616</v>
      </c>
      <c r="P1297">
        <v>490</v>
      </c>
      <c r="Q1297" t="s">
        <v>2892</v>
      </c>
    </row>
    <row r="1298" spans="1:17" x14ac:dyDescent="0.3">
      <c r="A1298" t="s">
        <v>75</v>
      </c>
      <c r="B1298" t="str">
        <f>"002485"</f>
        <v>002485</v>
      </c>
      <c r="C1298" t="s">
        <v>2893</v>
      </c>
      <c r="D1298" t="s">
        <v>814</v>
      </c>
      <c r="E1298">
        <v>1065519988</v>
      </c>
      <c r="F1298">
        <v>253787884</v>
      </c>
      <c r="G1298">
        <v>256315625</v>
      </c>
      <c r="H1298">
        <v>605821365</v>
      </c>
      <c r="I1298">
        <v>133394368</v>
      </c>
      <c r="J1298">
        <v>202473434</v>
      </c>
      <c r="K1298">
        <v>202033650</v>
      </c>
      <c r="L1298">
        <v>300261038</v>
      </c>
      <c r="M1298">
        <v>217865800</v>
      </c>
      <c r="N1298">
        <v>273752668</v>
      </c>
      <c r="O1298">
        <v>251771388</v>
      </c>
      <c r="P1298">
        <v>80</v>
      </c>
      <c r="Q1298" t="s">
        <v>2894</v>
      </c>
    </row>
    <row r="1299" spans="1:17" x14ac:dyDescent="0.3">
      <c r="A1299" t="s">
        <v>17</v>
      </c>
      <c r="B1299" t="str">
        <f>"600848"</f>
        <v>600848</v>
      </c>
      <c r="C1299" t="s">
        <v>2895</v>
      </c>
      <c r="D1299" t="s">
        <v>806</v>
      </c>
      <c r="E1299">
        <v>1065293166</v>
      </c>
      <c r="F1299">
        <v>1436777435</v>
      </c>
      <c r="G1299">
        <v>975273102</v>
      </c>
      <c r="H1299">
        <v>393175772</v>
      </c>
      <c r="I1299">
        <v>344664913</v>
      </c>
      <c r="J1299">
        <v>733019522</v>
      </c>
      <c r="K1299">
        <v>155453168</v>
      </c>
      <c r="L1299">
        <v>140415213</v>
      </c>
      <c r="M1299">
        <v>188623782</v>
      </c>
      <c r="N1299">
        <v>175262086</v>
      </c>
      <c r="O1299">
        <v>143439849</v>
      </c>
      <c r="P1299">
        <v>271</v>
      </c>
      <c r="Q1299" t="s">
        <v>2896</v>
      </c>
    </row>
    <row r="1300" spans="1:17" x14ac:dyDescent="0.3">
      <c r="A1300" t="s">
        <v>75</v>
      </c>
      <c r="B1300" t="str">
        <f>"000958"</f>
        <v>000958</v>
      </c>
      <c r="C1300" t="s">
        <v>2897</v>
      </c>
      <c r="D1300" t="s">
        <v>88</v>
      </c>
      <c r="E1300">
        <v>1065013333</v>
      </c>
      <c r="F1300">
        <v>1649189355</v>
      </c>
      <c r="G1300">
        <v>1751263792</v>
      </c>
      <c r="H1300">
        <v>572027897</v>
      </c>
      <c r="I1300">
        <v>607966937</v>
      </c>
      <c r="J1300">
        <v>584618774</v>
      </c>
      <c r="K1300">
        <v>646828391</v>
      </c>
      <c r="L1300">
        <v>264348193</v>
      </c>
      <c r="M1300">
        <v>94350810</v>
      </c>
      <c r="N1300">
        <v>349731766</v>
      </c>
      <c r="O1300">
        <v>251366419</v>
      </c>
      <c r="P1300">
        <v>162</v>
      </c>
      <c r="Q1300" t="s">
        <v>2898</v>
      </c>
    </row>
    <row r="1301" spans="1:17" x14ac:dyDescent="0.3">
      <c r="A1301" t="s">
        <v>75</v>
      </c>
      <c r="B1301" t="str">
        <f>"301050"</f>
        <v>301050</v>
      </c>
      <c r="C1301" t="s">
        <v>2899</v>
      </c>
      <c r="D1301" t="s">
        <v>1572</v>
      </c>
      <c r="E1301">
        <v>1064694300</v>
      </c>
      <c r="F1301">
        <v>65913800</v>
      </c>
      <c r="G1301">
        <v>30350452</v>
      </c>
      <c r="P1301">
        <v>31</v>
      </c>
      <c r="Q1301" t="s">
        <v>2900</v>
      </c>
    </row>
    <row r="1302" spans="1:17" x14ac:dyDescent="0.3">
      <c r="A1302" t="s">
        <v>17</v>
      </c>
      <c r="B1302" t="str">
        <f>"688658"</f>
        <v>688658</v>
      </c>
      <c r="C1302" t="s">
        <v>2901</v>
      </c>
      <c r="D1302" t="s">
        <v>543</v>
      </c>
      <c r="E1302">
        <v>1056790930</v>
      </c>
      <c r="F1302">
        <v>1091062823</v>
      </c>
      <c r="G1302">
        <v>0</v>
      </c>
      <c r="H1302">
        <v>0</v>
      </c>
      <c r="P1302">
        <v>75</v>
      </c>
      <c r="Q1302" t="s">
        <v>2902</v>
      </c>
    </row>
    <row r="1303" spans="1:17" x14ac:dyDescent="0.3">
      <c r="A1303" t="s">
        <v>75</v>
      </c>
      <c r="B1303" t="str">
        <f>"002635"</f>
        <v>002635</v>
      </c>
      <c r="C1303" t="s">
        <v>2903</v>
      </c>
      <c r="D1303" t="s">
        <v>55</v>
      </c>
      <c r="E1303">
        <v>1054642950</v>
      </c>
      <c r="F1303">
        <v>727694098</v>
      </c>
      <c r="G1303">
        <v>772714520</v>
      </c>
      <c r="H1303">
        <v>945151166</v>
      </c>
      <c r="I1303">
        <v>866965578</v>
      </c>
      <c r="J1303">
        <v>482141439</v>
      </c>
      <c r="K1303">
        <v>624503832</v>
      </c>
      <c r="L1303">
        <v>380297649</v>
      </c>
      <c r="M1303">
        <v>164527605</v>
      </c>
      <c r="N1303">
        <v>190650279</v>
      </c>
      <c r="O1303">
        <v>155612179</v>
      </c>
      <c r="P1303">
        <v>513</v>
      </c>
      <c r="Q1303" t="s">
        <v>2904</v>
      </c>
    </row>
    <row r="1304" spans="1:17" x14ac:dyDescent="0.3">
      <c r="A1304" t="s">
        <v>75</v>
      </c>
      <c r="B1304" t="str">
        <f>"002047"</f>
        <v>002047</v>
      </c>
      <c r="C1304" t="s">
        <v>2905</v>
      </c>
      <c r="D1304" t="s">
        <v>707</v>
      </c>
      <c r="E1304">
        <v>1054079692</v>
      </c>
      <c r="F1304">
        <v>1378049519</v>
      </c>
      <c r="G1304">
        <v>1418807563</v>
      </c>
      <c r="H1304">
        <v>1015508139</v>
      </c>
      <c r="I1304">
        <v>1180456266</v>
      </c>
      <c r="J1304">
        <v>1149454803</v>
      </c>
      <c r="K1304">
        <v>1250126722</v>
      </c>
      <c r="L1304">
        <v>1438934938</v>
      </c>
      <c r="M1304">
        <v>458641679</v>
      </c>
      <c r="N1304">
        <v>319706510</v>
      </c>
      <c r="O1304">
        <v>289865484</v>
      </c>
      <c r="P1304">
        <v>103</v>
      </c>
      <c r="Q1304" t="s">
        <v>2906</v>
      </c>
    </row>
    <row r="1305" spans="1:17" x14ac:dyDescent="0.3">
      <c r="A1305" t="s">
        <v>17</v>
      </c>
      <c r="B1305" t="str">
        <f>"688068"</f>
        <v>688068</v>
      </c>
      <c r="C1305" t="s">
        <v>2907</v>
      </c>
      <c r="D1305" t="s">
        <v>967</v>
      </c>
      <c r="E1305">
        <v>1053296631</v>
      </c>
      <c r="F1305">
        <v>1642402333</v>
      </c>
      <c r="G1305">
        <v>72579920</v>
      </c>
      <c r="H1305">
        <v>0</v>
      </c>
      <c r="I1305">
        <v>0</v>
      </c>
      <c r="P1305">
        <v>254</v>
      </c>
      <c r="Q1305" t="s">
        <v>2908</v>
      </c>
    </row>
    <row r="1306" spans="1:17" x14ac:dyDescent="0.3">
      <c r="A1306" t="s">
        <v>17</v>
      </c>
      <c r="B1306" t="str">
        <f>"688097"</f>
        <v>688097</v>
      </c>
      <c r="C1306" t="s">
        <v>2909</v>
      </c>
      <c r="D1306" t="s">
        <v>2910</v>
      </c>
      <c r="E1306">
        <v>1050363519</v>
      </c>
      <c r="F1306">
        <v>785421473</v>
      </c>
      <c r="G1306">
        <v>425565940</v>
      </c>
      <c r="P1306">
        <v>25</v>
      </c>
      <c r="Q1306" t="s">
        <v>2911</v>
      </c>
    </row>
    <row r="1307" spans="1:17" x14ac:dyDescent="0.3">
      <c r="A1307" t="s">
        <v>75</v>
      </c>
      <c r="B1307" t="str">
        <f>"000650"</f>
        <v>000650</v>
      </c>
      <c r="C1307" t="s">
        <v>2912</v>
      </c>
      <c r="D1307" t="s">
        <v>321</v>
      </c>
      <c r="E1307">
        <v>1049759062</v>
      </c>
      <c r="F1307">
        <v>925048347</v>
      </c>
      <c r="G1307">
        <v>745773495</v>
      </c>
      <c r="H1307">
        <v>985952784</v>
      </c>
      <c r="I1307">
        <v>961542784</v>
      </c>
      <c r="J1307">
        <v>742237992</v>
      </c>
      <c r="K1307">
        <v>836903866</v>
      </c>
      <c r="L1307">
        <v>571991328</v>
      </c>
      <c r="M1307">
        <v>406662768</v>
      </c>
      <c r="N1307">
        <v>354174570</v>
      </c>
      <c r="O1307">
        <v>686642764</v>
      </c>
      <c r="P1307">
        <v>888</v>
      </c>
      <c r="Q1307" t="s">
        <v>2913</v>
      </c>
    </row>
    <row r="1308" spans="1:17" x14ac:dyDescent="0.3">
      <c r="A1308" t="s">
        <v>17</v>
      </c>
      <c r="B1308" t="str">
        <f>"603569"</f>
        <v>603569</v>
      </c>
      <c r="C1308" t="s">
        <v>2914</v>
      </c>
      <c r="D1308" t="s">
        <v>608</v>
      </c>
      <c r="E1308">
        <v>1049382735</v>
      </c>
      <c r="F1308">
        <v>1232863535</v>
      </c>
      <c r="G1308">
        <v>1003399542</v>
      </c>
      <c r="H1308">
        <v>1533735617</v>
      </c>
      <c r="I1308">
        <v>1345842050</v>
      </c>
      <c r="J1308">
        <v>1244863349</v>
      </c>
      <c r="K1308">
        <v>943149623</v>
      </c>
      <c r="L1308">
        <v>778832521</v>
      </c>
      <c r="P1308">
        <v>198</v>
      </c>
      <c r="Q1308" t="s">
        <v>2915</v>
      </c>
    </row>
    <row r="1309" spans="1:17" x14ac:dyDescent="0.3">
      <c r="A1309" t="s">
        <v>17</v>
      </c>
      <c r="B1309" t="str">
        <f>"600651"</f>
        <v>600651</v>
      </c>
      <c r="C1309" t="s">
        <v>2916</v>
      </c>
      <c r="D1309" t="s">
        <v>1044</v>
      </c>
      <c r="E1309">
        <v>1049318170</v>
      </c>
      <c r="F1309">
        <v>1252170129</v>
      </c>
      <c r="G1309">
        <v>761402492</v>
      </c>
      <c r="H1309">
        <v>860468704</v>
      </c>
      <c r="I1309">
        <v>1288907629</v>
      </c>
      <c r="J1309">
        <v>1126782137</v>
      </c>
      <c r="K1309">
        <v>1093838540</v>
      </c>
      <c r="L1309">
        <v>610328842</v>
      </c>
      <c r="M1309">
        <v>435556280</v>
      </c>
      <c r="N1309">
        <v>429673129</v>
      </c>
      <c r="O1309">
        <v>414072395</v>
      </c>
      <c r="P1309">
        <v>112</v>
      </c>
      <c r="Q1309" t="s">
        <v>2917</v>
      </c>
    </row>
    <row r="1310" spans="1:17" x14ac:dyDescent="0.3">
      <c r="A1310" t="s">
        <v>17</v>
      </c>
      <c r="B1310" t="str">
        <f>"600983"</f>
        <v>600983</v>
      </c>
      <c r="C1310" t="s">
        <v>2918</v>
      </c>
      <c r="D1310" t="s">
        <v>110</v>
      </c>
      <c r="E1310">
        <v>1048231019</v>
      </c>
      <c r="F1310">
        <v>1320826353</v>
      </c>
      <c r="G1310">
        <v>885574376</v>
      </c>
      <c r="H1310">
        <v>1290443521</v>
      </c>
      <c r="I1310">
        <v>1470005889</v>
      </c>
      <c r="J1310">
        <v>2101259620</v>
      </c>
      <c r="K1310">
        <v>1553622324</v>
      </c>
      <c r="L1310">
        <v>1555195037</v>
      </c>
      <c r="M1310">
        <v>1592930427</v>
      </c>
      <c r="N1310">
        <v>1243177079</v>
      </c>
      <c r="O1310">
        <v>1204429625</v>
      </c>
      <c r="P1310">
        <v>128</v>
      </c>
      <c r="Q1310" t="s">
        <v>2919</v>
      </c>
    </row>
    <row r="1311" spans="1:17" x14ac:dyDescent="0.3">
      <c r="A1311" t="s">
        <v>17</v>
      </c>
      <c r="B1311" t="str">
        <f>"603511"</f>
        <v>603511</v>
      </c>
      <c r="C1311" t="s">
        <v>2920</v>
      </c>
      <c r="D1311" t="s">
        <v>2921</v>
      </c>
      <c r="E1311">
        <v>1045655361</v>
      </c>
      <c r="F1311">
        <v>984447339</v>
      </c>
      <c r="G1311">
        <v>838821645</v>
      </c>
      <c r="P1311">
        <v>47</v>
      </c>
      <c r="Q1311" t="s">
        <v>2922</v>
      </c>
    </row>
    <row r="1312" spans="1:17" x14ac:dyDescent="0.3">
      <c r="A1312" t="s">
        <v>17</v>
      </c>
      <c r="B1312" t="str">
        <f>"600633"</f>
        <v>600633</v>
      </c>
      <c r="C1312" t="s">
        <v>2923</v>
      </c>
      <c r="D1312" t="s">
        <v>1165</v>
      </c>
      <c r="E1312">
        <v>1044855454</v>
      </c>
      <c r="F1312">
        <v>774120581</v>
      </c>
      <c r="G1312">
        <v>962433808</v>
      </c>
      <c r="H1312">
        <v>635570323</v>
      </c>
      <c r="I1312">
        <v>446201039</v>
      </c>
      <c r="J1312">
        <v>886180896</v>
      </c>
      <c r="K1312">
        <v>659347937</v>
      </c>
      <c r="L1312">
        <v>628580762</v>
      </c>
      <c r="M1312">
        <v>520875015</v>
      </c>
      <c r="N1312">
        <v>329270886</v>
      </c>
      <c r="O1312">
        <v>257201615</v>
      </c>
      <c r="P1312">
        <v>325</v>
      </c>
      <c r="Q1312" t="s">
        <v>2924</v>
      </c>
    </row>
    <row r="1313" spans="1:17" x14ac:dyDescent="0.3">
      <c r="A1313" t="s">
        <v>75</v>
      </c>
      <c r="B1313" t="str">
        <f>"002672"</f>
        <v>002672</v>
      </c>
      <c r="C1313" t="s">
        <v>2925</v>
      </c>
      <c r="D1313" t="s">
        <v>1187</v>
      </c>
      <c r="E1313">
        <v>1044840888</v>
      </c>
      <c r="F1313">
        <v>827435293</v>
      </c>
      <c r="G1313">
        <v>797080452</v>
      </c>
      <c r="H1313">
        <v>924944789</v>
      </c>
      <c r="I1313">
        <v>909427791</v>
      </c>
      <c r="J1313">
        <v>725889831</v>
      </c>
      <c r="K1313">
        <v>613536376</v>
      </c>
      <c r="L1313">
        <v>472904601</v>
      </c>
      <c r="M1313">
        <v>385460480</v>
      </c>
      <c r="N1313">
        <v>415909566</v>
      </c>
      <c r="O1313">
        <v>354988872</v>
      </c>
      <c r="P1313">
        <v>317</v>
      </c>
      <c r="Q1313" t="s">
        <v>2926</v>
      </c>
    </row>
    <row r="1314" spans="1:17" x14ac:dyDescent="0.3">
      <c r="A1314" t="s">
        <v>17</v>
      </c>
      <c r="B1314" t="str">
        <f>"603218"</f>
        <v>603218</v>
      </c>
      <c r="C1314" t="s">
        <v>2927</v>
      </c>
      <c r="D1314" t="s">
        <v>1398</v>
      </c>
      <c r="E1314">
        <v>1043753732</v>
      </c>
      <c r="F1314">
        <v>1017920969</v>
      </c>
      <c r="G1314">
        <v>989563291</v>
      </c>
      <c r="H1314">
        <v>400316133</v>
      </c>
      <c r="I1314">
        <v>446215761</v>
      </c>
      <c r="J1314">
        <v>376927298</v>
      </c>
      <c r="K1314">
        <v>467361329</v>
      </c>
      <c r="P1314">
        <v>566</v>
      </c>
      <c r="Q1314" t="s">
        <v>2928</v>
      </c>
    </row>
    <row r="1315" spans="1:17" x14ac:dyDescent="0.3">
      <c r="A1315" t="s">
        <v>75</v>
      </c>
      <c r="B1315" t="str">
        <f>"002988"</f>
        <v>002988</v>
      </c>
      <c r="C1315" t="s">
        <v>2929</v>
      </c>
      <c r="D1315" t="s">
        <v>96</v>
      </c>
      <c r="E1315">
        <v>1042135440</v>
      </c>
      <c r="F1315">
        <v>774835289</v>
      </c>
      <c r="G1315">
        <v>498941836</v>
      </c>
      <c r="H1315">
        <v>614400141</v>
      </c>
      <c r="P1315">
        <v>61</v>
      </c>
      <c r="Q1315" t="s">
        <v>2930</v>
      </c>
    </row>
    <row r="1316" spans="1:17" x14ac:dyDescent="0.3">
      <c r="A1316" t="s">
        <v>17</v>
      </c>
      <c r="B1316" t="str">
        <f>"600590"</f>
        <v>600590</v>
      </c>
      <c r="C1316" t="s">
        <v>2931</v>
      </c>
      <c r="D1316" t="s">
        <v>682</v>
      </c>
      <c r="E1316">
        <v>1041842879</v>
      </c>
      <c r="F1316">
        <v>1155219889</v>
      </c>
      <c r="G1316">
        <v>1490433631</v>
      </c>
      <c r="H1316">
        <v>2574497843</v>
      </c>
      <c r="I1316">
        <v>1156192120</v>
      </c>
      <c r="J1316">
        <v>809233620</v>
      </c>
      <c r="K1316">
        <v>694725200</v>
      </c>
      <c r="L1316">
        <v>613744752</v>
      </c>
      <c r="M1316">
        <v>511273422</v>
      </c>
      <c r="N1316">
        <v>575384294</v>
      </c>
      <c r="O1316">
        <v>621410615</v>
      </c>
      <c r="P1316">
        <v>168</v>
      </c>
      <c r="Q1316" t="s">
        <v>2932</v>
      </c>
    </row>
    <row r="1317" spans="1:17" x14ac:dyDescent="0.3">
      <c r="A1317" t="s">
        <v>75</v>
      </c>
      <c r="B1317" t="str">
        <f>"002434"</f>
        <v>002434</v>
      </c>
      <c r="C1317" t="s">
        <v>2933</v>
      </c>
      <c r="D1317" t="s">
        <v>172</v>
      </c>
      <c r="E1317">
        <v>1039186867</v>
      </c>
      <c r="F1317">
        <v>1332355448</v>
      </c>
      <c r="G1317">
        <v>1235696963</v>
      </c>
      <c r="H1317">
        <v>1162732832</v>
      </c>
      <c r="I1317">
        <v>1049555703</v>
      </c>
      <c r="J1317">
        <v>1412158438</v>
      </c>
      <c r="K1317">
        <v>694848305</v>
      </c>
      <c r="L1317">
        <v>436708859</v>
      </c>
      <c r="M1317">
        <v>443043630</v>
      </c>
      <c r="N1317">
        <v>499321749</v>
      </c>
      <c r="O1317">
        <v>372415389</v>
      </c>
      <c r="P1317">
        <v>238</v>
      </c>
      <c r="Q1317" t="s">
        <v>2934</v>
      </c>
    </row>
    <row r="1318" spans="1:17" x14ac:dyDescent="0.3">
      <c r="A1318" t="s">
        <v>75</v>
      </c>
      <c r="B1318" t="str">
        <f>"000061"</f>
        <v>000061</v>
      </c>
      <c r="C1318" t="s">
        <v>2935</v>
      </c>
      <c r="D1318" t="s">
        <v>378</v>
      </c>
      <c r="E1318">
        <v>1036233191</v>
      </c>
      <c r="F1318">
        <v>1032374722</v>
      </c>
      <c r="G1318">
        <v>564389199</v>
      </c>
      <c r="H1318">
        <v>740411909</v>
      </c>
      <c r="I1318">
        <v>614073590</v>
      </c>
      <c r="J1318">
        <v>562481888</v>
      </c>
      <c r="K1318">
        <v>582960191</v>
      </c>
      <c r="L1318">
        <v>368786085</v>
      </c>
      <c r="M1318">
        <v>441807693</v>
      </c>
      <c r="N1318">
        <v>448314839</v>
      </c>
      <c r="O1318">
        <v>332450585</v>
      </c>
      <c r="P1318">
        <v>209</v>
      </c>
      <c r="Q1318" t="s">
        <v>2936</v>
      </c>
    </row>
    <row r="1319" spans="1:17" x14ac:dyDescent="0.3">
      <c r="A1319" t="s">
        <v>17</v>
      </c>
      <c r="B1319" t="str">
        <f>"600012"</f>
        <v>600012</v>
      </c>
      <c r="C1319" t="s">
        <v>2937</v>
      </c>
      <c r="D1319" t="s">
        <v>1248</v>
      </c>
      <c r="E1319">
        <v>1035531772</v>
      </c>
      <c r="F1319">
        <v>814758091</v>
      </c>
      <c r="G1319">
        <v>349019574</v>
      </c>
      <c r="H1319">
        <v>745816644</v>
      </c>
      <c r="I1319">
        <v>721729025</v>
      </c>
      <c r="J1319">
        <v>687469140</v>
      </c>
      <c r="K1319">
        <v>693383080</v>
      </c>
      <c r="L1319">
        <v>604404687</v>
      </c>
      <c r="M1319">
        <v>579280148</v>
      </c>
      <c r="N1319">
        <v>567858622</v>
      </c>
      <c r="O1319">
        <v>606998372</v>
      </c>
      <c r="P1319">
        <v>805</v>
      </c>
      <c r="Q1319" t="s">
        <v>2938</v>
      </c>
    </row>
    <row r="1320" spans="1:17" x14ac:dyDescent="0.3">
      <c r="A1320" t="s">
        <v>75</v>
      </c>
      <c r="B1320" t="str">
        <f>"300418"</f>
        <v>300418</v>
      </c>
      <c r="C1320" t="s">
        <v>2939</v>
      </c>
      <c r="D1320" t="s">
        <v>1165</v>
      </c>
      <c r="E1320">
        <v>1035179368</v>
      </c>
      <c r="F1320">
        <v>731029999</v>
      </c>
      <c r="G1320">
        <v>949303565</v>
      </c>
      <c r="H1320">
        <v>755808515</v>
      </c>
      <c r="I1320">
        <v>748845251</v>
      </c>
      <c r="J1320">
        <v>788585447</v>
      </c>
      <c r="K1320">
        <v>372786625</v>
      </c>
      <c r="L1320">
        <v>349289503</v>
      </c>
      <c r="M1320">
        <v>398515794</v>
      </c>
      <c r="P1320">
        <v>17528</v>
      </c>
      <c r="Q1320" t="s">
        <v>2940</v>
      </c>
    </row>
    <row r="1321" spans="1:17" x14ac:dyDescent="0.3">
      <c r="A1321" t="s">
        <v>75</v>
      </c>
      <c r="B1321" t="str">
        <f>"002583"</f>
        <v>002583</v>
      </c>
      <c r="C1321" t="s">
        <v>2941</v>
      </c>
      <c r="D1321" t="s">
        <v>169</v>
      </c>
      <c r="E1321">
        <v>1034580284</v>
      </c>
      <c r="F1321">
        <v>1612221697</v>
      </c>
      <c r="G1321">
        <v>1734208919</v>
      </c>
      <c r="H1321">
        <v>1494311561</v>
      </c>
      <c r="I1321">
        <v>1172858140</v>
      </c>
      <c r="J1321">
        <v>732774567</v>
      </c>
      <c r="K1321">
        <v>404116775</v>
      </c>
      <c r="L1321">
        <v>399903700</v>
      </c>
      <c r="M1321">
        <v>361552825</v>
      </c>
      <c r="N1321">
        <v>236566535</v>
      </c>
      <c r="O1321">
        <v>174932065</v>
      </c>
      <c r="P1321">
        <v>397</v>
      </c>
      <c r="Q1321" t="s">
        <v>2942</v>
      </c>
    </row>
    <row r="1322" spans="1:17" x14ac:dyDescent="0.3">
      <c r="A1322" t="s">
        <v>75</v>
      </c>
      <c r="B1322" t="str">
        <f>"300002"</f>
        <v>300002</v>
      </c>
      <c r="C1322" t="s">
        <v>2943</v>
      </c>
      <c r="D1322" t="s">
        <v>1165</v>
      </c>
      <c r="E1322">
        <v>1034338666</v>
      </c>
      <c r="F1322">
        <v>798184790</v>
      </c>
      <c r="G1322">
        <v>452508730</v>
      </c>
      <c r="H1322">
        <v>366993375</v>
      </c>
      <c r="I1322">
        <v>376882366</v>
      </c>
      <c r="J1322">
        <v>694345866</v>
      </c>
      <c r="K1322">
        <v>627423243</v>
      </c>
      <c r="L1322">
        <v>480448985</v>
      </c>
      <c r="M1322">
        <v>353495342</v>
      </c>
      <c r="N1322">
        <v>369745132</v>
      </c>
      <c r="O1322">
        <v>173487653</v>
      </c>
      <c r="P1322">
        <v>282</v>
      </c>
      <c r="Q1322" t="s">
        <v>2944</v>
      </c>
    </row>
    <row r="1323" spans="1:17" x14ac:dyDescent="0.3">
      <c r="A1323" t="s">
        <v>75</v>
      </c>
      <c r="B1323" t="str">
        <f>"002127"</f>
        <v>002127</v>
      </c>
      <c r="C1323" t="s">
        <v>2945</v>
      </c>
      <c r="D1323" t="s">
        <v>2946</v>
      </c>
      <c r="E1323">
        <v>1032543737</v>
      </c>
      <c r="F1323">
        <v>1019633072</v>
      </c>
      <c r="G1323">
        <v>639787970</v>
      </c>
      <c r="H1323">
        <v>652539512</v>
      </c>
      <c r="I1323">
        <v>516038247</v>
      </c>
      <c r="J1323">
        <v>99041378</v>
      </c>
      <c r="K1323">
        <v>53497384</v>
      </c>
      <c r="L1323">
        <v>295206237</v>
      </c>
      <c r="M1323">
        <v>548826751</v>
      </c>
      <c r="N1323">
        <v>943579139</v>
      </c>
      <c r="O1323">
        <v>925257878</v>
      </c>
      <c r="P1323">
        <v>1745</v>
      </c>
      <c r="Q1323" t="s">
        <v>2947</v>
      </c>
    </row>
    <row r="1324" spans="1:17" x14ac:dyDescent="0.3">
      <c r="A1324" t="s">
        <v>17</v>
      </c>
      <c r="B1324" t="str">
        <f>"603920"</f>
        <v>603920</v>
      </c>
      <c r="C1324" t="s">
        <v>2948</v>
      </c>
      <c r="D1324" t="s">
        <v>567</v>
      </c>
      <c r="E1324">
        <v>1032302493</v>
      </c>
      <c r="F1324">
        <v>753470585</v>
      </c>
      <c r="G1324">
        <v>668070699</v>
      </c>
      <c r="H1324">
        <v>571741516</v>
      </c>
      <c r="I1324">
        <v>531363653</v>
      </c>
      <c r="J1324">
        <v>423753071</v>
      </c>
      <c r="K1324">
        <v>350624547</v>
      </c>
      <c r="P1324">
        <v>267</v>
      </c>
      <c r="Q1324" t="s">
        <v>2949</v>
      </c>
    </row>
    <row r="1325" spans="1:17" x14ac:dyDescent="0.3">
      <c r="A1325" t="s">
        <v>75</v>
      </c>
      <c r="B1325" t="str">
        <f>"301217"</f>
        <v>301217</v>
      </c>
      <c r="C1325" t="s">
        <v>2950</v>
      </c>
      <c r="E1325">
        <v>1032019711</v>
      </c>
      <c r="P1325">
        <v>16</v>
      </c>
      <c r="Q1325" t="s">
        <v>2951</v>
      </c>
    </row>
    <row r="1326" spans="1:17" x14ac:dyDescent="0.3">
      <c r="A1326" t="s">
        <v>75</v>
      </c>
      <c r="B1326" t="str">
        <f>"300676"</f>
        <v>300676</v>
      </c>
      <c r="C1326" t="s">
        <v>2952</v>
      </c>
      <c r="D1326" t="s">
        <v>967</v>
      </c>
      <c r="E1326">
        <v>1031713557</v>
      </c>
      <c r="F1326">
        <v>1712103659</v>
      </c>
      <c r="G1326">
        <v>1001603410</v>
      </c>
      <c r="H1326">
        <v>453241538</v>
      </c>
      <c r="I1326">
        <v>394498158</v>
      </c>
      <c r="J1326">
        <v>345964590</v>
      </c>
      <c r="K1326">
        <v>297591411</v>
      </c>
      <c r="P1326">
        <v>1481</v>
      </c>
      <c r="Q1326" t="s">
        <v>2953</v>
      </c>
    </row>
    <row r="1327" spans="1:17" x14ac:dyDescent="0.3">
      <c r="A1327" t="s">
        <v>75</v>
      </c>
      <c r="B1327" t="str">
        <f>"002285"</f>
        <v>002285</v>
      </c>
      <c r="C1327" t="s">
        <v>2954</v>
      </c>
      <c r="D1327" t="s">
        <v>1211</v>
      </c>
      <c r="E1327">
        <v>1031473515</v>
      </c>
      <c r="F1327">
        <v>1497261151</v>
      </c>
      <c r="G1327">
        <v>1149300334</v>
      </c>
      <c r="H1327">
        <v>1698008576</v>
      </c>
      <c r="I1327">
        <v>1608993389</v>
      </c>
      <c r="J1327">
        <v>1582167148</v>
      </c>
      <c r="K1327">
        <v>1247155115</v>
      </c>
      <c r="L1327">
        <v>775602440</v>
      </c>
      <c r="M1327">
        <v>639750960</v>
      </c>
      <c r="N1327">
        <v>515173826</v>
      </c>
      <c r="O1327">
        <v>300046046</v>
      </c>
      <c r="P1327">
        <v>477</v>
      </c>
      <c r="Q1327" t="s">
        <v>2955</v>
      </c>
    </row>
    <row r="1328" spans="1:17" x14ac:dyDescent="0.3">
      <c r="A1328" t="s">
        <v>17</v>
      </c>
      <c r="B1328" t="str">
        <f>"600969"</f>
        <v>600969</v>
      </c>
      <c r="C1328" t="s">
        <v>2956</v>
      </c>
      <c r="D1328" t="s">
        <v>457</v>
      </c>
      <c r="E1328">
        <v>1030324956</v>
      </c>
      <c r="F1328">
        <v>853913675</v>
      </c>
      <c r="G1328">
        <v>740726453</v>
      </c>
      <c r="H1328">
        <v>810141241</v>
      </c>
      <c r="I1328">
        <v>736771391</v>
      </c>
      <c r="J1328">
        <v>595087429</v>
      </c>
      <c r="K1328">
        <v>579379429</v>
      </c>
      <c r="L1328">
        <v>580327376</v>
      </c>
      <c r="M1328">
        <v>563453848</v>
      </c>
      <c r="N1328">
        <v>544147353</v>
      </c>
      <c r="O1328">
        <v>529729125</v>
      </c>
      <c r="P1328">
        <v>77</v>
      </c>
      <c r="Q1328" t="s">
        <v>2957</v>
      </c>
    </row>
    <row r="1329" spans="1:17" x14ac:dyDescent="0.3">
      <c r="A1329" t="s">
        <v>17</v>
      </c>
      <c r="B1329" t="str">
        <f>"603707"</f>
        <v>603707</v>
      </c>
      <c r="C1329" t="s">
        <v>2958</v>
      </c>
      <c r="D1329" t="s">
        <v>543</v>
      </c>
      <c r="E1329">
        <v>1027645550</v>
      </c>
      <c r="F1329">
        <v>900942026</v>
      </c>
      <c r="G1329">
        <v>766244692</v>
      </c>
      <c r="H1329">
        <v>500704338</v>
      </c>
      <c r="I1329">
        <v>385156400</v>
      </c>
      <c r="J1329">
        <v>182411387</v>
      </c>
      <c r="K1329">
        <v>0</v>
      </c>
      <c r="P1329">
        <v>771</v>
      </c>
      <c r="Q1329" t="s">
        <v>2959</v>
      </c>
    </row>
    <row r="1330" spans="1:17" x14ac:dyDescent="0.3">
      <c r="A1330" t="s">
        <v>17</v>
      </c>
      <c r="B1330" t="str">
        <f>"600337"</f>
        <v>600337</v>
      </c>
      <c r="C1330" t="s">
        <v>2960</v>
      </c>
      <c r="D1330" t="s">
        <v>1123</v>
      </c>
      <c r="E1330">
        <v>1026907531</v>
      </c>
      <c r="F1330">
        <v>1292040008</v>
      </c>
      <c r="G1330">
        <v>740800969</v>
      </c>
      <c r="H1330">
        <v>1170655901</v>
      </c>
      <c r="I1330">
        <v>1127815488</v>
      </c>
      <c r="J1330">
        <v>1047730449</v>
      </c>
      <c r="K1330">
        <v>826477308</v>
      </c>
      <c r="L1330">
        <v>690212843</v>
      </c>
      <c r="M1330">
        <v>667251677</v>
      </c>
      <c r="N1330">
        <v>653234072</v>
      </c>
      <c r="O1330">
        <v>618865589</v>
      </c>
      <c r="P1330">
        <v>226</v>
      </c>
      <c r="Q1330" t="s">
        <v>2961</v>
      </c>
    </row>
    <row r="1331" spans="1:17" x14ac:dyDescent="0.3">
      <c r="A1331" t="s">
        <v>17</v>
      </c>
      <c r="B1331" t="str">
        <f>"600258"</f>
        <v>600258</v>
      </c>
      <c r="C1331" t="s">
        <v>2962</v>
      </c>
      <c r="D1331" t="s">
        <v>1769</v>
      </c>
      <c r="E1331">
        <v>1025309155</v>
      </c>
      <c r="F1331">
        <v>1274455250</v>
      </c>
      <c r="G1331">
        <v>756248945</v>
      </c>
      <c r="H1331">
        <v>2000553753</v>
      </c>
      <c r="I1331">
        <v>1933117439</v>
      </c>
      <c r="J1331">
        <v>1920965591</v>
      </c>
      <c r="K1331">
        <v>328211404</v>
      </c>
      <c r="L1331">
        <v>329250519</v>
      </c>
      <c r="M1331">
        <v>609889860</v>
      </c>
      <c r="N1331">
        <v>634921656</v>
      </c>
      <c r="O1331">
        <v>633194162</v>
      </c>
      <c r="P1331">
        <v>514</v>
      </c>
      <c r="Q1331" t="s">
        <v>2963</v>
      </c>
    </row>
    <row r="1332" spans="1:17" x14ac:dyDescent="0.3">
      <c r="A1332" t="s">
        <v>17</v>
      </c>
      <c r="B1332" t="str">
        <f>"688012"</f>
        <v>688012</v>
      </c>
      <c r="C1332" t="s">
        <v>2964</v>
      </c>
      <c r="D1332" t="s">
        <v>1859</v>
      </c>
      <c r="E1332">
        <v>1024115875</v>
      </c>
      <c r="F1332">
        <v>447029920</v>
      </c>
      <c r="G1332">
        <v>492657687</v>
      </c>
      <c r="H1332">
        <v>451602290</v>
      </c>
      <c r="I1332">
        <v>0</v>
      </c>
      <c r="P1332">
        <v>620</v>
      </c>
      <c r="Q1332" t="s">
        <v>2965</v>
      </c>
    </row>
    <row r="1333" spans="1:17" x14ac:dyDescent="0.3">
      <c r="A1333" t="s">
        <v>17</v>
      </c>
      <c r="B1333" t="str">
        <f>"600789"</f>
        <v>600789</v>
      </c>
      <c r="C1333" t="s">
        <v>2966</v>
      </c>
      <c r="D1333" t="s">
        <v>543</v>
      </c>
      <c r="E1333">
        <v>1022926422</v>
      </c>
      <c r="F1333">
        <v>1318704582</v>
      </c>
      <c r="G1333">
        <v>990161962</v>
      </c>
      <c r="H1333">
        <v>1105426650</v>
      </c>
      <c r="I1333">
        <v>725174685</v>
      </c>
      <c r="J1333">
        <v>765207029</v>
      </c>
      <c r="K1333">
        <v>698231673</v>
      </c>
      <c r="L1333">
        <v>629803093</v>
      </c>
      <c r="M1333">
        <v>609636995</v>
      </c>
      <c r="N1333">
        <v>594518873</v>
      </c>
      <c r="O1333">
        <v>573285445</v>
      </c>
      <c r="P1333">
        <v>245</v>
      </c>
      <c r="Q1333" t="s">
        <v>2967</v>
      </c>
    </row>
    <row r="1334" spans="1:17" x14ac:dyDescent="0.3">
      <c r="A1334" t="s">
        <v>75</v>
      </c>
      <c r="B1334" t="str">
        <f>"301149"</f>
        <v>301149</v>
      </c>
      <c r="C1334" t="s">
        <v>2968</v>
      </c>
      <c r="D1334" t="s">
        <v>292</v>
      </c>
      <c r="E1334">
        <v>1022572547</v>
      </c>
      <c r="P1334">
        <v>17</v>
      </c>
      <c r="Q1334" t="s">
        <v>2969</v>
      </c>
    </row>
    <row r="1335" spans="1:17" x14ac:dyDescent="0.3">
      <c r="A1335" t="s">
        <v>17</v>
      </c>
      <c r="B1335" t="str">
        <f>"688111"</f>
        <v>688111</v>
      </c>
      <c r="C1335" t="s">
        <v>2970</v>
      </c>
      <c r="D1335" t="s">
        <v>989</v>
      </c>
      <c r="E1335">
        <v>1021289141</v>
      </c>
      <c r="F1335">
        <v>838786970</v>
      </c>
      <c r="G1335">
        <v>520292556</v>
      </c>
      <c r="H1335">
        <v>300297519</v>
      </c>
      <c r="P1335">
        <v>964</v>
      </c>
      <c r="Q1335" t="s">
        <v>2971</v>
      </c>
    </row>
    <row r="1336" spans="1:17" x14ac:dyDescent="0.3">
      <c r="A1336" t="s">
        <v>17</v>
      </c>
      <c r="B1336" t="str">
        <f>"603916"</f>
        <v>603916</v>
      </c>
      <c r="C1336" t="s">
        <v>2972</v>
      </c>
      <c r="D1336" t="s">
        <v>292</v>
      </c>
      <c r="E1336">
        <v>1018583068</v>
      </c>
      <c r="F1336">
        <v>857707620</v>
      </c>
      <c r="G1336">
        <v>578847070</v>
      </c>
      <c r="H1336">
        <v>466570064</v>
      </c>
      <c r="I1336">
        <v>339477345</v>
      </c>
      <c r="J1336">
        <v>444954496</v>
      </c>
      <c r="P1336">
        <v>273</v>
      </c>
      <c r="Q1336" t="s">
        <v>2973</v>
      </c>
    </row>
    <row r="1337" spans="1:17" x14ac:dyDescent="0.3">
      <c r="A1337" t="s">
        <v>17</v>
      </c>
      <c r="B1337" t="str">
        <f>"603890"</f>
        <v>603890</v>
      </c>
      <c r="C1337" t="s">
        <v>2974</v>
      </c>
      <c r="D1337" t="s">
        <v>55</v>
      </c>
      <c r="E1337">
        <v>1017124837</v>
      </c>
      <c r="F1337">
        <v>919403823</v>
      </c>
      <c r="G1337">
        <v>533873183</v>
      </c>
      <c r="H1337">
        <v>506565180</v>
      </c>
      <c r="I1337">
        <v>450626470</v>
      </c>
      <c r="J1337">
        <v>432091597</v>
      </c>
      <c r="P1337">
        <v>155</v>
      </c>
      <c r="Q1337" t="s">
        <v>2975</v>
      </c>
    </row>
    <row r="1338" spans="1:17" x14ac:dyDescent="0.3">
      <c r="A1338" t="s">
        <v>17</v>
      </c>
      <c r="B1338" t="str">
        <f>"601500"</f>
        <v>601500</v>
      </c>
      <c r="C1338" t="s">
        <v>2976</v>
      </c>
      <c r="D1338" t="s">
        <v>904</v>
      </c>
      <c r="E1338">
        <v>1017040187</v>
      </c>
      <c r="F1338">
        <v>887102195</v>
      </c>
      <c r="G1338">
        <v>582630376</v>
      </c>
      <c r="H1338">
        <v>1412202874</v>
      </c>
      <c r="I1338">
        <v>1043143391</v>
      </c>
      <c r="J1338">
        <v>881745086</v>
      </c>
      <c r="K1338">
        <v>840353529</v>
      </c>
      <c r="P1338">
        <v>85</v>
      </c>
      <c r="Q1338" t="s">
        <v>2977</v>
      </c>
    </row>
    <row r="1339" spans="1:17" x14ac:dyDescent="0.3">
      <c r="A1339" t="s">
        <v>75</v>
      </c>
      <c r="B1339" t="str">
        <f>"002731"</f>
        <v>002731</v>
      </c>
      <c r="C1339" t="s">
        <v>2978</v>
      </c>
      <c r="D1339" t="s">
        <v>314</v>
      </c>
      <c r="E1339">
        <v>1016965494</v>
      </c>
      <c r="F1339">
        <v>707865674</v>
      </c>
      <c r="G1339">
        <v>761768111</v>
      </c>
      <c r="H1339">
        <v>609739723</v>
      </c>
      <c r="I1339">
        <v>842026065</v>
      </c>
      <c r="J1339">
        <v>545260253</v>
      </c>
      <c r="K1339">
        <v>747461670</v>
      </c>
      <c r="L1339">
        <v>991302576</v>
      </c>
      <c r="M1339">
        <v>967617515</v>
      </c>
      <c r="P1339">
        <v>81</v>
      </c>
      <c r="Q1339" t="s">
        <v>2979</v>
      </c>
    </row>
    <row r="1340" spans="1:17" x14ac:dyDescent="0.3">
      <c r="A1340" t="s">
        <v>75</v>
      </c>
      <c r="B1340" t="str">
        <f>"000531"</f>
        <v>000531</v>
      </c>
      <c r="C1340" t="s">
        <v>2980</v>
      </c>
      <c r="D1340" t="s">
        <v>88</v>
      </c>
      <c r="E1340">
        <v>1013838128</v>
      </c>
      <c r="F1340">
        <v>932906758</v>
      </c>
      <c r="G1340">
        <v>883864085</v>
      </c>
      <c r="H1340">
        <v>723575568</v>
      </c>
      <c r="I1340">
        <v>746156160</v>
      </c>
      <c r="J1340">
        <v>867748229</v>
      </c>
      <c r="K1340">
        <v>554634107</v>
      </c>
      <c r="L1340">
        <v>634474469</v>
      </c>
      <c r="M1340">
        <v>806723344</v>
      </c>
      <c r="N1340">
        <v>1217153140</v>
      </c>
      <c r="O1340">
        <v>1139064465</v>
      </c>
      <c r="P1340">
        <v>277</v>
      </c>
      <c r="Q1340" t="s">
        <v>2981</v>
      </c>
    </row>
    <row r="1341" spans="1:17" x14ac:dyDescent="0.3">
      <c r="A1341" t="s">
        <v>75</v>
      </c>
      <c r="B1341" t="str">
        <f>"002176"</f>
        <v>002176</v>
      </c>
      <c r="C1341" t="s">
        <v>2982</v>
      </c>
      <c r="D1341" t="s">
        <v>1487</v>
      </c>
      <c r="E1341">
        <v>1013759793</v>
      </c>
      <c r="F1341">
        <v>398875400</v>
      </c>
      <c r="G1341">
        <v>475551832</v>
      </c>
      <c r="H1341">
        <v>556694412</v>
      </c>
      <c r="I1341">
        <v>302808241</v>
      </c>
      <c r="J1341">
        <v>354676806</v>
      </c>
      <c r="K1341">
        <v>432387747</v>
      </c>
      <c r="L1341">
        <v>88704303</v>
      </c>
      <c r="M1341">
        <v>88686892</v>
      </c>
      <c r="N1341">
        <v>78014830</v>
      </c>
      <c r="O1341">
        <v>44531905</v>
      </c>
      <c r="P1341">
        <v>317</v>
      </c>
      <c r="Q1341" t="s">
        <v>2983</v>
      </c>
    </row>
    <row r="1342" spans="1:17" x14ac:dyDescent="0.3">
      <c r="A1342" t="s">
        <v>75</v>
      </c>
      <c r="B1342" t="str">
        <f>"002793"</f>
        <v>002793</v>
      </c>
      <c r="C1342" t="s">
        <v>2984</v>
      </c>
      <c r="D1342" t="s">
        <v>543</v>
      </c>
      <c r="E1342">
        <v>1013699968</v>
      </c>
      <c r="F1342">
        <v>1494800746</v>
      </c>
      <c r="G1342">
        <v>1229092168</v>
      </c>
      <c r="H1342">
        <v>236755224</v>
      </c>
      <c r="I1342">
        <v>181519084</v>
      </c>
      <c r="J1342">
        <v>162357572</v>
      </c>
      <c r="K1342">
        <v>141724138</v>
      </c>
      <c r="L1342">
        <v>116797324</v>
      </c>
      <c r="P1342">
        <v>213</v>
      </c>
      <c r="Q1342" t="s">
        <v>2985</v>
      </c>
    </row>
    <row r="1343" spans="1:17" x14ac:dyDescent="0.3">
      <c r="A1343" t="s">
        <v>75</v>
      </c>
      <c r="B1343" t="str">
        <f>"002303"</f>
        <v>002303</v>
      </c>
      <c r="C1343" t="s">
        <v>2986</v>
      </c>
      <c r="D1343" t="s">
        <v>1176</v>
      </c>
      <c r="E1343">
        <v>1013119661</v>
      </c>
      <c r="F1343">
        <v>938701265</v>
      </c>
      <c r="G1343">
        <v>934991284</v>
      </c>
      <c r="H1343">
        <v>936133319</v>
      </c>
      <c r="I1343">
        <v>823475095</v>
      </c>
      <c r="J1343">
        <v>684262932</v>
      </c>
      <c r="K1343">
        <v>640533059</v>
      </c>
      <c r="L1343">
        <v>439384011</v>
      </c>
      <c r="M1343">
        <v>408983506</v>
      </c>
      <c r="N1343">
        <v>317136197</v>
      </c>
      <c r="O1343">
        <v>259276420</v>
      </c>
      <c r="P1343">
        <v>224</v>
      </c>
      <c r="Q1343" t="s">
        <v>2987</v>
      </c>
    </row>
    <row r="1344" spans="1:17" x14ac:dyDescent="0.3">
      <c r="A1344" t="s">
        <v>75</v>
      </c>
      <c r="B1344" t="str">
        <f>"000981"</f>
        <v>000981</v>
      </c>
      <c r="C1344" t="s">
        <v>2988</v>
      </c>
      <c r="D1344" t="s">
        <v>65</v>
      </c>
      <c r="E1344">
        <v>1010993563</v>
      </c>
      <c r="F1344">
        <v>1042590377</v>
      </c>
      <c r="G1344">
        <v>1330915726</v>
      </c>
      <c r="H1344">
        <v>1862735236</v>
      </c>
      <c r="I1344">
        <v>4035484538</v>
      </c>
      <c r="J1344">
        <v>1795687964</v>
      </c>
      <c r="K1344">
        <v>1881403874</v>
      </c>
      <c r="L1344">
        <v>972441134</v>
      </c>
      <c r="M1344">
        <v>778886770</v>
      </c>
      <c r="N1344">
        <v>840398887</v>
      </c>
      <c r="O1344">
        <v>530982927</v>
      </c>
      <c r="P1344">
        <v>118</v>
      </c>
      <c r="Q1344" t="s">
        <v>2989</v>
      </c>
    </row>
    <row r="1345" spans="1:17" x14ac:dyDescent="0.3">
      <c r="A1345" t="s">
        <v>75</v>
      </c>
      <c r="B1345" t="str">
        <f>"002049"</f>
        <v>002049</v>
      </c>
      <c r="C1345" t="s">
        <v>2990</v>
      </c>
      <c r="D1345" t="s">
        <v>883</v>
      </c>
      <c r="E1345">
        <v>1009474830</v>
      </c>
      <c r="F1345">
        <v>765643682</v>
      </c>
      <c r="G1345">
        <v>417286874</v>
      </c>
      <c r="H1345">
        <v>512003801</v>
      </c>
      <c r="I1345">
        <v>410153156</v>
      </c>
      <c r="J1345">
        <v>415346578</v>
      </c>
      <c r="K1345">
        <v>280987939</v>
      </c>
      <c r="L1345">
        <v>181711843</v>
      </c>
      <c r="M1345">
        <v>187195425</v>
      </c>
      <c r="N1345">
        <v>125594445</v>
      </c>
      <c r="O1345">
        <v>67619341</v>
      </c>
      <c r="P1345">
        <v>4605</v>
      </c>
      <c r="Q1345" t="s">
        <v>2991</v>
      </c>
    </row>
    <row r="1346" spans="1:17" x14ac:dyDescent="0.3">
      <c r="A1346" t="s">
        <v>17</v>
      </c>
      <c r="B1346" t="str">
        <f>"600261"</f>
        <v>600261</v>
      </c>
      <c r="C1346" t="s">
        <v>2992</v>
      </c>
      <c r="D1346" t="s">
        <v>2044</v>
      </c>
      <c r="E1346">
        <v>1008692502</v>
      </c>
      <c r="F1346">
        <v>1010145189</v>
      </c>
      <c r="G1346">
        <v>1193159589</v>
      </c>
      <c r="H1346">
        <v>1438988964</v>
      </c>
      <c r="I1346">
        <v>1452823649</v>
      </c>
      <c r="J1346">
        <v>1117958964</v>
      </c>
      <c r="K1346">
        <v>1326277623</v>
      </c>
      <c r="L1346">
        <v>802644212</v>
      </c>
      <c r="M1346">
        <v>905608164</v>
      </c>
      <c r="N1346">
        <v>582088505</v>
      </c>
      <c r="O1346">
        <v>515344835</v>
      </c>
      <c r="P1346">
        <v>440</v>
      </c>
      <c r="Q1346" t="s">
        <v>2993</v>
      </c>
    </row>
    <row r="1347" spans="1:17" x14ac:dyDescent="0.3">
      <c r="A1347" t="s">
        <v>17</v>
      </c>
      <c r="B1347" t="str">
        <f>"600684"</f>
        <v>600684</v>
      </c>
      <c r="C1347" t="s">
        <v>2994</v>
      </c>
      <c r="D1347" t="s">
        <v>65</v>
      </c>
      <c r="E1347">
        <v>1006864489</v>
      </c>
      <c r="F1347">
        <v>1143678345</v>
      </c>
      <c r="G1347">
        <v>370739101</v>
      </c>
      <c r="H1347">
        <v>329266788</v>
      </c>
      <c r="I1347">
        <v>690826166</v>
      </c>
      <c r="J1347">
        <v>1052961081</v>
      </c>
      <c r="K1347">
        <v>645261447</v>
      </c>
      <c r="L1347">
        <v>321185875</v>
      </c>
      <c r="M1347">
        <v>418762431</v>
      </c>
      <c r="N1347">
        <v>471843018</v>
      </c>
      <c r="O1347">
        <v>228044148</v>
      </c>
      <c r="P1347">
        <v>124</v>
      </c>
      <c r="Q1347" t="s">
        <v>2995</v>
      </c>
    </row>
    <row r="1348" spans="1:17" x14ac:dyDescent="0.3">
      <c r="A1348" t="s">
        <v>17</v>
      </c>
      <c r="B1348" t="str">
        <f>"600516"</f>
        <v>600516</v>
      </c>
      <c r="C1348" t="s">
        <v>2996</v>
      </c>
      <c r="D1348" t="s">
        <v>771</v>
      </c>
      <c r="E1348">
        <v>1005282110</v>
      </c>
      <c r="F1348">
        <v>1084237719</v>
      </c>
      <c r="G1348">
        <v>625709844</v>
      </c>
      <c r="H1348">
        <v>3651293764</v>
      </c>
      <c r="I1348">
        <v>3123608530</v>
      </c>
      <c r="J1348">
        <v>667645067</v>
      </c>
      <c r="K1348">
        <v>595736916</v>
      </c>
      <c r="L1348">
        <v>511833413</v>
      </c>
      <c r="M1348">
        <v>684674360</v>
      </c>
      <c r="N1348">
        <v>768790290</v>
      </c>
      <c r="O1348">
        <v>1020375249</v>
      </c>
      <c r="P1348">
        <v>1177</v>
      </c>
      <c r="Q1348" t="s">
        <v>2997</v>
      </c>
    </row>
    <row r="1349" spans="1:17" x14ac:dyDescent="0.3">
      <c r="A1349" t="s">
        <v>17</v>
      </c>
      <c r="B1349" t="str">
        <f>"603338"</f>
        <v>603338</v>
      </c>
      <c r="C1349" t="s">
        <v>2998</v>
      </c>
      <c r="D1349" t="s">
        <v>262</v>
      </c>
      <c r="E1349">
        <v>1005249712</v>
      </c>
      <c r="F1349">
        <v>481017997</v>
      </c>
      <c r="G1349">
        <v>612339045</v>
      </c>
      <c r="H1349">
        <v>389365172</v>
      </c>
      <c r="I1349">
        <v>293677446</v>
      </c>
      <c r="J1349">
        <v>186266062</v>
      </c>
      <c r="K1349">
        <v>128194587</v>
      </c>
      <c r="L1349">
        <v>75758967</v>
      </c>
      <c r="M1349">
        <v>77773468</v>
      </c>
      <c r="P1349">
        <v>12811</v>
      </c>
      <c r="Q1349" t="s">
        <v>2999</v>
      </c>
    </row>
    <row r="1350" spans="1:17" x14ac:dyDescent="0.3">
      <c r="A1350" t="s">
        <v>75</v>
      </c>
      <c r="B1350" t="str">
        <f>"300224"</f>
        <v>300224</v>
      </c>
      <c r="C1350" t="s">
        <v>3000</v>
      </c>
      <c r="D1350" t="s">
        <v>1096</v>
      </c>
      <c r="E1350">
        <v>1002289439</v>
      </c>
      <c r="F1350">
        <v>617699134</v>
      </c>
      <c r="G1350">
        <v>529489677</v>
      </c>
      <c r="H1350">
        <v>400990018</v>
      </c>
      <c r="I1350">
        <v>322988331</v>
      </c>
      <c r="J1350">
        <v>349191086</v>
      </c>
      <c r="K1350">
        <v>329587240</v>
      </c>
      <c r="L1350">
        <v>264324505</v>
      </c>
      <c r="M1350">
        <v>135822791</v>
      </c>
      <c r="N1350">
        <v>192749942</v>
      </c>
      <c r="O1350">
        <v>292115499</v>
      </c>
      <c r="P1350">
        <v>198</v>
      </c>
      <c r="Q1350" t="s">
        <v>3001</v>
      </c>
    </row>
    <row r="1351" spans="1:17" x14ac:dyDescent="0.3">
      <c r="A1351" t="s">
        <v>17</v>
      </c>
      <c r="B1351" t="str">
        <f>"603843"</f>
        <v>603843</v>
      </c>
      <c r="C1351" t="s">
        <v>3002</v>
      </c>
      <c r="D1351" t="s">
        <v>27</v>
      </c>
      <c r="E1351">
        <v>1001650396</v>
      </c>
      <c r="F1351">
        <v>1119050194</v>
      </c>
      <c r="G1351">
        <v>978859730</v>
      </c>
      <c r="H1351">
        <v>618824666</v>
      </c>
      <c r="I1351">
        <v>498908491</v>
      </c>
      <c r="J1351">
        <v>209842964</v>
      </c>
      <c r="K1351">
        <v>209581467</v>
      </c>
      <c r="L1351">
        <v>127502801</v>
      </c>
      <c r="P1351">
        <v>90</v>
      </c>
      <c r="Q1351" t="s">
        <v>3003</v>
      </c>
    </row>
    <row r="1352" spans="1:17" x14ac:dyDescent="0.3">
      <c r="A1352" t="s">
        <v>17</v>
      </c>
      <c r="B1352" t="str">
        <f>"605007"</f>
        <v>605007</v>
      </c>
      <c r="C1352" t="s">
        <v>3004</v>
      </c>
      <c r="D1352" t="s">
        <v>2183</v>
      </c>
      <c r="E1352">
        <v>1000980472</v>
      </c>
      <c r="F1352">
        <v>674428544</v>
      </c>
      <c r="G1352">
        <v>444205749</v>
      </c>
      <c r="P1352">
        <v>81</v>
      </c>
      <c r="Q1352" t="s">
        <v>3005</v>
      </c>
    </row>
    <row r="1353" spans="1:17" x14ac:dyDescent="0.3">
      <c r="A1353" t="s">
        <v>17</v>
      </c>
      <c r="B1353" t="str">
        <f>"601777"</f>
        <v>601777</v>
      </c>
      <c r="C1353" t="s">
        <v>3006</v>
      </c>
      <c r="D1353" t="s">
        <v>1457</v>
      </c>
      <c r="E1353">
        <v>1000216475</v>
      </c>
      <c r="F1353">
        <v>737056783</v>
      </c>
      <c r="G1353">
        <v>668405353</v>
      </c>
      <c r="H1353">
        <v>2406676363</v>
      </c>
      <c r="I1353">
        <v>3022854440</v>
      </c>
      <c r="J1353">
        <v>2581710193</v>
      </c>
      <c r="K1353">
        <v>2551801478</v>
      </c>
      <c r="L1353">
        <v>2436633020</v>
      </c>
      <c r="M1353">
        <v>1841257254</v>
      </c>
      <c r="N1353">
        <v>2016293173</v>
      </c>
      <c r="O1353">
        <v>1148700222</v>
      </c>
      <c r="P1353">
        <v>154</v>
      </c>
      <c r="Q1353" t="s">
        <v>3007</v>
      </c>
    </row>
    <row r="1354" spans="1:17" x14ac:dyDescent="0.3">
      <c r="A1354" t="s">
        <v>75</v>
      </c>
      <c r="B1354" t="str">
        <f>"002850"</f>
        <v>002850</v>
      </c>
      <c r="C1354" t="s">
        <v>3008</v>
      </c>
      <c r="D1354" t="s">
        <v>131</v>
      </c>
      <c r="E1354">
        <v>999722200</v>
      </c>
      <c r="F1354">
        <v>529787033</v>
      </c>
      <c r="G1354">
        <v>423274250</v>
      </c>
      <c r="H1354">
        <v>528513288</v>
      </c>
      <c r="I1354">
        <v>280502559</v>
      </c>
      <c r="J1354">
        <v>271780537</v>
      </c>
      <c r="K1354">
        <v>328868144</v>
      </c>
      <c r="P1354">
        <v>379</v>
      </c>
      <c r="Q1354" t="s">
        <v>3009</v>
      </c>
    </row>
    <row r="1355" spans="1:17" x14ac:dyDescent="0.3">
      <c r="A1355" t="s">
        <v>75</v>
      </c>
      <c r="B1355" t="str">
        <f>"002534"</f>
        <v>002534</v>
      </c>
      <c r="C1355" t="s">
        <v>3010</v>
      </c>
      <c r="D1355" t="s">
        <v>3011</v>
      </c>
      <c r="E1355">
        <v>997392721</v>
      </c>
      <c r="F1355">
        <v>949150720</v>
      </c>
      <c r="G1355">
        <v>1060881198</v>
      </c>
      <c r="H1355">
        <v>703532390</v>
      </c>
      <c r="I1355">
        <v>692635492</v>
      </c>
      <c r="J1355">
        <v>491591902</v>
      </c>
      <c r="K1355">
        <v>678117835</v>
      </c>
      <c r="L1355">
        <v>510880235</v>
      </c>
      <c r="M1355">
        <v>414500794</v>
      </c>
      <c r="N1355">
        <v>1685542881</v>
      </c>
      <c r="O1355">
        <v>2206989444</v>
      </c>
      <c r="P1355">
        <v>191</v>
      </c>
      <c r="Q1355" t="s">
        <v>3012</v>
      </c>
    </row>
    <row r="1356" spans="1:17" x14ac:dyDescent="0.3">
      <c r="A1356" t="s">
        <v>17</v>
      </c>
      <c r="B1356" t="str">
        <f>"688183"</f>
        <v>688183</v>
      </c>
      <c r="C1356" t="s">
        <v>3013</v>
      </c>
      <c r="D1356" t="s">
        <v>567</v>
      </c>
      <c r="E1356">
        <v>995874317</v>
      </c>
      <c r="F1356">
        <v>858637740</v>
      </c>
      <c r="G1356">
        <v>935560433</v>
      </c>
      <c r="H1356">
        <v>0</v>
      </c>
      <c r="P1356">
        <v>41</v>
      </c>
      <c r="Q1356" t="s">
        <v>3014</v>
      </c>
    </row>
    <row r="1357" spans="1:17" x14ac:dyDescent="0.3">
      <c r="A1357" t="s">
        <v>75</v>
      </c>
      <c r="B1357" t="str">
        <f>"002453"</f>
        <v>002453</v>
      </c>
      <c r="C1357" t="s">
        <v>3015</v>
      </c>
      <c r="D1357" t="s">
        <v>292</v>
      </c>
      <c r="E1357">
        <v>995736069</v>
      </c>
      <c r="F1357">
        <v>810612913</v>
      </c>
      <c r="G1357">
        <v>588085940</v>
      </c>
      <c r="H1357">
        <v>520987710</v>
      </c>
      <c r="I1357">
        <v>296306138</v>
      </c>
      <c r="J1357">
        <v>175374782</v>
      </c>
      <c r="K1357">
        <v>220407706</v>
      </c>
      <c r="L1357">
        <v>246730124</v>
      </c>
      <c r="M1357">
        <v>175622055</v>
      </c>
      <c r="N1357">
        <v>211582543</v>
      </c>
      <c r="O1357">
        <v>270178508</v>
      </c>
      <c r="P1357">
        <v>125</v>
      </c>
      <c r="Q1357" t="s">
        <v>3016</v>
      </c>
    </row>
    <row r="1358" spans="1:17" x14ac:dyDescent="0.3">
      <c r="A1358" t="s">
        <v>17</v>
      </c>
      <c r="B1358" t="str">
        <f>"601010"</f>
        <v>601010</v>
      </c>
      <c r="C1358" t="s">
        <v>3017</v>
      </c>
      <c r="D1358" t="s">
        <v>359</v>
      </c>
      <c r="E1358">
        <v>994391045</v>
      </c>
      <c r="F1358">
        <v>1001695431</v>
      </c>
      <c r="G1358">
        <v>1422753165</v>
      </c>
      <c r="H1358">
        <v>2080865249</v>
      </c>
      <c r="I1358">
        <v>2274546218</v>
      </c>
      <c r="J1358">
        <v>2328697927</v>
      </c>
      <c r="K1358">
        <v>2292306846</v>
      </c>
      <c r="L1358">
        <v>2264629427</v>
      </c>
      <c r="M1358">
        <v>2350494444</v>
      </c>
      <c r="N1358">
        <v>2384316580</v>
      </c>
      <c r="O1358">
        <v>2329545849</v>
      </c>
      <c r="P1358">
        <v>94</v>
      </c>
      <c r="Q1358" t="s">
        <v>3018</v>
      </c>
    </row>
    <row r="1359" spans="1:17" x14ac:dyDescent="0.3">
      <c r="A1359" t="s">
        <v>17</v>
      </c>
      <c r="B1359" t="str">
        <f>"603699"</f>
        <v>603699</v>
      </c>
      <c r="C1359" t="s">
        <v>3019</v>
      </c>
      <c r="D1359" t="s">
        <v>153</v>
      </c>
      <c r="E1359">
        <v>993681982</v>
      </c>
      <c r="F1359">
        <v>668637844</v>
      </c>
      <c r="G1359">
        <v>674915368</v>
      </c>
      <c r="H1359">
        <v>568714261</v>
      </c>
      <c r="I1359">
        <v>554318258</v>
      </c>
      <c r="J1359">
        <v>511596559</v>
      </c>
      <c r="K1359">
        <v>489328314</v>
      </c>
      <c r="L1359">
        <v>560417593</v>
      </c>
      <c r="M1359">
        <v>620901431</v>
      </c>
      <c r="N1359">
        <v>514147532</v>
      </c>
      <c r="P1359">
        <v>271</v>
      </c>
      <c r="Q1359" t="s">
        <v>3020</v>
      </c>
    </row>
    <row r="1360" spans="1:17" x14ac:dyDescent="0.3">
      <c r="A1360" t="s">
        <v>17</v>
      </c>
      <c r="B1360" t="str">
        <f>"605208"</f>
        <v>605208</v>
      </c>
      <c r="C1360" t="s">
        <v>3021</v>
      </c>
      <c r="D1360" t="s">
        <v>96</v>
      </c>
      <c r="E1360">
        <v>991531008</v>
      </c>
      <c r="F1360">
        <v>736855212</v>
      </c>
      <c r="G1360">
        <v>551920898</v>
      </c>
      <c r="P1360">
        <v>40</v>
      </c>
      <c r="Q1360" t="s">
        <v>3022</v>
      </c>
    </row>
    <row r="1361" spans="1:17" x14ac:dyDescent="0.3">
      <c r="A1361" t="s">
        <v>17</v>
      </c>
      <c r="B1361" t="str">
        <f>"600185"</f>
        <v>600185</v>
      </c>
      <c r="C1361" t="s">
        <v>3023</v>
      </c>
      <c r="D1361" t="s">
        <v>65</v>
      </c>
      <c r="E1361">
        <v>988475342</v>
      </c>
      <c r="F1361">
        <v>3250321582</v>
      </c>
      <c r="G1361">
        <v>910454712</v>
      </c>
      <c r="H1361">
        <v>769161971</v>
      </c>
      <c r="I1361">
        <v>379084196</v>
      </c>
      <c r="J1361">
        <v>514699105</v>
      </c>
      <c r="K1361">
        <v>1197755438</v>
      </c>
      <c r="L1361">
        <v>263471005</v>
      </c>
      <c r="M1361">
        <v>421507213</v>
      </c>
      <c r="N1361">
        <v>544999116</v>
      </c>
      <c r="O1361">
        <v>214661741</v>
      </c>
      <c r="P1361">
        <v>321</v>
      </c>
      <c r="Q1361" t="s">
        <v>3024</v>
      </c>
    </row>
    <row r="1362" spans="1:17" x14ac:dyDescent="0.3">
      <c r="A1362" t="s">
        <v>75</v>
      </c>
      <c r="B1362" t="str">
        <f>"002863"</f>
        <v>002863</v>
      </c>
      <c r="C1362" t="s">
        <v>3025</v>
      </c>
      <c r="D1362" t="s">
        <v>904</v>
      </c>
      <c r="E1362">
        <v>988377145</v>
      </c>
      <c r="F1362">
        <v>789318993</v>
      </c>
      <c r="G1362">
        <v>593351840</v>
      </c>
      <c r="H1362">
        <v>589916428</v>
      </c>
      <c r="I1362">
        <v>495843628</v>
      </c>
      <c r="J1362">
        <v>481787431</v>
      </c>
      <c r="K1362">
        <v>470079194</v>
      </c>
      <c r="P1362">
        <v>104</v>
      </c>
      <c r="Q1362" t="s">
        <v>3026</v>
      </c>
    </row>
    <row r="1363" spans="1:17" x14ac:dyDescent="0.3">
      <c r="A1363" t="s">
        <v>75</v>
      </c>
      <c r="B1363" t="str">
        <f>"002283"</f>
        <v>002283</v>
      </c>
      <c r="C1363" t="s">
        <v>3027</v>
      </c>
      <c r="D1363" t="s">
        <v>172</v>
      </c>
      <c r="E1363">
        <v>987059869</v>
      </c>
      <c r="F1363">
        <v>1511108101</v>
      </c>
      <c r="G1363">
        <v>940795778</v>
      </c>
      <c r="H1363">
        <v>715134770</v>
      </c>
      <c r="I1363">
        <v>675002152</v>
      </c>
      <c r="J1363">
        <v>500394932</v>
      </c>
      <c r="K1363">
        <v>298852790</v>
      </c>
      <c r="L1363">
        <v>368654003</v>
      </c>
      <c r="M1363">
        <v>422488784</v>
      </c>
      <c r="N1363">
        <v>248631827</v>
      </c>
      <c r="O1363">
        <v>331724098</v>
      </c>
      <c r="P1363">
        <v>202</v>
      </c>
      <c r="Q1363" t="s">
        <v>3028</v>
      </c>
    </row>
    <row r="1364" spans="1:17" x14ac:dyDescent="0.3">
      <c r="A1364" t="s">
        <v>75</v>
      </c>
      <c r="B1364" t="str">
        <f>"300628"</f>
        <v>300628</v>
      </c>
      <c r="C1364" t="s">
        <v>3029</v>
      </c>
      <c r="D1364" t="s">
        <v>556</v>
      </c>
      <c r="E1364">
        <v>986025685</v>
      </c>
      <c r="F1364">
        <v>747687600</v>
      </c>
      <c r="G1364">
        <v>661486305</v>
      </c>
      <c r="H1364">
        <v>505398793</v>
      </c>
      <c r="I1364">
        <v>359539605</v>
      </c>
      <c r="J1364">
        <v>261328171</v>
      </c>
      <c r="K1364">
        <v>186109469</v>
      </c>
      <c r="P1364">
        <v>2264</v>
      </c>
      <c r="Q1364" t="s">
        <v>3030</v>
      </c>
    </row>
    <row r="1365" spans="1:17" x14ac:dyDescent="0.3">
      <c r="A1365" t="s">
        <v>75</v>
      </c>
      <c r="B1365" t="str">
        <f>"002398"</f>
        <v>002398</v>
      </c>
      <c r="C1365" t="s">
        <v>3031</v>
      </c>
      <c r="D1365" t="s">
        <v>1257</v>
      </c>
      <c r="E1365">
        <v>986019665</v>
      </c>
      <c r="F1365">
        <v>810445384</v>
      </c>
      <c r="G1365">
        <v>541784925</v>
      </c>
      <c r="H1365">
        <v>480472823</v>
      </c>
      <c r="I1365">
        <v>397362062</v>
      </c>
      <c r="J1365">
        <v>255420052</v>
      </c>
      <c r="K1365">
        <v>210983502</v>
      </c>
      <c r="L1365">
        <v>235474483</v>
      </c>
      <c r="M1365">
        <v>229539869</v>
      </c>
      <c r="N1365">
        <v>182668482</v>
      </c>
      <c r="O1365">
        <v>132111390</v>
      </c>
      <c r="P1365">
        <v>217</v>
      </c>
      <c r="Q1365" t="s">
        <v>3032</v>
      </c>
    </row>
    <row r="1366" spans="1:17" x14ac:dyDescent="0.3">
      <c r="A1366" t="s">
        <v>75</v>
      </c>
      <c r="B1366" t="str">
        <f>"300740"</f>
        <v>300740</v>
      </c>
      <c r="C1366" t="s">
        <v>3033</v>
      </c>
      <c r="D1366" t="s">
        <v>1764</v>
      </c>
      <c r="E1366">
        <v>985346514</v>
      </c>
      <c r="F1366">
        <v>816712638</v>
      </c>
      <c r="G1366">
        <v>522869634</v>
      </c>
      <c r="H1366">
        <v>427321932</v>
      </c>
      <c r="I1366">
        <v>496407771</v>
      </c>
      <c r="J1366">
        <v>292324916</v>
      </c>
      <c r="P1366">
        <v>256</v>
      </c>
      <c r="Q1366" t="s">
        <v>3034</v>
      </c>
    </row>
    <row r="1367" spans="1:17" x14ac:dyDescent="0.3">
      <c r="A1367" t="s">
        <v>75</v>
      </c>
      <c r="B1367" t="str">
        <f>"002663"</f>
        <v>002663</v>
      </c>
      <c r="C1367" t="s">
        <v>3035</v>
      </c>
      <c r="D1367" t="s">
        <v>1523</v>
      </c>
      <c r="E1367">
        <v>984525565</v>
      </c>
      <c r="F1367">
        <v>900323053</v>
      </c>
      <c r="G1367">
        <v>600346156</v>
      </c>
      <c r="H1367">
        <v>913757383</v>
      </c>
      <c r="I1367">
        <v>948328845</v>
      </c>
      <c r="J1367">
        <v>627302842</v>
      </c>
      <c r="K1367">
        <v>622484330</v>
      </c>
      <c r="L1367">
        <v>552364209</v>
      </c>
      <c r="M1367">
        <v>425843600</v>
      </c>
      <c r="N1367">
        <v>288005898</v>
      </c>
      <c r="O1367">
        <v>187240612</v>
      </c>
      <c r="P1367">
        <v>95</v>
      </c>
      <c r="Q1367" t="s">
        <v>3036</v>
      </c>
    </row>
    <row r="1368" spans="1:17" x14ac:dyDescent="0.3">
      <c r="A1368" t="s">
        <v>75</v>
      </c>
      <c r="B1368" t="str">
        <f>"002560"</f>
        <v>002560</v>
      </c>
      <c r="C1368" t="s">
        <v>3037</v>
      </c>
      <c r="D1368" t="s">
        <v>562</v>
      </c>
      <c r="E1368">
        <v>982768377</v>
      </c>
      <c r="F1368">
        <v>310603309</v>
      </c>
      <c r="G1368">
        <v>257355705</v>
      </c>
      <c r="H1368">
        <v>512072607</v>
      </c>
      <c r="I1368">
        <v>421311796</v>
      </c>
      <c r="J1368">
        <v>360138660</v>
      </c>
      <c r="K1368">
        <v>293217208</v>
      </c>
      <c r="L1368">
        <v>239179536</v>
      </c>
      <c r="M1368">
        <v>125632690</v>
      </c>
      <c r="N1368">
        <v>258865241</v>
      </c>
      <c r="O1368">
        <v>205558083</v>
      </c>
      <c r="P1368">
        <v>138</v>
      </c>
      <c r="Q1368" t="s">
        <v>3038</v>
      </c>
    </row>
    <row r="1369" spans="1:17" x14ac:dyDescent="0.3">
      <c r="A1369" t="s">
        <v>75</v>
      </c>
      <c r="B1369" t="str">
        <f>"002029"</f>
        <v>002029</v>
      </c>
      <c r="C1369" t="s">
        <v>3039</v>
      </c>
      <c r="D1369" t="s">
        <v>814</v>
      </c>
      <c r="E1369">
        <v>982750789</v>
      </c>
      <c r="F1369">
        <v>929981538</v>
      </c>
      <c r="G1369">
        <v>792115097</v>
      </c>
      <c r="H1369">
        <v>1043929842</v>
      </c>
      <c r="I1369">
        <v>882225780</v>
      </c>
      <c r="J1369">
        <v>841239369</v>
      </c>
      <c r="K1369">
        <v>770530530</v>
      </c>
      <c r="L1369">
        <v>806314439</v>
      </c>
      <c r="M1369">
        <v>694264241</v>
      </c>
      <c r="N1369">
        <v>946484269</v>
      </c>
      <c r="O1369">
        <v>814397016</v>
      </c>
      <c r="P1369">
        <v>217</v>
      </c>
      <c r="Q1369" t="s">
        <v>3040</v>
      </c>
    </row>
    <row r="1370" spans="1:17" x14ac:dyDescent="0.3">
      <c r="A1370" t="s">
        <v>75</v>
      </c>
      <c r="B1370" t="str">
        <f>"300388"</f>
        <v>300388</v>
      </c>
      <c r="C1370" t="s">
        <v>3041</v>
      </c>
      <c r="D1370" t="s">
        <v>1107</v>
      </c>
      <c r="E1370">
        <v>982036304</v>
      </c>
      <c r="F1370">
        <v>1082490548</v>
      </c>
      <c r="G1370">
        <v>807214702</v>
      </c>
      <c r="H1370">
        <v>1061720256</v>
      </c>
      <c r="I1370">
        <v>861582386</v>
      </c>
      <c r="J1370">
        <v>456576606</v>
      </c>
      <c r="K1370">
        <v>268535824</v>
      </c>
      <c r="L1370">
        <v>272466594</v>
      </c>
      <c r="M1370">
        <v>0</v>
      </c>
      <c r="P1370">
        <v>225</v>
      </c>
      <c r="Q1370" t="s">
        <v>3042</v>
      </c>
    </row>
    <row r="1371" spans="1:17" x14ac:dyDescent="0.3">
      <c r="A1371" t="s">
        <v>17</v>
      </c>
      <c r="B1371" t="str">
        <f>"600007"</f>
        <v>600007</v>
      </c>
      <c r="C1371" t="s">
        <v>3043</v>
      </c>
      <c r="D1371" t="s">
        <v>179</v>
      </c>
      <c r="E1371">
        <v>981315159</v>
      </c>
      <c r="F1371">
        <v>903713085</v>
      </c>
      <c r="G1371">
        <v>721097193</v>
      </c>
      <c r="H1371">
        <v>834349841</v>
      </c>
      <c r="I1371">
        <v>812899855</v>
      </c>
      <c r="J1371">
        <v>655907913</v>
      </c>
      <c r="K1371">
        <v>596723261</v>
      </c>
      <c r="L1371">
        <v>563552511</v>
      </c>
      <c r="M1371">
        <v>543245131</v>
      </c>
      <c r="N1371">
        <v>493510955</v>
      </c>
      <c r="O1371">
        <v>473496360</v>
      </c>
      <c r="P1371">
        <v>328</v>
      </c>
      <c r="Q1371" t="s">
        <v>3044</v>
      </c>
    </row>
    <row r="1372" spans="1:17" x14ac:dyDescent="0.3">
      <c r="A1372" t="s">
        <v>17</v>
      </c>
      <c r="B1372" t="str">
        <f>"688196"</f>
        <v>688196</v>
      </c>
      <c r="C1372" t="s">
        <v>3045</v>
      </c>
      <c r="D1372" t="s">
        <v>292</v>
      </c>
      <c r="E1372">
        <v>979490653</v>
      </c>
      <c r="F1372">
        <v>571721877</v>
      </c>
      <c r="G1372">
        <v>296979812</v>
      </c>
      <c r="H1372">
        <v>277630013</v>
      </c>
      <c r="P1372">
        <v>188</v>
      </c>
      <c r="Q1372" t="s">
        <v>3046</v>
      </c>
    </row>
    <row r="1373" spans="1:17" x14ac:dyDescent="0.3">
      <c r="A1373" t="s">
        <v>75</v>
      </c>
      <c r="B1373" t="str">
        <f>"300432"</f>
        <v>300432</v>
      </c>
      <c r="C1373" t="s">
        <v>3047</v>
      </c>
      <c r="D1373" t="s">
        <v>172</v>
      </c>
      <c r="E1373">
        <v>978798282</v>
      </c>
      <c r="F1373">
        <v>468040680</v>
      </c>
      <c r="G1373">
        <v>453135109</v>
      </c>
      <c r="H1373">
        <v>344930549</v>
      </c>
      <c r="I1373">
        <v>332839005</v>
      </c>
      <c r="J1373">
        <v>519526143</v>
      </c>
      <c r="K1373">
        <v>233612702</v>
      </c>
      <c r="L1373">
        <v>185473702</v>
      </c>
      <c r="M1373">
        <v>145022641</v>
      </c>
      <c r="P1373">
        <v>304</v>
      </c>
      <c r="Q1373" t="s">
        <v>3048</v>
      </c>
    </row>
    <row r="1374" spans="1:17" x14ac:dyDescent="0.3">
      <c r="A1374" t="s">
        <v>75</v>
      </c>
      <c r="B1374" t="str">
        <f>"002273"</f>
        <v>002273</v>
      </c>
      <c r="C1374" t="s">
        <v>3049</v>
      </c>
      <c r="D1374" t="s">
        <v>975</v>
      </c>
      <c r="E1374">
        <v>978441540</v>
      </c>
      <c r="F1374">
        <v>1053624962</v>
      </c>
      <c r="G1374">
        <v>746524253</v>
      </c>
      <c r="H1374">
        <v>581396225</v>
      </c>
      <c r="I1374">
        <v>516099087</v>
      </c>
      <c r="J1374">
        <v>509898159</v>
      </c>
      <c r="K1374">
        <v>329225452</v>
      </c>
      <c r="L1374">
        <v>215259563</v>
      </c>
      <c r="M1374">
        <v>152878096</v>
      </c>
      <c r="N1374">
        <v>123408399</v>
      </c>
      <c r="O1374">
        <v>108356053</v>
      </c>
      <c r="P1374">
        <v>949</v>
      </c>
      <c r="Q1374" t="s">
        <v>3050</v>
      </c>
    </row>
    <row r="1375" spans="1:17" x14ac:dyDescent="0.3">
      <c r="A1375" t="s">
        <v>75</v>
      </c>
      <c r="B1375" t="str">
        <f>"000831"</f>
        <v>000831</v>
      </c>
      <c r="C1375" t="s">
        <v>3051</v>
      </c>
      <c r="D1375" t="s">
        <v>531</v>
      </c>
      <c r="E1375">
        <v>977938121</v>
      </c>
      <c r="F1375">
        <v>603963046</v>
      </c>
      <c r="G1375">
        <v>281770151</v>
      </c>
      <c r="H1375">
        <v>447573151</v>
      </c>
      <c r="I1375">
        <v>274727048</v>
      </c>
      <c r="J1375">
        <v>269729476</v>
      </c>
      <c r="K1375">
        <v>191206085</v>
      </c>
      <c r="L1375">
        <v>204730385</v>
      </c>
      <c r="M1375">
        <v>909085693</v>
      </c>
      <c r="N1375">
        <v>261523949</v>
      </c>
      <c r="O1375">
        <v>916676373</v>
      </c>
      <c r="P1375">
        <v>458</v>
      </c>
      <c r="Q1375" t="s">
        <v>3052</v>
      </c>
    </row>
    <row r="1376" spans="1:17" x14ac:dyDescent="0.3">
      <c r="A1376" t="s">
        <v>75</v>
      </c>
      <c r="B1376" t="str">
        <f>"002773"</f>
        <v>002773</v>
      </c>
      <c r="C1376" t="s">
        <v>3053</v>
      </c>
      <c r="D1376" t="s">
        <v>543</v>
      </c>
      <c r="E1376">
        <v>972896093</v>
      </c>
      <c r="F1376">
        <v>999458662</v>
      </c>
      <c r="G1376">
        <v>675919906</v>
      </c>
      <c r="H1376">
        <v>713803093</v>
      </c>
      <c r="I1376">
        <v>593547819</v>
      </c>
      <c r="J1376">
        <v>581210666</v>
      </c>
      <c r="K1376">
        <v>477720471</v>
      </c>
      <c r="L1376">
        <v>0</v>
      </c>
      <c r="M1376">
        <v>0</v>
      </c>
      <c r="P1376">
        <v>5281</v>
      </c>
      <c r="Q1376" t="s">
        <v>3054</v>
      </c>
    </row>
    <row r="1377" spans="1:17" x14ac:dyDescent="0.3">
      <c r="A1377" t="s">
        <v>75</v>
      </c>
      <c r="B1377" t="str">
        <f>"300650"</f>
        <v>300650</v>
      </c>
      <c r="C1377" t="s">
        <v>3055</v>
      </c>
      <c r="D1377" t="s">
        <v>1044</v>
      </c>
      <c r="E1377">
        <v>972573665</v>
      </c>
      <c r="F1377">
        <v>1036146184</v>
      </c>
      <c r="G1377">
        <v>94549042</v>
      </c>
      <c r="H1377">
        <v>128347220</v>
      </c>
      <c r="I1377">
        <v>94319689</v>
      </c>
      <c r="J1377">
        <v>73876296</v>
      </c>
      <c r="K1377">
        <v>55104728</v>
      </c>
      <c r="P1377">
        <v>125</v>
      </c>
      <c r="Q1377" t="s">
        <v>3056</v>
      </c>
    </row>
    <row r="1378" spans="1:17" x14ac:dyDescent="0.3">
      <c r="A1378" t="s">
        <v>75</v>
      </c>
      <c r="B1378" t="str">
        <f>"300592"</f>
        <v>300592</v>
      </c>
      <c r="C1378" t="s">
        <v>3057</v>
      </c>
      <c r="D1378" t="s">
        <v>707</v>
      </c>
      <c r="E1378">
        <v>972217228</v>
      </c>
      <c r="F1378">
        <v>75168142</v>
      </c>
      <c r="G1378">
        <v>121520710</v>
      </c>
      <c r="H1378">
        <v>99413591</v>
      </c>
      <c r="I1378">
        <v>157461173</v>
      </c>
      <c r="J1378">
        <v>112964332</v>
      </c>
      <c r="K1378">
        <v>70507198</v>
      </c>
      <c r="P1378">
        <v>65</v>
      </c>
      <c r="Q1378" t="s">
        <v>3058</v>
      </c>
    </row>
    <row r="1379" spans="1:17" x14ac:dyDescent="0.3">
      <c r="A1379" t="s">
        <v>17</v>
      </c>
      <c r="B1379" t="str">
        <f>"603568"</f>
        <v>603568</v>
      </c>
      <c r="C1379" t="s">
        <v>3059</v>
      </c>
      <c r="D1379" t="s">
        <v>1187</v>
      </c>
      <c r="E1379">
        <v>967776263</v>
      </c>
      <c r="F1379">
        <v>558050925</v>
      </c>
      <c r="G1379">
        <v>438647030</v>
      </c>
      <c r="H1379">
        <v>281623280</v>
      </c>
      <c r="I1379">
        <v>251076097</v>
      </c>
      <c r="J1379">
        <v>171784081</v>
      </c>
      <c r="K1379">
        <v>150988439</v>
      </c>
      <c r="L1379">
        <v>175600844</v>
      </c>
      <c r="P1379">
        <v>16270</v>
      </c>
      <c r="Q1379" t="s">
        <v>3060</v>
      </c>
    </row>
    <row r="1380" spans="1:17" x14ac:dyDescent="0.3">
      <c r="A1380" t="s">
        <v>75</v>
      </c>
      <c r="B1380" t="str">
        <f>"300017"</f>
        <v>300017</v>
      </c>
      <c r="C1380" t="s">
        <v>3061</v>
      </c>
      <c r="D1380" t="s">
        <v>224</v>
      </c>
      <c r="E1380">
        <v>965372607</v>
      </c>
      <c r="F1380">
        <v>1282384196</v>
      </c>
      <c r="G1380">
        <v>1348975800</v>
      </c>
      <c r="H1380">
        <v>1552997300</v>
      </c>
      <c r="I1380">
        <v>1307802247</v>
      </c>
      <c r="J1380">
        <v>993547197</v>
      </c>
      <c r="K1380">
        <v>835520533</v>
      </c>
      <c r="L1380">
        <v>462710081</v>
      </c>
      <c r="M1380">
        <v>350248434</v>
      </c>
      <c r="N1380">
        <v>209005041</v>
      </c>
      <c r="O1380">
        <v>138823055</v>
      </c>
      <c r="P1380">
        <v>759</v>
      </c>
      <c r="Q1380" t="s">
        <v>3062</v>
      </c>
    </row>
    <row r="1381" spans="1:17" x14ac:dyDescent="0.3">
      <c r="A1381" t="s">
        <v>17</v>
      </c>
      <c r="B1381" t="str">
        <f>"603567"</f>
        <v>603567</v>
      </c>
      <c r="C1381" t="s">
        <v>3063</v>
      </c>
      <c r="D1381" t="s">
        <v>321</v>
      </c>
      <c r="E1381">
        <v>965014348</v>
      </c>
      <c r="F1381">
        <v>639139277</v>
      </c>
      <c r="G1381">
        <v>846989083</v>
      </c>
      <c r="H1381">
        <v>521993391</v>
      </c>
      <c r="I1381">
        <v>637059469</v>
      </c>
      <c r="J1381">
        <v>425824068</v>
      </c>
      <c r="K1381">
        <v>414094820</v>
      </c>
      <c r="L1381">
        <v>188621924</v>
      </c>
      <c r="M1381">
        <v>162655436</v>
      </c>
      <c r="P1381">
        <v>134</v>
      </c>
      <c r="Q1381" t="s">
        <v>3064</v>
      </c>
    </row>
    <row r="1382" spans="1:17" x14ac:dyDescent="0.3">
      <c r="A1382" t="s">
        <v>75</v>
      </c>
      <c r="B1382" t="str">
        <f>"002913"</f>
        <v>002913</v>
      </c>
      <c r="C1382" t="s">
        <v>3065</v>
      </c>
      <c r="D1382" t="s">
        <v>567</v>
      </c>
      <c r="E1382">
        <v>964778627</v>
      </c>
      <c r="F1382">
        <v>680893442</v>
      </c>
      <c r="G1382">
        <v>522678829</v>
      </c>
      <c r="H1382">
        <v>549084360</v>
      </c>
      <c r="I1382">
        <v>433819085</v>
      </c>
      <c r="J1382">
        <v>341158972</v>
      </c>
      <c r="P1382">
        <v>205</v>
      </c>
      <c r="Q1382" t="s">
        <v>3066</v>
      </c>
    </row>
    <row r="1383" spans="1:17" x14ac:dyDescent="0.3">
      <c r="A1383" t="s">
        <v>75</v>
      </c>
      <c r="B1383" t="str">
        <f>"300473"</f>
        <v>300473</v>
      </c>
      <c r="C1383" t="s">
        <v>3067</v>
      </c>
      <c r="D1383" t="s">
        <v>1321</v>
      </c>
      <c r="E1383">
        <v>963794841</v>
      </c>
      <c r="F1383">
        <v>991151824</v>
      </c>
      <c r="G1383">
        <v>946521679</v>
      </c>
      <c r="H1383">
        <v>935773687</v>
      </c>
      <c r="I1383">
        <v>883161887</v>
      </c>
      <c r="J1383">
        <v>151214191</v>
      </c>
      <c r="K1383">
        <v>189474346</v>
      </c>
      <c r="L1383">
        <v>0</v>
      </c>
      <c r="M1383">
        <v>0</v>
      </c>
      <c r="P1383">
        <v>142</v>
      </c>
      <c r="Q1383" t="s">
        <v>3068</v>
      </c>
    </row>
    <row r="1384" spans="1:17" x14ac:dyDescent="0.3">
      <c r="A1384" t="s">
        <v>75</v>
      </c>
      <c r="B1384" t="str">
        <f>"002084"</f>
        <v>002084</v>
      </c>
      <c r="C1384" t="s">
        <v>3069</v>
      </c>
      <c r="D1384" t="s">
        <v>2617</v>
      </c>
      <c r="E1384">
        <v>963075852</v>
      </c>
      <c r="F1384">
        <v>904529981</v>
      </c>
      <c r="G1384">
        <v>557602739</v>
      </c>
      <c r="H1384">
        <v>615839876</v>
      </c>
      <c r="I1384">
        <v>495068832</v>
      </c>
      <c r="J1384">
        <v>587098068</v>
      </c>
      <c r="K1384">
        <v>396612608</v>
      </c>
      <c r="L1384">
        <v>448554278</v>
      </c>
      <c r="M1384">
        <v>410667217</v>
      </c>
      <c r="N1384">
        <v>378413733</v>
      </c>
      <c r="O1384">
        <v>331838479</v>
      </c>
      <c r="P1384">
        <v>148</v>
      </c>
      <c r="Q1384" t="s">
        <v>3070</v>
      </c>
    </row>
    <row r="1385" spans="1:17" x14ac:dyDescent="0.3">
      <c r="A1385" t="s">
        <v>17</v>
      </c>
      <c r="B1385" t="str">
        <f>"600967"</f>
        <v>600967</v>
      </c>
      <c r="C1385" t="s">
        <v>3071</v>
      </c>
      <c r="D1385" t="s">
        <v>3072</v>
      </c>
      <c r="E1385">
        <v>961786469</v>
      </c>
      <c r="F1385">
        <v>1885268219</v>
      </c>
      <c r="G1385">
        <v>1305971026</v>
      </c>
      <c r="H1385">
        <v>3017841062</v>
      </c>
      <c r="I1385">
        <v>3604788468</v>
      </c>
      <c r="J1385">
        <v>2883164705</v>
      </c>
      <c r="K1385">
        <v>144605037</v>
      </c>
      <c r="L1385">
        <v>131224356</v>
      </c>
      <c r="M1385">
        <v>202401519</v>
      </c>
      <c r="N1385">
        <v>647512586</v>
      </c>
      <c r="O1385">
        <v>357787722</v>
      </c>
      <c r="P1385">
        <v>286</v>
      </c>
      <c r="Q1385" t="s">
        <v>3073</v>
      </c>
    </row>
    <row r="1386" spans="1:17" x14ac:dyDescent="0.3">
      <c r="A1386" t="s">
        <v>17</v>
      </c>
      <c r="B1386" t="str">
        <f>"603606"</f>
        <v>603606</v>
      </c>
      <c r="C1386" t="s">
        <v>3074</v>
      </c>
      <c r="D1386" t="s">
        <v>562</v>
      </c>
      <c r="E1386">
        <v>960904232</v>
      </c>
      <c r="F1386">
        <v>1328736731</v>
      </c>
      <c r="G1386">
        <v>556951097</v>
      </c>
      <c r="H1386">
        <v>414212737</v>
      </c>
      <c r="I1386">
        <v>492832807</v>
      </c>
      <c r="J1386">
        <v>332729002</v>
      </c>
      <c r="K1386">
        <v>240838287</v>
      </c>
      <c r="L1386">
        <v>372261589</v>
      </c>
      <c r="M1386">
        <v>269809558</v>
      </c>
      <c r="P1386">
        <v>1568</v>
      </c>
      <c r="Q1386" t="s">
        <v>3075</v>
      </c>
    </row>
    <row r="1387" spans="1:17" x14ac:dyDescent="0.3">
      <c r="A1387" t="s">
        <v>75</v>
      </c>
      <c r="B1387" t="str">
        <f>"002612"</f>
        <v>002612</v>
      </c>
      <c r="C1387" t="s">
        <v>3076</v>
      </c>
      <c r="D1387" t="s">
        <v>814</v>
      </c>
      <c r="E1387">
        <v>960067066</v>
      </c>
      <c r="F1387">
        <v>953057199</v>
      </c>
      <c r="G1387">
        <v>795137171</v>
      </c>
      <c r="H1387">
        <v>797710480</v>
      </c>
      <c r="I1387">
        <v>640068764</v>
      </c>
      <c r="J1387">
        <v>561160158</v>
      </c>
      <c r="K1387">
        <v>290330185</v>
      </c>
      <c r="L1387">
        <v>370664201</v>
      </c>
      <c r="M1387">
        <v>337470789</v>
      </c>
      <c r="N1387">
        <v>371140295</v>
      </c>
      <c r="O1387">
        <v>298042462</v>
      </c>
      <c r="P1387">
        <v>370</v>
      </c>
      <c r="Q1387" t="s">
        <v>3077</v>
      </c>
    </row>
    <row r="1388" spans="1:17" x14ac:dyDescent="0.3">
      <c r="A1388" t="s">
        <v>17</v>
      </c>
      <c r="B1388" t="str">
        <f>"601512"</f>
        <v>601512</v>
      </c>
      <c r="C1388" t="s">
        <v>3078</v>
      </c>
      <c r="D1388" t="s">
        <v>806</v>
      </c>
      <c r="E1388">
        <v>958625171</v>
      </c>
      <c r="F1388">
        <v>1550508202</v>
      </c>
      <c r="G1388">
        <v>597473977</v>
      </c>
      <c r="H1388">
        <v>871935912</v>
      </c>
      <c r="P1388">
        <v>103</v>
      </c>
      <c r="Q1388" t="s">
        <v>3079</v>
      </c>
    </row>
    <row r="1389" spans="1:17" x14ac:dyDescent="0.3">
      <c r="A1389" t="s">
        <v>75</v>
      </c>
      <c r="B1389" t="str">
        <f>"002955"</f>
        <v>002955</v>
      </c>
      <c r="C1389" t="s">
        <v>3080</v>
      </c>
      <c r="D1389" t="s">
        <v>128</v>
      </c>
      <c r="E1389">
        <v>957826976</v>
      </c>
      <c r="F1389">
        <v>906753727</v>
      </c>
      <c r="G1389">
        <v>334116031</v>
      </c>
      <c r="H1389">
        <v>702133992</v>
      </c>
      <c r="I1389">
        <v>651336225</v>
      </c>
      <c r="P1389">
        <v>167</v>
      </c>
      <c r="Q1389" t="s">
        <v>3081</v>
      </c>
    </row>
    <row r="1390" spans="1:17" x14ac:dyDescent="0.3">
      <c r="A1390" t="s">
        <v>17</v>
      </c>
      <c r="B1390" t="str">
        <f>"688105"</f>
        <v>688105</v>
      </c>
      <c r="C1390" t="s">
        <v>3082</v>
      </c>
      <c r="D1390" t="s">
        <v>967</v>
      </c>
      <c r="E1390">
        <v>957700807</v>
      </c>
      <c r="P1390">
        <v>51</v>
      </c>
      <c r="Q1390" t="s">
        <v>3083</v>
      </c>
    </row>
    <row r="1391" spans="1:17" x14ac:dyDescent="0.3">
      <c r="A1391" t="s">
        <v>75</v>
      </c>
      <c r="B1391" t="str">
        <f>"300100"</f>
        <v>300100</v>
      </c>
      <c r="C1391" t="s">
        <v>3084</v>
      </c>
      <c r="D1391" t="s">
        <v>194</v>
      </c>
      <c r="E1391">
        <v>957204023</v>
      </c>
      <c r="F1391">
        <v>860782205</v>
      </c>
      <c r="G1391">
        <v>783895838</v>
      </c>
      <c r="H1391">
        <v>857813012</v>
      </c>
      <c r="I1391">
        <v>970309908</v>
      </c>
      <c r="J1391">
        <v>740926733</v>
      </c>
      <c r="K1391">
        <v>582526473</v>
      </c>
      <c r="L1391">
        <v>527503272</v>
      </c>
      <c r="M1391">
        <v>360274943</v>
      </c>
      <c r="N1391">
        <v>245137502</v>
      </c>
      <c r="O1391">
        <v>303177171</v>
      </c>
      <c r="P1391">
        <v>129</v>
      </c>
      <c r="Q1391" t="s">
        <v>3085</v>
      </c>
    </row>
    <row r="1392" spans="1:17" x14ac:dyDescent="0.3">
      <c r="A1392" t="s">
        <v>75</v>
      </c>
      <c r="B1392" t="str">
        <f>"000620"</f>
        <v>000620</v>
      </c>
      <c r="C1392" t="s">
        <v>3086</v>
      </c>
      <c r="D1392" t="s">
        <v>65</v>
      </c>
      <c r="E1392">
        <v>952883709</v>
      </c>
      <c r="F1392">
        <v>1322231607</v>
      </c>
      <c r="G1392">
        <v>846506931</v>
      </c>
      <c r="H1392">
        <v>2271736217</v>
      </c>
      <c r="I1392">
        <v>2075494582</v>
      </c>
      <c r="J1392">
        <v>1242614023</v>
      </c>
      <c r="K1392">
        <v>747284084</v>
      </c>
      <c r="L1392">
        <v>397683469</v>
      </c>
      <c r="M1392">
        <v>634216949</v>
      </c>
      <c r="N1392">
        <v>848029559</v>
      </c>
      <c r="O1392">
        <v>289367004</v>
      </c>
      <c r="P1392">
        <v>298</v>
      </c>
      <c r="Q1392" t="s">
        <v>3087</v>
      </c>
    </row>
    <row r="1393" spans="1:17" x14ac:dyDescent="0.3">
      <c r="A1393" t="s">
        <v>17</v>
      </c>
      <c r="B1393" t="str">
        <f>"603214"</f>
        <v>603214</v>
      </c>
      <c r="C1393" t="s">
        <v>3088</v>
      </c>
      <c r="D1393" t="s">
        <v>241</v>
      </c>
      <c r="E1393">
        <v>951854482</v>
      </c>
      <c r="F1393">
        <v>616067842</v>
      </c>
      <c r="G1393">
        <v>584168040</v>
      </c>
      <c r="H1393">
        <v>633493069</v>
      </c>
      <c r="I1393">
        <v>515393040</v>
      </c>
      <c r="J1393">
        <v>583405778</v>
      </c>
      <c r="P1393">
        <v>290</v>
      </c>
      <c r="Q1393" t="s">
        <v>3089</v>
      </c>
    </row>
    <row r="1394" spans="1:17" x14ac:dyDescent="0.3">
      <c r="A1394" t="s">
        <v>17</v>
      </c>
      <c r="B1394" t="str">
        <f>"600797"</f>
        <v>600797</v>
      </c>
      <c r="C1394" t="s">
        <v>3090</v>
      </c>
      <c r="D1394" t="s">
        <v>224</v>
      </c>
      <c r="E1394">
        <v>950991498</v>
      </c>
      <c r="F1394">
        <v>838051197</v>
      </c>
      <c r="G1394">
        <v>606154340</v>
      </c>
      <c r="H1394">
        <v>805512837</v>
      </c>
      <c r="I1394">
        <v>659131546</v>
      </c>
      <c r="J1394">
        <v>717184806</v>
      </c>
      <c r="K1394">
        <v>690285683</v>
      </c>
      <c r="L1394">
        <v>1050073968</v>
      </c>
      <c r="M1394">
        <v>1402460866</v>
      </c>
      <c r="N1394">
        <v>1320721645</v>
      </c>
      <c r="O1394">
        <v>1270896896</v>
      </c>
      <c r="P1394">
        <v>221</v>
      </c>
      <c r="Q1394" t="s">
        <v>3091</v>
      </c>
    </row>
    <row r="1395" spans="1:17" x14ac:dyDescent="0.3">
      <c r="A1395" t="s">
        <v>75</v>
      </c>
      <c r="B1395" t="str">
        <f>"002478"</f>
        <v>002478</v>
      </c>
      <c r="C1395" t="s">
        <v>3092</v>
      </c>
      <c r="D1395" t="s">
        <v>238</v>
      </c>
      <c r="E1395">
        <v>950164971</v>
      </c>
      <c r="F1395">
        <v>801108765</v>
      </c>
      <c r="G1395">
        <v>857269365</v>
      </c>
      <c r="H1395">
        <v>1159096990</v>
      </c>
      <c r="I1395">
        <v>902777247</v>
      </c>
      <c r="J1395">
        <v>421618144</v>
      </c>
      <c r="K1395">
        <v>568706560</v>
      </c>
      <c r="L1395">
        <v>506345381</v>
      </c>
      <c r="M1395">
        <v>972327449</v>
      </c>
      <c r="N1395">
        <v>816739759</v>
      </c>
      <c r="O1395">
        <v>857496692</v>
      </c>
      <c r="P1395">
        <v>208</v>
      </c>
      <c r="Q1395" t="s">
        <v>3093</v>
      </c>
    </row>
    <row r="1396" spans="1:17" x14ac:dyDescent="0.3">
      <c r="A1396" t="s">
        <v>75</v>
      </c>
      <c r="B1396" t="str">
        <f>"002130"</f>
        <v>002130</v>
      </c>
      <c r="C1396" t="s">
        <v>3094</v>
      </c>
      <c r="D1396" t="s">
        <v>221</v>
      </c>
      <c r="E1396">
        <v>948686843</v>
      </c>
      <c r="F1396">
        <v>915591043</v>
      </c>
      <c r="G1396">
        <v>661572952</v>
      </c>
      <c r="H1396">
        <v>750878887</v>
      </c>
      <c r="I1396">
        <v>512414918</v>
      </c>
      <c r="J1396">
        <v>388467994</v>
      </c>
      <c r="K1396">
        <v>344964552</v>
      </c>
      <c r="L1396">
        <v>330177827</v>
      </c>
      <c r="M1396">
        <v>274099446</v>
      </c>
      <c r="N1396">
        <v>298556673</v>
      </c>
      <c r="O1396">
        <v>111840626</v>
      </c>
      <c r="P1396">
        <v>266</v>
      </c>
      <c r="Q1396" t="s">
        <v>3095</v>
      </c>
    </row>
    <row r="1397" spans="1:17" x14ac:dyDescent="0.3">
      <c r="A1397" t="s">
        <v>17</v>
      </c>
      <c r="B1397" t="str">
        <f>"600960"</f>
        <v>600960</v>
      </c>
      <c r="C1397" t="s">
        <v>3096</v>
      </c>
      <c r="D1397" t="s">
        <v>172</v>
      </c>
      <c r="E1397">
        <v>946606122</v>
      </c>
      <c r="F1397">
        <v>1101504395</v>
      </c>
      <c r="G1397">
        <v>1109807176</v>
      </c>
      <c r="H1397">
        <v>1395183441</v>
      </c>
      <c r="I1397">
        <v>669314237</v>
      </c>
      <c r="J1397">
        <v>581905880</v>
      </c>
      <c r="K1397">
        <v>292502457</v>
      </c>
      <c r="L1397">
        <v>332060311</v>
      </c>
      <c r="M1397">
        <v>315255846</v>
      </c>
      <c r="N1397">
        <v>300974404</v>
      </c>
      <c r="O1397">
        <v>502463059</v>
      </c>
      <c r="P1397">
        <v>91</v>
      </c>
      <c r="Q1397" t="s">
        <v>3097</v>
      </c>
    </row>
    <row r="1398" spans="1:17" x14ac:dyDescent="0.3">
      <c r="A1398" t="s">
        <v>17</v>
      </c>
      <c r="B1398" t="str">
        <f>"603020"</f>
        <v>603020</v>
      </c>
      <c r="C1398" t="s">
        <v>3098</v>
      </c>
      <c r="D1398" t="s">
        <v>1291</v>
      </c>
      <c r="E1398">
        <v>946453143</v>
      </c>
      <c r="F1398">
        <v>913423411</v>
      </c>
      <c r="G1398">
        <v>637720021</v>
      </c>
      <c r="H1398">
        <v>701207713</v>
      </c>
      <c r="I1398">
        <v>687185592</v>
      </c>
      <c r="J1398">
        <v>607941064</v>
      </c>
      <c r="K1398">
        <v>578419038</v>
      </c>
      <c r="L1398">
        <v>487650751</v>
      </c>
      <c r="M1398">
        <v>472362342</v>
      </c>
      <c r="P1398">
        <v>195</v>
      </c>
      <c r="Q1398" t="s">
        <v>3099</v>
      </c>
    </row>
    <row r="1399" spans="1:17" x14ac:dyDescent="0.3">
      <c r="A1399" t="s">
        <v>17</v>
      </c>
      <c r="B1399" t="str">
        <f>"600720"</f>
        <v>600720</v>
      </c>
      <c r="C1399" t="s">
        <v>3100</v>
      </c>
      <c r="D1399" t="s">
        <v>191</v>
      </c>
      <c r="E1399">
        <v>945957986</v>
      </c>
      <c r="F1399">
        <v>740238880</v>
      </c>
      <c r="G1399">
        <v>647638576</v>
      </c>
      <c r="H1399">
        <v>624687331</v>
      </c>
      <c r="I1399">
        <v>577099867</v>
      </c>
      <c r="J1399">
        <v>650384365</v>
      </c>
      <c r="K1399">
        <v>486412876</v>
      </c>
      <c r="L1399">
        <v>602454591</v>
      </c>
      <c r="M1399">
        <v>807482832</v>
      </c>
      <c r="N1399">
        <v>705386653</v>
      </c>
      <c r="O1399">
        <v>645926210</v>
      </c>
      <c r="P1399">
        <v>864</v>
      </c>
      <c r="Q1399" t="s">
        <v>3101</v>
      </c>
    </row>
    <row r="1400" spans="1:17" x14ac:dyDescent="0.3">
      <c r="A1400" t="s">
        <v>75</v>
      </c>
      <c r="B1400" t="str">
        <f>"002897"</f>
        <v>002897</v>
      </c>
      <c r="C1400" t="s">
        <v>3102</v>
      </c>
      <c r="D1400" t="s">
        <v>169</v>
      </c>
      <c r="E1400">
        <v>944445399</v>
      </c>
      <c r="F1400">
        <v>769444374</v>
      </c>
      <c r="G1400">
        <v>750589504</v>
      </c>
      <c r="H1400">
        <v>339761770</v>
      </c>
      <c r="I1400">
        <v>323621280</v>
      </c>
      <c r="J1400">
        <v>271992280</v>
      </c>
      <c r="P1400">
        <v>234</v>
      </c>
      <c r="Q1400" t="s">
        <v>3103</v>
      </c>
    </row>
    <row r="1401" spans="1:17" x14ac:dyDescent="0.3">
      <c r="A1401" t="s">
        <v>75</v>
      </c>
      <c r="B1401" t="str">
        <f>"300607"</f>
        <v>300607</v>
      </c>
      <c r="C1401" t="s">
        <v>3104</v>
      </c>
      <c r="D1401" t="s">
        <v>3105</v>
      </c>
      <c r="E1401">
        <v>943992452</v>
      </c>
      <c r="F1401">
        <v>409975811</v>
      </c>
      <c r="G1401">
        <v>1043202019</v>
      </c>
      <c r="H1401">
        <v>205996079</v>
      </c>
      <c r="I1401">
        <v>202000825</v>
      </c>
      <c r="J1401">
        <v>147253592</v>
      </c>
      <c r="K1401">
        <v>93932690</v>
      </c>
      <c r="P1401">
        <v>1388</v>
      </c>
      <c r="Q1401" t="s">
        <v>3106</v>
      </c>
    </row>
    <row r="1402" spans="1:17" x14ac:dyDescent="0.3">
      <c r="A1402" t="s">
        <v>75</v>
      </c>
      <c r="B1402" t="str">
        <f>"003038"</f>
        <v>003038</v>
      </c>
      <c r="C1402" t="s">
        <v>3107</v>
      </c>
      <c r="D1402" t="s">
        <v>96</v>
      </c>
      <c r="E1402">
        <v>942851204</v>
      </c>
      <c r="F1402">
        <v>428391616</v>
      </c>
      <c r="G1402">
        <v>222883565</v>
      </c>
      <c r="P1402">
        <v>74</v>
      </c>
      <c r="Q1402" t="s">
        <v>3108</v>
      </c>
    </row>
    <row r="1403" spans="1:17" x14ac:dyDescent="0.3">
      <c r="A1403" t="s">
        <v>75</v>
      </c>
      <c r="B1403" t="str">
        <f>"002324"</f>
        <v>002324</v>
      </c>
      <c r="C1403" t="s">
        <v>3109</v>
      </c>
      <c r="D1403" t="s">
        <v>639</v>
      </c>
      <c r="E1403">
        <v>942226909</v>
      </c>
      <c r="F1403">
        <v>963196067</v>
      </c>
      <c r="G1403">
        <v>644416473</v>
      </c>
      <c r="H1403">
        <v>779555969</v>
      </c>
      <c r="I1403">
        <v>510187318</v>
      </c>
      <c r="J1403">
        <v>526248896</v>
      </c>
      <c r="K1403">
        <v>587548808</v>
      </c>
      <c r="L1403">
        <v>510448893</v>
      </c>
      <c r="M1403">
        <v>376222077</v>
      </c>
      <c r="N1403">
        <v>283307079</v>
      </c>
      <c r="O1403">
        <v>286902363</v>
      </c>
      <c r="P1403">
        <v>212</v>
      </c>
      <c r="Q1403" t="s">
        <v>3110</v>
      </c>
    </row>
    <row r="1404" spans="1:17" x14ac:dyDescent="0.3">
      <c r="A1404" t="s">
        <v>75</v>
      </c>
      <c r="B1404" t="str">
        <f>"000799"</f>
        <v>000799</v>
      </c>
      <c r="C1404" t="s">
        <v>3111</v>
      </c>
      <c r="D1404" t="s">
        <v>201</v>
      </c>
      <c r="E1404">
        <v>941758556</v>
      </c>
      <c r="F1404">
        <v>802331177</v>
      </c>
      <c r="G1404">
        <v>297656378</v>
      </c>
      <c r="H1404">
        <v>361463186</v>
      </c>
      <c r="I1404">
        <v>274473813</v>
      </c>
      <c r="J1404">
        <v>151270295</v>
      </c>
      <c r="K1404">
        <v>168963809</v>
      </c>
      <c r="L1404">
        <v>155097352</v>
      </c>
      <c r="M1404">
        <v>71191768</v>
      </c>
      <c r="N1404">
        <v>98412368</v>
      </c>
      <c r="O1404">
        <v>473935324</v>
      </c>
      <c r="P1404">
        <v>1661</v>
      </c>
      <c r="Q1404" t="s">
        <v>3112</v>
      </c>
    </row>
    <row r="1405" spans="1:17" x14ac:dyDescent="0.3">
      <c r="A1405" t="s">
        <v>75</v>
      </c>
      <c r="B1405" t="str">
        <f>"000989"</f>
        <v>000989</v>
      </c>
      <c r="C1405" t="s">
        <v>3113</v>
      </c>
      <c r="D1405" t="s">
        <v>321</v>
      </c>
      <c r="E1405">
        <v>940079661</v>
      </c>
      <c r="F1405">
        <v>836239093</v>
      </c>
      <c r="G1405">
        <v>772943970</v>
      </c>
      <c r="H1405">
        <v>903871715</v>
      </c>
      <c r="I1405">
        <v>756496915</v>
      </c>
      <c r="J1405">
        <v>643921741</v>
      </c>
      <c r="K1405">
        <v>614541386</v>
      </c>
      <c r="L1405">
        <v>404086986</v>
      </c>
      <c r="M1405">
        <v>320373025</v>
      </c>
      <c r="N1405">
        <v>348375692</v>
      </c>
      <c r="O1405">
        <v>298735081</v>
      </c>
      <c r="P1405">
        <v>370</v>
      </c>
      <c r="Q1405" t="s">
        <v>3114</v>
      </c>
    </row>
    <row r="1406" spans="1:17" x14ac:dyDescent="0.3">
      <c r="A1406" t="s">
        <v>75</v>
      </c>
      <c r="B1406" t="str">
        <f>"002479"</f>
        <v>002479</v>
      </c>
      <c r="C1406" t="s">
        <v>3115</v>
      </c>
      <c r="D1406" t="s">
        <v>446</v>
      </c>
      <c r="E1406">
        <v>939533997</v>
      </c>
      <c r="F1406">
        <v>846293856</v>
      </c>
      <c r="G1406">
        <v>1104400369</v>
      </c>
      <c r="H1406">
        <v>616671782</v>
      </c>
      <c r="I1406">
        <v>1042585595</v>
      </c>
      <c r="J1406">
        <v>693945327</v>
      </c>
      <c r="K1406">
        <v>670490521</v>
      </c>
      <c r="L1406">
        <v>776228317</v>
      </c>
      <c r="M1406">
        <v>931061566</v>
      </c>
      <c r="N1406">
        <v>835143742</v>
      </c>
      <c r="O1406">
        <v>665383121</v>
      </c>
      <c r="P1406">
        <v>158</v>
      </c>
      <c r="Q1406" t="s">
        <v>3116</v>
      </c>
    </row>
    <row r="1407" spans="1:17" x14ac:dyDescent="0.3">
      <c r="A1407" t="s">
        <v>75</v>
      </c>
      <c r="B1407" t="str">
        <f>"300337"</f>
        <v>300337</v>
      </c>
      <c r="C1407" t="s">
        <v>3117</v>
      </c>
      <c r="D1407" t="s">
        <v>96</v>
      </c>
      <c r="E1407">
        <v>938883479</v>
      </c>
      <c r="F1407">
        <v>637664461</v>
      </c>
      <c r="G1407">
        <v>412572984</v>
      </c>
      <c r="H1407">
        <v>555349889</v>
      </c>
      <c r="I1407">
        <v>298503626</v>
      </c>
      <c r="J1407">
        <v>271275719</v>
      </c>
      <c r="K1407">
        <v>234508200</v>
      </c>
      <c r="L1407">
        <v>198396534</v>
      </c>
      <c r="M1407">
        <v>233205056</v>
      </c>
      <c r="N1407">
        <v>165464674</v>
      </c>
      <c r="O1407">
        <v>195745604</v>
      </c>
      <c r="P1407">
        <v>142</v>
      </c>
      <c r="Q1407" t="s">
        <v>3118</v>
      </c>
    </row>
    <row r="1408" spans="1:17" x14ac:dyDescent="0.3">
      <c r="A1408" t="s">
        <v>75</v>
      </c>
      <c r="B1408" t="str">
        <f>"300616"</f>
        <v>300616</v>
      </c>
      <c r="C1408" t="s">
        <v>3119</v>
      </c>
      <c r="D1408" t="s">
        <v>1004</v>
      </c>
      <c r="E1408">
        <v>938631944</v>
      </c>
      <c r="F1408">
        <v>1105180679</v>
      </c>
      <c r="G1408">
        <v>534912676</v>
      </c>
      <c r="H1408">
        <v>1266000959</v>
      </c>
      <c r="I1408">
        <v>1209525285</v>
      </c>
      <c r="J1408">
        <v>951265733</v>
      </c>
      <c r="K1408">
        <v>703545542</v>
      </c>
      <c r="P1408">
        <v>694</v>
      </c>
      <c r="Q1408" t="s">
        <v>3120</v>
      </c>
    </row>
    <row r="1409" spans="1:17" x14ac:dyDescent="0.3">
      <c r="A1409" t="s">
        <v>17</v>
      </c>
      <c r="B1409" t="str">
        <f>"603365"</f>
        <v>603365</v>
      </c>
      <c r="C1409" t="s">
        <v>3121</v>
      </c>
      <c r="D1409" t="s">
        <v>2219</v>
      </c>
      <c r="E1409">
        <v>937340814</v>
      </c>
      <c r="F1409">
        <v>933939723</v>
      </c>
      <c r="G1409">
        <v>540285501</v>
      </c>
      <c r="H1409">
        <v>691471174</v>
      </c>
      <c r="I1409">
        <v>662848125</v>
      </c>
      <c r="J1409">
        <v>541810460</v>
      </c>
      <c r="P1409">
        <v>243</v>
      </c>
      <c r="Q1409" t="s">
        <v>3122</v>
      </c>
    </row>
    <row r="1410" spans="1:17" x14ac:dyDescent="0.3">
      <c r="A1410" t="s">
        <v>75</v>
      </c>
      <c r="B1410" t="str">
        <f>"002138"</f>
        <v>002138</v>
      </c>
      <c r="C1410" t="s">
        <v>3123</v>
      </c>
      <c r="D1410" t="s">
        <v>2109</v>
      </c>
      <c r="E1410">
        <v>937144809</v>
      </c>
      <c r="F1410">
        <v>1039355819</v>
      </c>
      <c r="G1410">
        <v>887497821</v>
      </c>
      <c r="H1410">
        <v>553586303</v>
      </c>
      <c r="I1410">
        <v>658412494</v>
      </c>
      <c r="J1410">
        <v>466919347</v>
      </c>
      <c r="K1410">
        <v>363409375</v>
      </c>
      <c r="L1410">
        <v>298634212</v>
      </c>
      <c r="M1410">
        <v>281556187</v>
      </c>
      <c r="N1410">
        <v>192205849</v>
      </c>
      <c r="O1410">
        <v>153300247</v>
      </c>
      <c r="P1410">
        <v>1065</v>
      </c>
      <c r="Q1410" t="s">
        <v>3124</v>
      </c>
    </row>
    <row r="1411" spans="1:17" x14ac:dyDescent="0.3">
      <c r="A1411" t="s">
        <v>17</v>
      </c>
      <c r="B1411" t="str">
        <f>"601222"</f>
        <v>601222</v>
      </c>
      <c r="C1411" t="s">
        <v>3125</v>
      </c>
      <c r="D1411" t="s">
        <v>3126</v>
      </c>
      <c r="E1411">
        <v>936406990</v>
      </c>
      <c r="F1411">
        <v>699099374</v>
      </c>
      <c r="G1411">
        <v>627983711</v>
      </c>
      <c r="H1411">
        <v>844738510</v>
      </c>
      <c r="I1411">
        <v>652935447</v>
      </c>
      <c r="J1411">
        <v>734768889</v>
      </c>
      <c r="K1411">
        <v>393892705</v>
      </c>
      <c r="L1411">
        <v>449647812</v>
      </c>
      <c r="M1411">
        <v>362219365</v>
      </c>
      <c r="N1411">
        <v>299482205</v>
      </c>
      <c r="O1411">
        <v>312578747</v>
      </c>
      <c r="P1411">
        <v>556</v>
      </c>
      <c r="Q1411" t="s">
        <v>3127</v>
      </c>
    </row>
    <row r="1412" spans="1:17" x14ac:dyDescent="0.3">
      <c r="A1412" t="s">
        <v>75</v>
      </c>
      <c r="B1412" t="str">
        <f>"002019"</f>
        <v>002019</v>
      </c>
      <c r="C1412" t="s">
        <v>3128</v>
      </c>
      <c r="D1412" t="s">
        <v>543</v>
      </c>
      <c r="E1412">
        <v>935431311</v>
      </c>
      <c r="F1412">
        <v>1168241787</v>
      </c>
      <c r="G1412">
        <v>1097025816</v>
      </c>
      <c r="H1412">
        <v>1041860929</v>
      </c>
      <c r="I1412">
        <v>1294021981</v>
      </c>
      <c r="J1412">
        <v>796987287</v>
      </c>
      <c r="K1412">
        <v>690014253</v>
      </c>
      <c r="L1412">
        <v>618965424</v>
      </c>
      <c r="M1412">
        <v>161461219</v>
      </c>
      <c r="N1412">
        <v>136350310</v>
      </c>
      <c r="O1412">
        <v>117013262</v>
      </c>
      <c r="P1412">
        <v>974</v>
      </c>
      <c r="Q1412" t="s">
        <v>3129</v>
      </c>
    </row>
    <row r="1413" spans="1:17" x14ac:dyDescent="0.3">
      <c r="A1413" t="s">
        <v>75</v>
      </c>
      <c r="B1413" t="str">
        <f>"000735"</f>
        <v>000735</v>
      </c>
      <c r="C1413" t="s">
        <v>3130</v>
      </c>
      <c r="D1413" t="s">
        <v>218</v>
      </c>
      <c r="E1413">
        <v>934180624</v>
      </c>
      <c r="F1413">
        <v>553681756</v>
      </c>
      <c r="G1413">
        <v>558351277</v>
      </c>
      <c r="H1413">
        <v>215912976</v>
      </c>
      <c r="I1413">
        <v>220761640</v>
      </c>
      <c r="J1413">
        <v>313473593</v>
      </c>
      <c r="K1413">
        <v>273582463</v>
      </c>
      <c r="L1413">
        <v>216526053</v>
      </c>
      <c r="M1413">
        <v>317839273</v>
      </c>
      <c r="N1413">
        <v>334920510</v>
      </c>
      <c r="O1413">
        <v>251718554</v>
      </c>
      <c r="P1413">
        <v>290</v>
      </c>
      <c r="Q1413" t="s">
        <v>3131</v>
      </c>
    </row>
    <row r="1414" spans="1:17" x14ac:dyDescent="0.3">
      <c r="A1414" t="s">
        <v>17</v>
      </c>
      <c r="B1414" t="str">
        <f>"600363"</f>
        <v>600363</v>
      </c>
      <c r="C1414" t="s">
        <v>3132</v>
      </c>
      <c r="D1414" t="s">
        <v>1044</v>
      </c>
      <c r="E1414">
        <v>933936381</v>
      </c>
      <c r="F1414">
        <v>749495786</v>
      </c>
      <c r="G1414">
        <v>781910606</v>
      </c>
      <c r="H1414">
        <v>723727102</v>
      </c>
      <c r="I1414">
        <v>606079371</v>
      </c>
      <c r="J1414">
        <v>444266546</v>
      </c>
      <c r="K1414">
        <v>493160270</v>
      </c>
      <c r="L1414">
        <v>448446756</v>
      </c>
      <c r="M1414">
        <v>309709963</v>
      </c>
      <c r="N1414">
        <v>261813250</v>
      </c>
      <c r="O1414">
        <v>244051928</v>
      </c>
      <c r="P1414">
        <v>202</v>
      </c>
      <c r="Q1414" t="s">
        <v>3133</v>
      </c>
    </row>
    <row r="1415" spans="1:17" x14ac:dyDescent="0.3">
      <c r="A1415" t="s">
        <v>75</v>
      </c>
      <c r="B1415" t="str">
        <f>"002154"</f>
        <v>002154</v>
      </c>
      <c r="C1415" t="s">
        <v>3134</v>
      </c>
      <c r="D1415" t="s">
        <v>814</v>
      </c>
      <c r="E1415">
        <v>933169714</v>
      </c>
      <c r="F1415">
        <v>889909092</v>
      </c>
      <c r="G1415">
        <v>594587291</v>
      </c>
      <c r="H1415">
        <v>739251619</v>
      </c>
      <c r="I1415">
        <v>711245116</v>
      </c>
      <c r="J1415">
        <v>504708970</v>
      </c>
      <c r="K1415">
        <v>525215798</v>
      </c>
      <c r="L1415">
        <v>551441564</v>
      </c>
      <c r="M1415">
        <v>602653718</v>
      </c>
      <c r="N1415">
        <v>527702449</v>
      </c>
      <c r="O1415">
        <v>529072366</v>
      </c>
      <c r="P1415">
        <v>204</v>
      </c>
      <c r="Q1415" t="s">
        <v>3135</v>
      </c>
    </row>
    <row r="1416" spans="1:17" x14ac:dyDescent="0.3">
      <c r="A1416" t="s">
        <v>75</v>
      </c>
      <c r="B1416" t="str">
        <f>"300373"</f>
        <v>300373</v>
      </c>
      <c r="C1416" t="s">
        <v>3136</v>
      </c>
      <c r="D1416" t="s">
        <v>2728</v>
      </c>
      <c r="E1416">
        <v>933116525</v>
      </c>
      <c r="F1416">
        <v>685615327</v>
      </c>
      <c r="G1416">
        <v>485169012</v>
      </c>
      <c r="H1416">
        <v>387451814</v>
      </c>
      <c r="I1416">
        <v>330106053</v>
      </c>
      <c r="J1416">
        <v>261691543</v>
      </c>
      <c r="K1416">
        <v>168073014</v>
      </c>
      <c r="L1416">
        <v>145573238</v>
      </c>
      <c r="M1416">
        <v>146374373</v>
      </c>
      <c r="N1416">
        <v>116490796</v>
      </c>
      <c r="P1416">
        <v>4305</v>
      </c>
      <c r="Q1416" t="s">
        <v>3137</v>
      </c>
    </row>
    <row r="1417" spans="1:17" x14ac:dyDescent="0.3">
      <c r="A1417" t="s">
        <v>75</v>
      </c>
      <c r="B1417" t="str">
        <f>"002461"</f>
        <v>002461</v>
      </c>
      <c r="C1417" t="s">
        <v>3138</v>
      </c>
      <c r="D1417" t="s">
        <v>671</v>
      </c>
      <c r="E1417">
        <v>932237568</v>
      </c>
      <c r="F1417">
        <v>894657410</v>
      </c>
      <c r="G1417">
        <v>616620459</v>
      </c>
      <c r="H1417">
        <v>842895822</v>
      </c>
      <c r="I1417">
        <v>780380254</v>
      </c>
      <c r="J1417">
        <v>723272165</v>
      </c>
      <c r="K1417">
        <v>692012036</v>
      </c>
      <c r="L1417">
        <v>738224474</v>
      </c>
      <c r="M1417">
        <v>479469242</v>
      </c>
      <c r="N1417">
        <v>579125046</v>
      </c>
      <c r="O1417">
        <v>485840588</v>
      </c>
      <c r="P1417">
        <v>461</v>
      </c>
      <c r="Q1417" t="s">
        <v>3139</v>
      </c>
    </row>
    <row r="1418" spans="1:17" x14ac:dyDescent="0.3">
      <c r="A1418" t="s">
        <v>17</v>
      </c>
      <c r="B1418" t="str">
        <f>"603197"</f>
        <v>603197</v>
      </c>
      <c r="C1418" t="s">
        <v>3140</v>
      </c>
      <c r="D1418" t="s">
        <v>1321</v>
      </c>
      <c r="E1418">
        <v>931597409</v>
      </c>
      <c r="F1418">
        <v>987791787</v>
      </c>
      <c r="G1418">
        <v>839427811</v>
      </c>
      <c r="H1418">
        <v>724656257</v>
      </c>
      <c r="I1418">
        <v>508027348</v>
      </c>
      <c r="J1418">
        <v>440667554</v>
      </c>
      <c r="K1418">
        <v>354151990</v>
      </c>
      <c r="P1418">
        <v>357</v>
      </c>
      <c r="Q1418" t="s">
        <v>3141</v>
      </c>
    </row>
    <row r="1419" spans="1:17" x14ac:dyDescent="0.3">
      <c r="A1419" t="s">
        <v>75</v>
      </c>
      <c r="B1419" t="str">
        <f>"002313"</f>
        <v>002313</v>
      </c>
      <c r="C1419" t="s">
        <v>3142</v>
      </c>
      <c r="D1419" t="s">
        <v>556</v>
      </c>
      <c r="E1419">
        <v>931318892</v>
      </c>
      <c r="F1419">
        <v>799385815</v>
      </c>
      <c r="G1419">
        <v>814489649</v>
      </c>
      <c r="H1419">
        <v>1306403297</v>
      </c>
      <c r="I1419">
        <v>765912008</v>
      </c>
      <c r="J1419">
        <v>595499527</v>
      </c>
      <c r="K1419">
        <v>616792390</v>
      </c>
      <c r="L1419">
        <v>656831656</v>
      </c>
      <c r="M1419">
        <v>488207042</v>
      </c>
      <c r="N1419">
        <v>337927967</v>
      </c>
      <c r="O1419">
        <v>362715219</v>
      </c>
      <c r="P1419">
        <v>243</v>
      </c>
      <c r="Q1419" t="s">
        <v>3143</v>
      </c>
    </row>
    <row r="1420" spans="1:17" x14ac:dyDescent="0.3">
      <c r="A1420" t="s">
        <v>75</v>
      </c>
      <c r="B1420" t="str">
        <f>"000153"</f>
        <v>000153</v>
      </c>
      <c r="C1420" t="s">
        <v>3144</v>
      </c>
      <c r="D1420" t="s">
        <v>543</v>
      </c>
      <c r="E1420">
        <v>930486211</v>
      </c>
      <c r="F1420">
        <v>871382239</v>
      </c>
      <c r="G1420">
        <v>803416834</v>
      </c>
      <c r="H1420">
        <v>798753802</v>
      </c>
      <c r="I1420">
        <v>806324795</v>
      </c>
      <c r="J1420">
        <v>486314926</v>
      </c>
      <c r="K1420">
        <v>433881485</v>
      </c>
      <c r="L1420">
        <v>417843273</v>
      </c>
      <c r="M1420">
        <v>421070457</v>
      </c>
      <c r="N1420">
        <v>395799245</v>
      </c>
      <c r="O1420">
        <v>426174637</v>
      </c>
      <c r="P1420">
        <v>118</v>
      </c>
      <c r="Q1420" t="s">
        <v>3145</v>
      </c>
    </row>
    <row r="1421" spans="1:17" x14ac:dyDescent="0.3">
      <c r="A1421" t="s">
        <v>17</v>
      </c>
      <c r="B1421" t="str">
        <f>"600386"</f>
        <v>600386</v>
      </c>
      <c r="C1421" t="s">
        <v>3146</v>
      </c>
      <c r="D1421" t="s">
        <v>150</v>
      </c>
      <c r="E1421">
        <v>930192309</v>
      </c>
      <c r="F1421">
        <v>971460129</v>
      </c>
      <c r="G1421">
        <v>748997363</v>
      </c>
      <c r="H1421">
        <v>1208450154</v>
      </c>
      <c r="I1421">
        <v>1141595420</v>
      </c>
      <c r="J1421">
        <v>978568001</v>
      </c>
      <c r="K1421">
        <v>781747661</v>
      </c>
      <c r="L1421">
        <v>673510884</v>
      </c>
      <c r="M1421">
        <v>772609099</v>
      </c>
      <c r="N1421">
        <v>706295705</v>
      </c>
      <c r="O1421">
        <v>737821581</v>
      </c>
      <c r="P1421">
        <v>96</v>
      </c>
      <c r="Q1421" t="s">
        <v>3147</v>
      </c>
    </row>
    <row r="1422" spans="1:17" x14ac:dyDescent="0.3">
      <c r="A1422" t="s">
        <v>17</v>
      </c>
      <c r="B1422" t="str">
        <f>"601908"</f>
        <v>601908</v>
      </c>
      <c r="C1422" t="s">
        <v>3148</v>
      </c>
      <c r="D1422" t="s">
        <v>3126</v>
      </c>
      <c r="E1422">
        <v>929924404</v>
      </c>
      <c r="F1422">
        <v>450937825</v>
      </c>
      <c r="G1422">
        <v>256942274</v>
      </c>
      <c r="H1422">
        <v>125748077</v>
      </c>
      <c r="I1422">
        <v>150251398</v>
      </c>
      <c r="J1422">
        <v>112125215</v>
      </c>
      <c r="K1422">
        <v>188128587</v>
      </c>
      <c r="L1422">
        <v>49170283</v>
      </c>
      <c r="M1422">
        <v>80403289</v>
      </c>
      <c r="N1422">
        <v>128277181</v>
      </c>
      <c r="O1422">
        <v>83569398</v>
      </c>
      <c r="P1422">
        <v>318</v>
      </c>
      <c r="Q1422" t="s">
        <v>3149</v>
      </c>
    </row>
    <row r="1423" spans="1:17" x14ac:dyDescent="0.3">
      <c r="A1423" t="s">
        <v>17</v>
      </c>
      <c r="B1423" t="str">
        <f>"600162"</f>
        <v>600162</v>
      </c>
      <c r="C1423" t="s">
        <v>3150</v>
      </c>
      <c r="D1423" t="s">
        <v>65</v>
      </c>
      <c r="E1423">
        <v>929396587</v>
      </c>
      <c r="F1423">
        <v>1340082521</v>
      </c>
      <c r="G1423">
        <v>1185033855</v>
      </c>
      <c r="H1423">
        <v>1717925520</v>
      </c>
      <c r="I1423">
        <v>752894502</v>
      </c>
      <c r="J1423">
        <v>1038562281</v>
      </c>
      <c r="K1423">
        <v>836795876</v>
      </c>
      <c r="L1423">
        <v>1008416683</v>
      </c>
      <c r="M1423">
        <v>575271964</v>
      </c>
      <c r="N1423">
        <v>1086114620</v>
      </c>
      <c r="O1423">
        <v>1085140539</v>
      </c>
      <c r="P1423">
        <v>170</v>
      </c>
      <c r="Q1423" t="s">
        <v>3151</v>
      </c>
    </row>
    <row r="1424" spans="1:17" x14ac:dyDescent="0.3">
      <c r="A1424" t="s">
        <v>75</v>
      </c>
      <c r="B1424" t="str">
        <f>"300012"</f>
        <v>300012</v>
      </c>
      <c r="C1424" t="s">
        <v>3152</v>
      </c>
      <c r="D1424" t="s">
        <v>3153</v>
      </c>
      <c r="E1424">
        <v>929373812</v>
      </c>
      <c r="F1424">
        <v>852506655</v>
      </c>
      <c r="G1424">
        <v>511447941</v>
      </c>
      <c r="H1424">
        <v>553407066</v>
      </c>
      <c r="I1424">
        <v>450287325</v>
      </c>
      <c r="J1424">
        <v>378521838</v>
      </c>
      <c r="K1424">
        <v>276821319</v>
      </c>
      <c r="L1424">
        <v>235689125</v>
      </c>
      <c r="M1424">
        <v>172920354</v>
      </c>
      <c r="N1424">
        <v>151096653</v>
      </c>
      <c r="O1424">
        <v>113560930</v>
      </c>
      <c r="P1424">
        <v>1300</v>
      </c>
      <c r="Q1424" t="s">
        <v>3154</v>
      </c>
    </row>
    <row r="1425" spans="1:17" x14ac:dyDescent="0.3">
      <c r="A1425" t="s">
        <v>75</v>
      </c>
      <c r="B1425" t="str">
        <f>"002544"</f>
        <v>002544</v>
      </c>
      <c r="C1425" t="s">
        <v>3155</v>
      </c>
      <c r="D1425" t="s">
        <v>1647</v>
      </c>
      <c r="E1425">
        <v>929214731</v>
      </c>
      <c r="F1425">
        <v>1109600372</v>
      </c>
      <c r="G1425">
        <v>1054418965</v>
      </c>
      <c r="H1425">
        <v>970232953</v>
      </c>
      <c r="I1425">
        <v>1130249683</v>
      </c>
      <c r="J1425">
        <v>649119252</v>
      </c>
      <c r="K1425">
        <v>467712335</v>
      </c>
      <c r="L1425">
        <v>387927670</v>
      </c>
      <c r="M1425">
        <v>255720076</v>
      </c>
      <c r="N1425">
        <v>264808336</v>
      </c>
      <c r="O1425">
        <v>235728362</v>
      </c>
      <c r="P1425">
        <v>324</v>
      </c>
      <c r="Q1425" t="s">
        <v>3156</v>
      </c>
    </row>
    <row r="1426" spans="1:17" x14ac:dyDescent="0.3">
      <c r="A1426" t="s">
        <v>75</v>
      </c>
      <c r="B1426" t="str">
        <f>"002611"</f>
        <v>002611</v>
      </c>
      <c r="C1426" t="s">
        <v>3157</v>
      </c>
      <c r="D1426" t="s">
        <v>3158</v>
      </c>
      <c r="E1426">
        <v>928486238</v>
      </c>
      <c r="F1426">
        <v>731987864</v>
      </c>
      <c r="G1426">
        <v>695219287</v>
      </c>
      <c r="H1426">
        <v>2589521846</v>
      </c>
      <c r="I1426">
        <v>1032855298</v>
      </c>
      <c r="J1426">
        <v>402195864</v>
      </c>
      <c r="K1426">
        <v>418675575</v>
      </c>
      <c r="L1426">
        <v>197036359</v>
      </c>
      <c r="M1426">
        <v>70706457</v>
      </c>
      <c r="N1426">
        <v>39305949</v>
      </c>
      <c r="O1426">
        <v>72567981</v>
      </c>
      <c r="P1426">
        <v>208</v>
      </c>
      <c r="Q1426" t="s">
        <v>3159</v>
      </c>
    </row>
    <row r="1427" spans="1:17" x14ac:dyDescent="0.3">
      <c r="A1427" t="s">
        <v>17</v>
      </c>
      <c r="B1427" t="str">
        <f>"603992"</f>
        <v>603992</v>
      </c>
      <c r="C1427" t="s">
        <v>3160</v>
      </c>
      <c r="D1427" t="s">
        <v>2617</v>
      </c>
      <c r="E1427">
        <v>927538390</v>
      </c>
      <c r="F1427">
        <v>601945152</v>
      </c>
      <c r="G1427">
        <v>457416964</v>
      </c>
      <c r="H1427">
        <v>406130143</v>
      </c>
      <c r="P1427">
        <v>120</v>
      </c>
      <c r="Q1427" t="s">
        <v>3161</v>
      </c>
    </row>
    <row r="1428" spans="1:17" x14ac:dyDescent="0.3">
      <c r="A1428" t="s">
        <v>75</v>
      </c>
      <c r="B1428" t="str">
        <f>"000903"</f>
        <v>000903</v>
      </c>
      <c r="C1428" t="s">
        <v>3162</v>
      </c>
      <c r="D1428" t="s">
        <v>172</v>
      </c>
      <c r="E1428">
        <v>927154278</v>
      </c>
      <c r="F1428">
        <v>1997288507</v>
      </c>
      <c r="G1428">
        <v>1737260171</v>
      </c>
      <c r="H1428">
        <v>1905204640</v>
      </c>
      <c r="I1428">
        <v>1805476583</v>
      </c>
      <c r="J1428">
        <v>901147729</v>
      </c>
      <c r="K1428">
        <v>733920127</v>
      </c>
      <c r="L1428">
        <v>687095542</v>
      </c>
      <c r="M1428">
        <v>503771667</v>
      </c>
      <c r="N1428">
        <v>417945465</v>
      </c>
      <c r="O1428">
        <v>511370478</v>
      </c>
      <c r="P1428">
        <v>155</v>
      </c>
      <c r="Q1428" t="s">
        <v>3163</v>
      </c>
    </row>
    <row r="1429" spans="1:17" x14ac:dyDescent="0.3">
      <c r="A1429" t="s">
        <v>17</v>
      </c>
      <c r="B1429" t="str">
        <f>"601975"</f>
        <v>601975</v>
      </c>
      <c r="C1429" t="s">
        <v>3164</v>
      </c>
      <c r="D1429" t="s">
        <v>62</v>
      </c>
      <c r="E1429">
        <v>926723630</v>
      </c>
      <c r="F1429">
        <v>870757498</v>
      </c>
      <c r="G1429">
        <v>898294032</v>
      </c>
      <c r="H1429">
        <v>850280906</v>
      </c>
      <c r="I1429">
        <v>846003905</v>
      </c>
      <c r="M1429">
        <v>1800836752</v>
      </c>
      <c r="N1429">
        <v>2132125595</v>
      </c>
      <c r="O1429">
        <v>1304110104</v>
      </c>
      <c r="P1429">
        <v>270</v>
      </c>
      <c r="Q1429" t="s">
        <v>3165</v>
      </c>
    </row>
    <row r="1430" spans="1:17" x14ac:dyDescent="0.3">
      <c r="A1430" t="s">
        <v>75</v>
      </c>
      <c r="B1430" t="str">
        <f>"002746"</f>
        <v>002746</v>
      </c>
      <c r="C1430" t="s">
        <v>3166</v>
      </c>
      <c r="D1430" t="s">
        <v>1200</v>
      </c>
      <c r="E1430">
        <v>925935771</v>
      </c>
      <c r="F1430">
        <v>659730055</v>
      </c>
      <c r="G1430">
        <v>755888618</v>
      </c>
      <c r="H1430">
        <v>753475628</v>
      </c>
      <c r="I1430">
        <v>470362332</v>
      </c>
      <c r="J1430">
        <v>542451636</v>
      </c>
      <c r="K1430">
        <v>399673120</v>
      </c>
      <c r="L1430">
        <v>554688678</v>
      </c>
      <c r="M1430">
        <v>389035272</v>
      </c>
      <c r="P1430">
        <v>457</v>
      </c>
      <c r="Q1430" t="s">
        <v>3167</v>
      </c>
    </row>
    <row r="1431" spans="1:17" x14ac:dyDescent="0.3">
      <c r="A1431" t="s">
        <v>17</v>
      </c>
      <c r="B1431" t="str">
        <f>"605339"</f>
        <v>605339</v>
      </c>
      <c r="C1431" t="s">
        <v>3168</v>
      </c>
      <c r="D1431" t="s">
        <v>2178</v>
      </c>
      <c r="E1431">
        <v>925727407</v>
      </c>
      <c r="F1431">
        <v>811808387</v>
      </c>
      <c r="G1431">
        <v>504306166</v>
      </c>
      <c r="P1431">
        <v>66</v>
      </c>
      <c r="Q1431" t="s">
        <v>3169</v>
      </c>
    </row>
    <row r="1432" spans="1:17" x14ac:dyDescent="0.3">
      <c r="A1432" t="s">
        <v>17</v>
      </c>
      <c r="B1432" t="str">
        <f>"600330"</f>
        <v>600330</v>
      </c>
      <c r="C1432" t="s">
        <v>3170</v>
      </c>
      <c r="D1432" t="s">
        <v>1624</v>
      </c>
      <c r="E1432">
        <v>924340656</v>
      </c>
      <c r="F1432">
        <v>667661696</v>
      </c>
      <c r="G1432">
        <v>554879116</v>
      </c>
      <c r="H1432">
        <v>417659999</v>
      </c>
      <c r="I1432">
        <v>407496697</v>
      </c>
      <c r="J1432">
        <v>433471540</v>
      </c>
      <c r="K1432">
        <v>279558123</v>
      </c>
      <c r="L1432">
        <v>310611308</v>
      </c>
      <c r="M1432">
        <v>286796220</v>
      </c>
      <c r="N1432">
        <v>278815537</v>
      </c>
      <c r="O1432">
        <v>263517534</v>
      </c>
      <c r="P1432">
        <v>3157</v>
      </c>
      <c r="Q1432" t="s">
        <v>3171</v>
      </c>
    </row>
    <row r="1433" spans="1:17" x14ac:dyDescent="0.3">
      <c r="A1433" t="s">
        <v>75</v>
      </c>
      <c r="B1433" t="str">
        <f>"002439"</f>
        <v>002439</v>
      </c>
      <c r="C1433" t="s">
        <v>3172</v>
      </c>
      <c r="D1433" t="s">
        <v>989</v>
      </c>
      <c r="E1433">
        <v>922873359</v>
      </c>
      <c r="F1433">
        <v>987369767</v>
      </c>
      <c r="G1433">
        <v>465634800</v>
      </c>
      <c r="H1433">
        <v>595831843</v>
      </c>
      <c r="I1433">
        <v>414348822</v>
      </c>
      <c r="J1433">
        <v>294462103</v>
      </c>
      <c r="K1433">
        <v>258498747</v>
      </c>
      <c r="L1433">
        <v>216592910</v>
      </c>
      <c r="M1433">
        <v>140445528</v>
      </c>
      <c r="N1433">
        <v>136054340</v>
      </c>
      <c r="O1433">
        <v>59645112</v>
      </c>
      <c r="P1433">
        <v>1190</v>
      </c>
      <c r="Q1433" t="s">
        <v>3173</v>
      </c>
    </row>
    <row r="1434" spans="1:17" x14ac:dyDescent="0.3">
      <c r="A1434" t="s">
        <v>75</v>
      </c>
      <c r="B1434" t="str">
        <f>"300257"</f>
        <v>300257</v>
      </c>
      <c r="C1434" t="s">
        <v>3174</v>
      </c>
      <c r="D1434" t="s">
        <v>1424</v>
      </c>
      <c r="E1434">
        <v>922331332</v>
      </c>
      <c r="F1434">
        <v>939487336</v>
      </c>
      <c r="G1434">
        <v>627767298</v>
      </c>
      <c r="H1434">
        <v>748825949</v>
      </c>
      <c r="I1434">
        <v>633495218</v>
      </c>
      <c r="J1434">
        <v>445724298</v>
      </c>
      <c r="K1434">
        <v>367916333</v>
      </c>
      <c r="L1434">
        <v>366285924</v>
      </c>
      <c r="M1434">
        <v>502576494</v>
      </c>
      <c r="N1434">
        <v>387552244</v>
      </c>
      <c r="O1434">
        <v>450648298</v>
      </c>
      <c r="P1434">
        <v>148</v>
      </c>
      <c r="Q1434" t="s">
        <v>3175</v>
      </c>
    </row>
    <row r="1435" spans="1:17" x14ac:dyDescent="0.3">
      <c r="A1435" t="s">
        <v>75</v>
      </c>
      <c r="B1435" t="str">
        <f>"300602"</f>
        <v>300602</v>
      </c>
      <c r="C1435" t="s">
        <v>3176</v>
      </c>
      <c r="D1435" t="s">
        <v>55</v>
      </c>
      <c r="E1435">
        <v>921730392</v>
      </c>
      <c r="F1435">
        <v>734781310</v>
      </c>
      <c r="G1435">
        <v>950867498</v>
      </c>
      <c r="H1435">
        <v>428687120</v>
      </c>
      <c r="I1435">
        <v>299658422</v>
      </c>
      <c r="J1435">
        <v>244639853</v>
      </c>
      <c r="K1435">
        <v>198395176</v>
      </c>
      <c r="P1435">
        <v>597</v>
      </c>
      <c r="Q1435" t="s">
        <v>3177</v>
      </c>
    </row>
    <row r="1436" spans="1:17" x14ac:dyDescent="0.3">
      <c r="A1436" t="s">
        <v>17</v>
      </c>
      <c r="B1436" t="str">
        <f>"600466"</f>
        <v>600466</v>
      </c>
      <c r="C1436" t="s">
        <v>3178</v>
      </c>
      <c r="D1436" t="s">
        <v>65</v>
      </c>
      <c r="E1436">
        <v>919941984</v>
      </c>
      <c r="F1436">
        <v>17373489634</v>
      </c>
      <c r="G1436">
        <v>7604950854</v>
      </c>
      <c r="H1436">
        <v>10989430632</v>
      </c>
      <c r="I1436">
        <v>8714987488</v>
      </c>
      <c r="J1436">
        <v>8849795143</v>
      </c>
      <c r="K1436">
        <v>3746005453</v>
      </c>
      <c r="L1436">
        <v>3803425397</v>
      </c>
      <c r="M1436">
        <v>81431379</v>
      </c>
      <c r="N1436">
        <v>85972519</v>
      </c>
      <c r="O1436">
        <v>91718481</v>
      </c>
      <c r="P1436">
        <v>844</v>
      </c>
      <c r="Q1436" t="s">
        <v>3179</v>
      </c>
    </row>
    <row r="1437" spans="1:17" x14ac:dyDescent="0.3">
      <c r="A1437" t="s">
        <v>17</v>
      </c>
      <c r="B1437" t="str">
        <f>"603801"</f>
        <v>603801</v>
      </c>
      <c r="C1437" t="s">
        <v>3180</v>
      </c>
      <c r="D1437" t="s">
        <v>1004</v>
      </c>
      <c r="E1437">
        <v>919618703</v>
      </c>
      <c r="F1437">
        <v>837113387</v>
      </c>
      <c r="G1437">
        <v>295588920</v>
      </c>
      <c r="H1437">
        <v>316094369</v>
      </c>
      <c r="I1437">
        <v>343027105</v>
      </c>
      <c r="J1437">
        <v>315424938</v>
      </c>
      <c r="K1437">
        <v>176001148</v>
      </c>
      <c r="P1437">
        <v>768</v>
      </c>
      <c r="Q1437" t="s">
        <v>3181</v>
      </c>
    </row>
    <row r="1438" spans="1:17" x14ac:dyDescent="0.3">
      <c r="A1438" t="s">
        <v>17</v>
      </c>
      <c r="B1438" t="str">
        <f>"601949"</f>
        <v>601949</v>
      </c>
      <c r="C1438" t="s">
        <v>3182</v>
      </c>
      <c r="D1438" t="s">
        <v>1703</v>
      </c>
      <c r="E1438">
        <v>918561434</v>
      </c>
      <c r="F1438">
        <v>965491143</v>
      </c>
      <c r="G1438">
        <v>693072679</v>
      </c>
      <c r="H1438">
        <v>892318562</v>
      </c>
      <c r="I1438">
        <v>828394921</v>
      </c>
      <c r="J1438">
        <v>761586505</v>
      </c>
      <c r="K1438">
        <v>0</v>
      </c>
      <c r="P1438">
        <v>160</v>
      </c>
      <c r="Q1438" t="s">
        <v>3183</v>
      </c>
    </row>
    <row r="1439" spans="1:17" x14ac:dyDescent="0.3">
      <c r="A1439" t="s">
        <v>75</v>
      </c>
      <c r="B1439" t="str">
        <f>"300332"</f>
        <v>300332</v>
      </c>
      <c r="C1439" t="s">
        <v>3184</v>
      </c>
      <c r="D1439" t="s">
        <v>147</v>
      </c>
      <c r="E1439">
        <v>917425288</v>
      </c>
      <c r="F1439">
        <v>327077034</v>
      </c>
      <c r="G1439">
        <v>420280575</v>
      </c>
      <c r="H1439">
        <v>443662974</v>
      </c>
      <c r="I1439">
        <v>374783982</v>
      </c>
      <c r="J1439">
        <v>410213277</v>
      </c>
      <c r="K1439">
        <v>283385794</v>
      </c>
      <c r="L1439">
        <v>45779121</v>
      </c>
      <c r="M1439">
        <v>25870784</v>
      </c>
      <c r="N1439">
        <v>44039932</v>
      </c>
      <c r="O1439">
        <v>30043853</v>
      </c>
      <c r="P1439">
        <v>117</v>
      </c>
      <c r="Q1439" t="s">
        <v>3185</v>
      </c>
    </row>
    <row r="1440" spans="1:17" x14ac:dyDescent="0.3">
      <c r="A1440" t="s">
        <v>75</v>
      </c>
      <c r="B1440" t="str">
        <f>"002189"</f>
        <v>002189</v>
      </c>
      <c r="C1440" t="s">
        <v>3186</v>
      </c>
      <c r="D1440" t="s">
        <v>1572</v>
      </c>
      <c r="E1440">
        <v>916761208</v>
      </c>
      <c r="F1440">
        <v>851222361</v>
      </c>
      <c r="G1440">
        <v>674216570</v>
      </c>
      <c r="H1440">
        <v>797530613</v>
      </c>
      <c r="I1440">
        <v>259473250</v>
      </c>
      <c r="J1440">
        <v>214296016</v>
      </c>
      <c r="K1440">
        <v>216921513</v>
      </c>
      <c r="L1440">
        <v>176626899</v>
      </c>
      <c r="M1440">
        <v>147286122</v>
      </c>
      <c r="N1440">
        <v>122862383</v>
      </c>
      <c r="O1440">
        <v>109291569</v>
      </c>
      <c r="P1440">
        <v>221</v>
      </c>
      <c r="Q1440" t="s">
        <v>3187</v>
      </c>
    </row>
    <row r="1441" spans="1:17" x14ac:dyDescent="0.3">
      <c r="A1441" t="s">
        <v>75</v>
      </c>
      <c r="B1441" t="str">
        <f>"300682"</f>
        <v>300682</v>
      </c>
      <c r="C1441" t="s">
        <v>3188</v>
      </c>
      <c r="D1441" t="s">
        <v>224</v>
      </c>
      <c r="E1441">
        <v>916442383</v>
      </c>
      <c r="F1441">
        <v>844889891</v>
      </c>
      <c r="G1441">
        <v>342129820</v>
      </c>
      <c r="H1441">
        <v>193580385</v>
      </c>
      <c r="I1441">
        <v>96941375</v>
      </c>
      <c r="J1441">
        <v>135904634</v>
      </c>
      <c r="K1441">
        <v>89513923</v>
      </c>
      <c r="P1441">
        <v>254</v>
      </c>
      <c r="Q1441" t="s">
        <v>3189</v>
      </c>
    </row>
    <row r="1442" spans="1:17" x14ac:dyDescent="0.3">
      <c r="A1442" t="s">
        <v>75</v>
      </c>
      <c r="B1442" t="str">
        <f>"002328"</f>
        <v>002328</v>
      </c>
      <c r="C1442" t="s">
        <v>3190</v>
      </c>
      <c r="D1442" t="s">
        <v>1321</v>
      </c>
      <c r="E1442">
        <v>915672356</v>
      </c>
      <c r="F1442">
        <v>698215016</v>
      </c>
      <c r="G1442">
        <v>405062400</v>
      </c>
      <c r="H1442">
        <v>504398808</v>
      </c>
      <c r="I1442">
        <v>584527454</v>
      </c>
      <c r="J1442">
        <v>407612299</v>
      </c>
      <c r="K1442">
        <v>618060714</v>
      </c>
      <c r="L1442">
        <v>445508729</v>
      </c>
      <c r="M1442">
        <v>686585417</v>
      </c>
      <c r="N1442">
        <v>469842042</v>
      </c>
      <c r="O1442">
        <v>293520636</v>
      </c>
      <c r="P1442">
        <v>110</v>
      </c>
      <c r="Q1442" t="s">
        <v>3191</v>
      </c>
    </row>
    <row r="1443" spans="1:17" x14ac:dyDescent="0.3">
      <c r="A1443" t="s">
        <v>75</v>
      </c>
      <c r="B1443" t="str">
        <f>"002332"</f>
        <v>002332</v>
      </c>
      <c r="C1443" t="s">
        <v>3192</v>
      </c>
      <c r="D1443" t="s">
        <v>543</v>
      </c>
      <c r="E1443">
        <v>915363728</v>
      </c>
      <c r="F1443">
        <v>927546966</v>
      </c>
      <c r="G1443">
        <v>738938919</v>
      </c>
      <c r="H1443">
        <v>776002851</v>
      </c>
      <c r="I1443">
        <v>782299171</v>
      </c>
      <c r="J1443">
        <v>489810222</v>
      </c>
      <c r="K1443">
        <v>575606313</v>
      </c>
      <c r="L1443">
        <v>585895349</v>
      </c>
      <c r="M1443">
        <v>538410968</v>
      </c>
      <c r="N1443">
        <v>530694864</v>
      </c>
      <c r="O1443">
        <v>372130809</v>
      </c>
      <c r="P1443">
        <v>385</v>
      </c>
      <c r="Q1443" t="s">
        <v>3193</v>
      </c>
    </row>
    <row r="1444" spans="1:17" x14ac:dyDescent="0.3">
      <c r="A1444" t="s">
        <v>75</v>
      </c>
      <c r="B1444" t="str">
        <f>"002517"</f>
        <v>002517</v>
      </c>
      <c r="C1444" t="s">
        <v>3194</v>
      </c>
      <c r="D1444" t="s">
        <v>1165</v>
      </c>
      <c r="E1444">
        <v>914930602</v>
      </c>
      <c r="F1444">
        <v>417793900</v>
      </c>
      <c r="G1444">
        <v>496587958</v>
      </c>
      <c r="H1444">
        <v>654855658</v>
      </c>
      <c r="I1444">
        <v>631333912</v>
      </c>
      <c r="J1444">
        <v>651604369</v>
      </c>
      <c r="K1444">
        <v>654459917</v>
      </c>
      <c r="L1444">
        <v>91168464</v>
      </c>
      <c r="M1444">
        <v>67290580</v>
      </c>
      <c r="N1444">
        <v>55213050</v>
      </c>
      <c r="O1444">
        <v>83973368</v>
      </c>
      <c r="P1444">
        <v>289</v>
      </c>
      <c r="Q1444" t="s">
        <v>3195</v>
      </c>
    </row>
    <row r="1445" spans="1:17" x14ac:dyDescent="0.3">
      <c r="A1445" t="s">
        <v>17</v>
      </c>
      <c r="B1445" t="str">
        <f>"600984"</f>
        <v>600984</v>
      </c>
      <c r="C1445" t="s">
        <v>3196</v>
      </c>
      <c r="D1445" t="s">
        <v>262</v>
      </c>
      <c r="E1445">
        <v>913516573</v>
      </c>
      <c r="F1445">
        <v>910398837</v>
      </c>
      <c r="G1445">
        <v>455527947</v>
      </c>
      <c r="H1445">
        <v>538779955</v>
      </c>
      <c r="I1445">
        <v>426372003</v>
      </c>
      <c r="J1445">
        <v>273746603</v>
      </c>
      <c r="K1445">
        <v>223862511</v>
      </c>
      <c r="L1445">
        <v>49405660</v>
      </c>
      <c r="M1445">
        <v>70229154</v>
      </c>
      <c r="N1445">
        <v>87311863</v>
      </c>
      <c r="O1445">
        <v>83152509</v>
      </c>
      <c r="P1445">
        <v>279</v>
      </c>
      <c r="Q1445" t="s">
        <v>3197</v>
      </c>
    </row>
    <row r="1446" spans="1:17" x14ac:dyDescent="0.3">
      <c r="A1446" t="s">
        <v>75</v>
      </c>
      <c r="B1446" t="str">
        <f>"300197"</f>
        <v>300197</v>
      </c>
      <c r="C1446" t="s">
        <v>3198</v>
      </c>
      <c r="D1446" t="s">
        <v>1523</v>
      </c>
      <c r="E1446">
        <v>912169925</v>
      </c>
      <c r="F1446">
        <v>1146871411</v>
      </c>
      <c r="G1446">
        <v>1176955774</v>
      </c>
      <c r="H1446">
        <v>1546048233</v>
      </c>
      <c r="I1446">
        <v>1747060877</v>
      </c>
      <c r="J1446">
        <v>1999591096</v>
      </c>
      <c r="K1446">
        <v>770317366</v>
      </c>
      <c r="L1446">
        <v>489365936</v>
      </c>
      <c r="M1446">
        <v>246140141</v>
      </c>
      <c r="N1446">
        <v>123382590</v>
      </c>
      <c r="O1446">
        <v>107938809</v>
      </c>
      <c r="P1446">
        <v>356</v>
      </c>
      <c r="Q1446" t="s">
        <v>3199</v>
      </c>
    </row>
    <row r="1447" spans="1:17" x14ac:dyDescent="0.3">
      <c r="A1447" t="s">
        <v>75</v>
      </c>
      <c r="B1447" t="str">
        <f>"000818"</f>
        <v>000818</v>
      </c>
      <c r="C1447" t="s">
        <v>3200</v>
      </c>
      <c r="D1447" t="s">
        <v>311</v>
      </c>
      <c r="E1447">
        <v>911643900</v>
      </c>
      <c r="F1447">
        <v>1000122235</v>
      </c>
      <c r="G1447">
        <v>661613207</v>
      </c>
      <c r="H1447">
        <v>895153427</v>
      </c>
      <c r="I1447">
        <v>750824554</v>
      </c>
      <c r="J1447">
        <v>718691843</v>
      </c>
      <c r="K1447">
        <v>489006961</v>
      </c>
      <c r="L1447">
        <v>480999231</v>
      </c>
      <c r="M1447">
        <v>558608375</v>
      </c>
      <c r="N1447">
        <v>540504186</v>
      </c>
      <c r="O1447">
        <v>542932720</v>
      </c>
      <c r="P1447">
        <v>258</v>
      </c>
      <c r="Q1447" t="s">
        <v>3201</v>
      </c>
    </row>
    <row r="1448" spans="1:17" x14ac:dyDescent="0.3">
      <c r="A1448" t="s">
        <v>75</v>
      </c>
      <c r="B1448" t="str">
        <f>"300376"</f>
        <v>300376</v>
      </c>
      <c r="C1448" t="s">
        <v>3202</v>
      </c>
      <c r="D1448" t="s">
        <v>2692</v>
      </c>
      <c r="E1448">
        <v>911500699</v>
      </c>
      <c r="F1448">
        <v>961992222</v>
      </c>
      <c r="G1448">
        <v>711608168</v>
      </c>
      <c r="H1448">
        <v>662442967</v>
      </c>
      <c r="I1448">
        <v>823733365</v>
      </c>
      <c r="J1448">
        <v>818095196</v>
      </c>
      <c r="K1448">
        <v>1088299901</v>
      </c>
      <c r="L1448">
        <v>253814823</v>
      </c>
      <c r="M1448">
        <v>222287439</v>
      </c>
      <c r="N1448">
        <v>182747737</v>
      </c>
      <c r="P1448">
        <v>849</v>
      </c>
      <c r="Q1448" t="s">
        <v>3203</v>
      </c>
    </row>
    <row r="1449" spans="1:17" x14ac:dyDescent="0.3">
      <c r="A1449" t="s">
        <v>75</v>
      </c>
      <c r="B1449" t="str">
        <f>"300222"</f>
        <v>300222</v>
      </c>
      <c r="C1449" t="s">
        <v>3204</v>
      </c>
      <c r="D1449" t="s">
        <v>682</v>
      </c>
      <c r="E1449">
        <v>910337936</v>
      </c>
      <c r="F1449">
        <v>749268399</v>
      </c>
      <c r="G1449">
        <v>615298266</v>
      </c>
      <c r="H1449">
        <v>845557960</v>
      </c>
      <c r="I1449">
        <v>614776467</v>
      </c>
      <c r="J1449">
        <v>402077111</v>
      </c>
      <c r="K1449">
        <v>245969699</v>
      </c>
      <c r="L1449">
        <v>161112001</v>
      </c>
      <c r="M1449">
        <v>78101864</v>
      </c>
      <c r="N1449">
        <v>84181194</v>
      </c>
      <c r="O1449">
        <v>21506614</v>
      </c>
      <c r="P1449">
        <v>221</v>
      </c>
      <c r="Q1449" t="s">
        <v>3205</v>
      </c>
    </row>
    <row r="1450" spans="1:17" x14ac:dyDescent="0.3">
      <c r="A1450" t="s">
        <v>75</v>
      </c>
      <c r="B1450" t="str">
        <f>"000619"</f>
        <v>000619</v>
      </c>
      <c r="C1450" t="s">
        <v>3206</v>
      </c>
      <c r="D1450" t="s">
        <v>1257</v>
      </c>
      <c r="E1450">
        <v>909849385</v>
      </c>
      <c r="F1450">
        <v>821940462</v>
      </c>
      <c r="G1450">
        <v>498016796</v>
      </c>
      <c r="H1450">
        <v>884717688</v>
      </c>
      <c r="I1450">
        <v>797821553</v>
      </c>
      <c r="J1450">
        <v>810524137</v>
      </c>
      <c r="K1450">
        <v>829489352</v>
      </c>
      <c r="L1450">
        <v>816203313</v>
      </c>
      <c r="M1450">
        <v>914357792</v>
      </c>
      <c r="N1450">
        <v>1168914437</v>
      </c>
      <c r="O1450">
        <v>834932402</v>
      </c>
      <c r="P1450">
        <v>98</v>
      </c>
      <c r="Q1450" t="s">
        <v>3207</v>
      </c>
    </row>
    <row r="1451" spans="1:17" x14ac:dyDescent="0.3">
      <c r="A1451" t="s">
        <v>17</v>
      </c>
      <c r="B1451" t="str">
        <f>"601566"</f>
        <v>601566</v>
      </c>
      <c r="C1451" t="s">
        <v>3208</v>
      </c>
      <c r="D1451" t="s">
        <v>814</v>
      </c>
      <c r="E1451">
        <v>908156478</v>
      </c>
      <c r="F1451">
        <v>919222186</v>
      </c>
      <c r="G1451">
        <v>718419294</v>
      </c>
      <c r="H1451">
        <v>898425337</v>
      </c>
      <c r="I1451">
        <v>889708430</v>
      </c>
      <c r="J1451">
        <v>798771628</v>
      </c>
      <c r="K1451">
        <v>723065716</v>
      </c>
      <c r="L1451">
        <v>746283436</v>
      </c>
      <c r="M1451">
        <v>665755070</v>
      </c>
      <c r="N1451">
        <v>728947326</v>
      </c>
      <c r="O1451">
        <v>758779396</v>
      </c>
      <c r="P1451">
        <v>426</v>
      </c>
      <c r="Q1451" t="s">
        <v>3209</v>
      </c>
    </row>
    <row r="1452" spans="1:17" x14ac:dyDescent="0.3">
      <c r="A1452" t="s">
        <v>17</v>
      </c>
      <c r="B1452" t="str">
        <f>"603279"</f>
        <v>603279</v>
      </c>
      <c r="C1452" t="s">
        <v>3210</v>
      </c>
      <c r="D1452" t="s">
        <v>1642</v>
      </c>
      <c r="E1452">
        <v>908129737</v>
      </c>
      <c r="F1452">
        <v>707082099</v>
      </c>
      <c r="G1452">
        <v>495357901</v>
      </c>
      <c r="H1452">
        <v>0</v>
      </c>
      <c r="I1452">
        <v>0</v>
      </c>
      <c r="P1452">
        <v>231</v>
      </c>
      <c r="Q1452" t="s">
        <v>3211</v>
      </c>
    </row>
    <row r="1453" spans="1:17" x14ac:dyDescent="0.3">
      <c r="A1453" t="s">
        <v>75</v>
      </c>
      <c r="B1453" t="str">
        <f>"300132"</f>
        <v>300132</v>
      </c>
      <c r="C1453" t="s">
        <v>3212</v>
      </c>
      <c r="D1453" t="s">
        <v>2758</v>
      </c>
      <c r="E1453">
        <v>905531750</v>
      </c>
      <c r="F1453">
        <v>957822347</v>
      </c>
      <c r="G1453">
        <v>812353689</v>
      </c>
      <c r="H1453">
        <v>284703811</v>
      </c>
      <c r="I1453">
        <v>226650388</v>
      </c>
      <c r="J1453">
        <v>118601748</v>
      </c>
      <c r="K1453">
        <v>157713954</v>
      </c>
      <c r="L1453">
        <v>139036799</v>
      </c>
      <c r="M1453">
        <v>128736174</v>
      </c>
      <c r="N1453">
        <v>120625780</v>
      </c>
      <c r="O1453">
        <v>136982134</v>
      </c>
      <c r="P1453">
        <v>399</v>
      </c>
      <c r="Q1453" t="s">
        <v>3213</v>
      </c>
    </row>
    <row r="1454" spans="1:17" x14ac:dyDescent="0.3">
      <c r="A1454" t="s">
        <v>17</v>
      </c>
      <c r="B1454" t="str">
        <f>"603678"</f>
        <v>603678</v>
      </c>
      <c r="C1454" t="s">
        <v>3214</v>
      </c>
      <c r="D1454" t="s">
        <v>1572</v>
      </c>
      <c r="E1454">
        <v>905030628</v>
      </c>
      <c r="F1454">
        <v>1088014353</v>
      </c>
      <c r="G1454">
        <v>793903381</v>
      </c>
      <c r="H1454">
        <v>585638711</v>
      </c>
      <c r="I1454">
        <v>449946242</v>
      </c>
      <c r="J1454">
        <v>373677626</v>
      </c>
      <c r="K1454">
        <v>308682178</v>
      </c>
      <c r="L1454">
        <v>205648845</v>
      </c>
      <c r="M1454">
        <v>234390368</v>
      </c>
      <c r="P1454">
        <v>639</v>
      </c>
      <c r="Q1454" t="s">
        <v>3215</v>
      </c>
    </row>
    <row r="1455" spans="1:17" x14ac:dyDescent="0.3">
      <c r="A1455" t="s">
        <v>17</v>
      </c>
      <c r="B1455" t="str">
        <f>"603979"</f>
        <v>603979</v>
      </c>
      <c r="C1455" t="s">
        <v>3216</v>
      </c>
      <c r="D1455" t="s">
        <v>52</v>
      </c>
      <c r="E1455">
        <v>902090933</v>
      </c>
      <c r="F1455">
        <v>740532245</v>
      </c>
      <c r="G1455">
        <v>596944472</v>
      </c>
      <c r="H1455">
        <v>548594703</v>
      </c>
      <c r="I1455">
        <v>492354525</v>
      </c>
      <c r="J1455">
        <v>381904932</v>
      </c>
      <c r="K1455">
        <v>352711007</v>
      </c>
      <c r="L1455">
        <v>0</v>
      </c>
      <c r="M1455">
        <v>0</v>
      </c>
      <c r="P1455">
        <v>122</v>
      </c>
      <c r="Q1455" t="s">
        <v>3217</v>
      </c>
    </row>
    <row r="1456" spans="1:17" x14ac:dyDescent="0.3">
      <c r="A1456" t="s">
        <v>75</v>
      </c>
      <c r="B1456" t="str">
        <f>"300083"</f>
        <v>300083</v>
      </c>
      <c r="C1456" t="s">
        <v>3218</v>
      </c>
      <c r="D1456" t="s">
        <v>1352</v>
      </c>
      <c r="E1456">
        <v>901682429</v>
      </c>
      <c r="F1456">
        <v>859469850</v>
      </c>
      <c r="G1456">
        <v>704589317</v>
      </c>
      <c r="H1456">
        <v>1535325376</v>
      </c>
      <c r="I1456">
        <v>1608112235</v>
      </c>
      <c r="J1456">
        <v>1334096375</v>
      </c>
      <c r="K1456">
        <v>1160998999</v>
      </c>
      <c r="L1456">
        <v>1032987953</v>
      </c>
      <c r="M1456">
        <v>696992905</v>
      </c>
      <c r="N1456">
        <v>764810247</v>
      </c>
      <c r="O1456">
        <v>384061444</v>
      </c>
      <c r="P1456">
        <v>487</v>
      </c>
      <c r="Q1456" t="s">
        <v>3219</v>
      </c>
    </row>
    <row r="1457" spans="1:17" x14ac:dyDescent="0.3">
      <c r="A1457" t="s">
        <v>75</v>
      </c>
      <c r="B1457" t="str">
        <f>"002465"</f>
        <v>002465</v>
      </c>
      <c r="C1457" t="s">
        <v>3220</v>
      </c>
      <c r="D1457" t="s">
        <v>1572</v>
      </c>
      <c r="E1457">
        <v>901193086</v>
      </c>
      <c r="F1457">
        <v>1086782679</v>
      </c>
      <c r="G1457">
        <v>761438885</v>
      </c>
      <c r="H1457">
        <v>954554907</v>
      </c>
      <c r="I1457">
        <v>947812561</v>
      </c>
      <c r="J1457">
        <v>744111248</v>
      </c>
      <c r="K1457">
        <v>681066157</v>
      </c>
      <c r="L1457">
        <v>692148244</v>
      </c>
      <c r="M1457">
        <v>294814360</v>
      </c>
      <c r="N1457">
        <v>317948756</v>
      </c>
      <c r="O1457">
        <v>147877276</v>
      </c>
      <c r="P1457">
        <v>544</v>
      </c>
      <c r="Q1457" t="s">
        <v>3221</v>
      </c>
    </row>
    <row r="1458" spans="1:17" x14ac:dyDescent="0.3">
      <c r="A1458" t="s">
        <v>17</v>
      </c>
      <c r="B1458" t="str">
        <f>"688777"</f>
        <v>688777</v>
      </c>
      <c r="C1458" t="s">
        <v>3222</v>
      </c>
      <c r="D1458" t="s">
        <v>1352</v>
      </c>
      <c r="E1458">
        <v>900931286</v>
      </c>
      <c r="F1458">
        <v>601838471</v>
      </c>
      <c r="G1458">
        <v>667489876</v>
      </c>
      <c r="H1458">
        <v>0</v>
      </c>
      <c r="P1458">
        <v>180</v>
      </c>
      <c r="Q1458" t="s">
        <v>3223</v>
      </c>
    </row>
    <row r="1459" spans="1:17" x14ac:dyDescent="0.3">
      <c r="A1459" t="s">
        <v>75</v>
      </c>
      <c r="B1459" t="str">
        <f>"002882"</f>
        <v>002882</v>
      </c>
      <c r="C1459" t="s">
        <v>3224</v>
      </c>
      <c r="D1459" t="s">
        <v>562</v>
      </c>
      <c r="E1459">
        <v>899580454</v>
      </c>
      <c r="F1459">
        <v>733751552</v>
      </c>
      <c r="G1459">
        <v>493285537</v>
      </c>
      <c r="H1459">
        <v>820304717</v>
      </c>
      <c r="I1459">
        <v>649044797</v>
      </c>
      <c r="J1459">
        <v>397529952</v>
      </c>
      <c r="K1459">
        <v>428638090</v>
      </c>
      <c r="P1459">
        <v>118</v>
      </c>
      <c r="Q1459" t="s">
        <v>3225</v>
      </c>
    </row>
    <row r="1460" spans="1:17" x14ac:dyDescent="0.3">
      <c r="A1460" t="s">
        <v>75</v>
      </c>
      <c r="B1460" t="str">
        <f>"000006"</f>
        <v>000006</v>
      </c>
      <c r="C1460" t="s">
        <v>3226</v>
      </c>
      <c r="D1460" t="s">
        <v>65</v>
      </c>
      <c r="E1460">
        <v>897965757</v>
      </c>
      <c r="F1460">
        <v>804697792</v>
      </c>
      <c r="G1460">
        <v>356019503</v>
      </c>
      <c r="H1460">
        <v>761171036</v>
      </c>
      <c r="I1460">
        <v>165928417</v>
      </c>
      <c r="J1460">
        <v>888644505</v>
      </c>
      <c r="K1460">
        <v>1081164176</v>
      </c>
      <c r="L1460">
        <v>709978032</v>
      </c>
      <c r="M1460">
        <v>527348316</v>
      </c>
      <c r="N1460">
        <v>710218142</v>
      </c>
      <c r="O1460">
        <v>441990805</v>
      </c>
      <c r="P1460">
        <v>424</v>
      </c>
      <c r="Q1460" t="s">
        <v>3227</v>
      </c>
    </row>
    <row r="1461" spans="1:17" x14ac:dyDescent="0.3">
      <c r="A1461" t="s">
        <v>75</v>
      </c>
      <c r="B1461" t="str">
        <f>"300953"</f>
        <v>300953</v>
      </c>
      <c r="C1461" t="s">
        <v>3228</v>
      </c>
      <c r="D1461" t="s">
        <v>153</v>
      </c>
      <c r="E1461">
        <v>897635020</v>
      </c>
      <c r="F1461">
        <v>251815648</v>
      </c>
      <c r="G1461">
        <v>90856598</v>
      </c>
      <c r="P1461">
        <v>84</v>
      </c>
      <c r="Q1461" t="s">
        <v>3229</v>
      </c>
    </row>
    <row r="1462" spans="1:17" x14ac:dyDescent="0.3">
      <c r="A1462" t="s">
        <v>75</v>
      </c>
      <c r="B1462" t="str">
        <f>"002109"</f>
        <v>002109</v>
      </c>
      <c r="C1462" t="s">
        <v>3230</v>
      </c>
      <c r="D1462" t="s">
        <v>1759</v>
      </c>
      <c r="E1462">
        <v>897261572</v>
      </c>
      <c r="F1462">
        <v>562034071</v>
      </c>
      <c r="G1462">
        <v>355614906</v>
      </c>
      <c r="H1462">
        <v>401045779</v>
      </c>
      <c r="I1462">
        <v>299831950</v>
      </c>
      <c r="J1462">
        <v>265295762</v>
      </c>
      <c r="K1462">
        <v>127426696</v>
      </c>
      <c r="L1462">
        <v>140901409</v>
      </c>
      <c r="M1462">
        <v>147410212</v>
      </c>
      <c r="N1462">
        <v>207965297</v>
      </c>
      <c r="O1462">
        <v>304579637</v>
      </c>
      <c r="P1462">
        <v>138</v>
      </c>
      <c r="Q1462" t="s">
        <v>3231</v>
      </c>
    </row>
    <row r="1463" spans="1:17" x14ac:dyDescent="0.3">
      <c r="A1463" t="s">
        <v>17</v>
      </c>
      <c r="B1463" t="str">
        <f>"603087"</f>
        <v>603087</v>
      </c>
      <c r="C1463" t="s">
        <v>3232</v>
      </c>
      <c r="D1463" t="s">
        <v>1533</v>
      </c>
      <c r="E1463">
        <v>894205994</v>
      </c>
      <c r="F1463">
        <v>777103213</v>
      </c>
      <c r="G1463">
        <v>756898574</v>
      </c>
      <c r="H1463">
        <v>818943405</v>
      </c>
      <c r="P1463">
        <v>677</v>
      </c>
      <c r="Q1463" t="s">
        <v>3233</v>
      </c>
    </row>
    <row r="1464" spans="1:17" x14ac:dyDescent="0.3">
      <c r="A1464" t="s">
        <v>17</v>
      </c>
      <c r="B1464" t="str">
        <f>"688385"</f>
        <v>688385</v>
      </c>
      <c r="C1464" t="s">
        <v>3234</v>
      </c>
      <c r="D1464" t="s">
        <v>883</v>
      </c>
      <c r="E1464">
        <v>892890047</v>
      </c>
      <c r="F1464">
        <v>594206720</v>
      </c>
      <c r="G1464">
        <v>361475268</v>
      </c>
      <c r="P1464">
        <v>47</v>
      </c>
      <c r="Q1464" t="s">
        <v>3235</v>
      </c>
    </row>
    <row r="1465" spans="1:17" x14ac:dyDescent="0.3">
      <c r="A1465" t="s">
        <v>75</v>
      </c>
      <c r="B1465" t="str">
        <f>"000676"</f>
        <v>000676</v>
      </c>
      <c r="C1465" t="s">
        <v>3236</v>
      </c>
      <c r="D1465" t="s">
        <v>622</v>
      </c>
      <c r="E1465">
        <v>892453381</v>
      </c>
      <c r="F1465">
        <v>2286707735</v>
      </c>
      <c r="G1465">
        <v>3235975195</v>
      </c>
      <c r="H1465">
        <v>2396497795</v>
      </c>
      <c r="I1465">
        <v>1871384372</v>
      </c>
      <c r="J1465">
        <v>1296903400</v>
      </c>
      <c r="K1465">
        <v>39853074</v>
      </c>
      <c r="L1465">
        <v>142033022</v>
      </c>
      <c r="M1465">
        <v>66738864</v>
      </c>
      <c r="N1465">
        <v>80883704</v>
      </c>
      <c r="O1465">
        <v>202583780</v>
      </c>
      <c r="P1465">
        <v>215</v>
      </c>
      <c r="Q1465" t="s">
        <v>3237</v>
      </c>
    </row>
    <row r="1466" spans="1:17" x14ac:dyDescent="0.3">
      <c r="A1466" t="s">
        <v>75</v>
      </c>
      <c r="B1466" t="str">
        <f>"002037"</f>
        <v>002037</v>
      </c>
      <c r="C1466" t="s">
        <v>3238</v>
      </c>
      <c r="D1466" t="s">
        <v>1830</v>
      </c>
      <c r="E1466">
        <v>892162521</v>
      </c>
      <c r="F1466">
        <v>1072904084</v>
      </c>
      <c r="G1466">
        <v>546259227</v>
      </c>
      <c r="H1466">
        <v>763755739</v>
      </c>
      <c r="I1466">
        <v>725112354</v>
      </c>
      <c r="J1466">
        <v>889102547</v>
      </c>
      <c r="K1466">
        <v>1225280349</v>
      </c>
      <c r="L1466">
        <v>540126090</v>
      </c>
      <c r="M1466">
        <v>558441438</v>
      </c>
      <c r="N1466">
        <v>492997240</v>
      </c>
      <c r="O1466">
        <v>579783831</v>
      </c>
      <c r="P1466">
        <v>81</v>
      </c>
      <c r="Q1466" t="s">
        <v>3239</v>
      </c>
    </row>
    <row r="1467" spans="1:17" x14ac:dyDescent="0.3">
      <c r="A1467" t="s">
        <v>75</v>
      </c>
      <c r="B1467" t="str">
        <f>"300158"</f>
        <v>300158</v>
      </c>
      <c r="C1467" t="s">
        <v>3240</v>
      </c>
      <c r="D1467" t="s">
        <v>543</v>
      </c>
      <c r="E1467">
        <v>888582656</v>
      </c>
      <c r="F1467">
        <v>1101866522</v>
      </c>
      <c r="G1467">
        <v>779829027</v>
      </c>
      <c r="H1467">
        <v>948924074</v>
      </c>
      <c r="I1467">
        <v>912374649</v>
      </c>
      <c r="J1467">
        <v>631224915</v>
      </c>
      <c r="K1467">
        <v>436134404</v>
      </c>
      <c r="L1467">
        <v>309861327</v>
      </c>
      <c r="M1467">
        <v>385170811</v>
      </c>
      <c r="N1467">
        <v>289778343</v>
      </c>
      <c r="O1467">
        <v>352681168</v>
      </c>
      <c r="P1467">
        <v>176</v>
      </c>
      <c r="Q1467" t="s">
        <v>3241</v>
      </c>
    </row>
    <row r="1468" spans="1:17" x14ac:dyDescent="0.3">
      <c r="A1468" t="s">
        <v>75</v>
      </c>
      <c r="B1468" t="str">
        <f>"000705"</f>
        <v>000705</v>
      </c>
      <c r="C1468" t="s">
        <v>3242</v>
      </c>
      <c r="D1468" t="s">
        <v>123</v>
      </c>
      <c r="E1468">
        <v>888215506</v>
      </c>
      <c r="F1468">
        <v>813263194</v>
      </c>
      <c r="G1468">
        <v>707491285</v>
      </c>
      <c r="H1468">
        <v>729613251</v>
      </c>
      <c r="I1468">
        <v>668459719</v>
      </c>
      <c r="J1468">
        <v>529586083</v>
      </c>
      <c r="K1468">
        <v>525672480</v>
      </c>
      <c r="L1468">
        <v>534835503</v>
      </c>
      <c r="M1468">
        <v>507011749</v>
      </c>
      <c r="N1468">
        <v>441485853</v>
      </c>
      <c r="O1468">
        <v>451834028</v>
      </c>
      <c r="P1468">
        <v>107</v>
      </c>
      <c r="Q1468" t="s">
        <v>3243</v>
      </c>
    </row>
    <row r="1469" spans="1:17" x14ac:dyDescent="0.3">
      <c r="A1469" t="s">
        <v>17</v>
      </c>
      <c r="B1469" t="str">
        <f>"605136"</f>
        <v>605136</v>
      </c>
      <c r="C1469" t="s">
        <v>3244</v>
      </c>
      <c r="D1469" t="s">
        <v>2946</v>
      </c>
      <c r="E1469">
        <v>888153685</v>
      </c>
      <c r="F1469">
        <v>926213455</v>
      </c>
      <c r="G1469">
        <v>706538994</v>
      </c>
      <c r="P1469">
        <v>99</v>
      </c>
      <c r="Q1469" t="s">
        <v>3245</v>
      </c>
    </row>
    <row r="1470" spans="1:17" x14ac:dyDescent="0.3">
      <c r="A1470" t="s">
        <v>75</v>
      </c>
      <c r="B1470" t="str">
        <f>"002449"</f>
        <v>002449</v>
      </c>
      <c r="C1470" t="s">
        <v>3246</v>
      </c>
      <c r="D1470" t="s">
        <v>1044</v>
      </c>
      <c r="E1470">
        <v>885901233</v>
      </c>
      <c r="F1470">
        <v>853911813</v>
      </c>
      <c r="G1470">
        <v>1068486962</v>
      </c>
      <c r="H1470">
        <v>1073245766</v>
      </c>
      <c r="I1470">
        <v>995901283</v>
      </c>
      <c r="J1470">
        <v>671702045</v>
      </c>
      <c r="K1470">
        <v>237967171</v>
      </c>
      <c r="L1470">
        <v>163104965</v>
      </c>
      <c r="M1470">
        <v>134519539</v>
      </c>
      <c r="N1470">
        <v>152382557</v>
      </c>
      <c r="O1470">
        <v>179340275</v>
      </c>
      <c r="P1470">
        <v>392</v>
      </c>
      <c r="Q1470" t="s">
        <v>3247</v>
      </c>
    </row>
    <row r="1471" spans="1:17" x14ac:dyDescent="0.3">
      <c r="A1471" t="s">
        <v>75</v>
      </c>
      <c r="B1471" t="str">
        <f>"002832"</f>
        <v>002832</v>
      </c>
      <c r="C1471" t="s">
        <v>3248</v>
      </c>
      <c r="D1471" t="s">
        <v>814</v>
      </c>
      <c r="E1471">
        <v>884641760</v>
      </c>
      <c r="F1471">
        <v>742495207</v>
      </c>
      <c r="G1471">
        <v>377131735</v>
      </c>
      <c r="H1471">
        <v>561584981</v>
      </c>
      <c r="I1471">
        <v>439026045</v>
      </c>
      <c r="J1471">
        <v>373302869</v>
      </c>
      <c r="K1471">
        <v>303286987</v>
      </c>
      <c r="P1471">
        <v>636</v>
      </c>
      <c r="Q1471" t="s">
        <v>3249</v>
      </c>
    </row>
    <row r="1472" spans="1:17" x14ac:dyDescent="0.3">
      <c r="A1472" t="s">
        <v>17</v>
      </c>
      <c r="B1472" t="str">
        <f>"603010"</f>
        <v>603010</v>
      </c>
      <c r="C1472" t="s">
        <v>3250</v>
      </c>
      <c r="D1472" t="s">
        <v>3251</v>
      </c>
      <c r="E1472">
        <v>884189869</v>
      </c>
      <c r="F1472">
        <v>690845633</v>
      </c>
      <c r="G1472">
        <v>322783046</v>
      </c>
      <c r="H1472">
        <v>361055702</v>
      </c>
      <c r="I1472">
        <v>273773370</v>
      </c>
      <c r="J1472">
        <v>301121006</v>
      </c>
      <c r="K1472">
        <v>215231951</v>
      </c>
      <c r="L1472">
        <v>166551099</v>
      </c>
      <c r="M1472">
        <v>147752035</v>
      </c>
      <c r="P1472">
        <v>279</v>
      </c>
      <c r="Q1472" t="s">
        <v>3252</v>
      </c>
    </row>
    <row r="1473" spans="1:17" x14ac:dyDescent="0.3">
      <c r="A1473" t="s">
        <v>75</v>
      </c>
      <c r="B1473" t="str">
        <f>"002454"</f>
        <v>002454</v>
      </c>
      <c r="C1473" t="s">
        <v>3253</v>
      </c>
      <c r="D1473" t="s">
        <v>433</v>
      </c>
      <c r="E1473">
        <v>883947905</v>
      </c>
      <c r="F1473">
        <v>756523715</v>
      </c>
      <c r="G1473">
        <v>536609735</v>
      </c>
      <c r="H1473">
        <v>514587922</v>
      </c>
      <c r="I1473">
        <v>722041274</v>
      </c>
      <c r="J1473">
        <v>515695419</v>
      </c>
      <c r="K1473">
        <v>479670656</v>
      </c>
      <c r="L1473">
        <v>448281980</v>
      </c>
      <c r="M1473">
        <v>516332327</v>
      </c>
      <c r="N1473">
        <v>497173984</v>
      </c>
      <c r="O1473">
        <v>375267263</v>
      </c>
      <c r="P1473">
        <v>191</v>
      </c>
      <c r="Q1473" t="s">
        <v>3254</v>
      </c>
    </row>
    <row r="1474" spans="1:17" x14ac:dyDescent="0.3">
      <c r="A1474" t="s">
        <v>75</v>
      </c>
      <c r="B1474" t="str">
        <f>"300957"</f>
        <v>300957</v>
      </c>
      <c r="C1474" t="s">
        <v>3255</v>
      </c>
      <c r="D1474" t="s">
        <v>1764</v>
      </c>
      <c r="E1474">
        <v>882641694</v>
      </c>
      <c r="F1474">
        <v>676615468</v>
      </c>
      <c r="G1474">
        <v>353724968</v>
      </c>
      <c r="P1474">
        <v>350</v>
      </c>
      <c r="Q1474" t="s">
        <v>3256</v>
      </c>
    </row>
    <row r="1475" spans="1:17" x14ac:dyDescent="0.3">
      <c r="A1475" t="s">
        <v>17</v>
      </c>
      <c r="B1475" t="str">
        <f>"600867"</f>
        <v>600867</v>
      </c>
      <c r="C1475" t="s">
        <v>3257</v>
      </c>
      <c r="D1475" t="s">
        <v>1533</v>
      </c>
      <c r="E1475">
        <v>881812473</v>
      </c>
      <c r="F1475">
        <v>809991112</v>
      </c>
      <c r="G1475">
        <v>668369921</v>
      </c>
      <c r="H1475">
        <v>693672002</v>
      </c>
      <c r="I1475">
        <v>569059382</v>
      </c>
      <c r="J1475">
        <v>550777255</v>
      </c>
      <c r="K1475">
        <v>442526666</v>
      </c>
      <c r="L1475">
        <v>380299504</v>
      </c>
      <c r="M1475">
        <v>363265655</v>
      </c>
      <c r="N1475">
        <v>284242949</v>
      </c>
      <c r="O1475">
        <v>238862651</v>
      </c>
      <c r="P1475">
        <v>2948</v>
      </c>
      <c r="Q1475" t="s">
        <v>3258</v>
      </c>
    </row>
    <row r="1476" spans="1:17" x14ac:dyDescent="0.3">
      <c r="A1476" t="s">
        <v>17</v>
      </c>
      <c r="B1476" t="str">
        <f>"688388"</f>
        <v>688388</v>
      </c>
      <c r="C1476" t="s">
        <v>3259</v>
      </c>
      <c r="D1476" t="s">
        <v>45</v>
      </c>
      <c r="E1476">
        <v>880184553</v>
      </c>
      <c r="F1476">
        <v>538875182</v>
      </c>
      <c r="G1476">
        <v>149122235</v>
      </c>
      <c r="H1476">
        <v>422854800</v>
      </c>
      <c r="I1476">
        <v>0</v>
      </c>
      <c r="J1476">
        <v>119253403</v>
      </c>
      <c r="P1476">
        <v>286</v>
      </c>
      <c r="Q1476" t="s">
        <v>3260</v>
      </c>
    </row>
    <row r="1477" spans="1:17" x14ac:dyDescent="0.3">
      <c r="A1477" t="s">
        <v>17</v>
      </c>
      <c r="B1477" t="str">
        <f>"603399"</f>
        <v>603399</v>
      </c>
      <c r="C1477" t="s">
        <v>3261</v>
      </c>
      <c r="D1477" t="s">
        <v>139</v>
      </c>
      <c r="E1477">
        <v>880180609</v>
      </c>
      <c r="F1477">
        <v>829406155</v>
      </c>
      <c r="G1477">
        <v>439544513</v>
      </c>
      <c r="H1477">
        <v>887105905</v>
      </c>
      <c r="I1477">
        <v>670577504</v>
      </c>
      <c r="J1477">
        <v>380373277</v>
      </c>
      <c r="K1477">
        <v>287317188</v>
      </c>
      <c r="L1477">
        <v>293692607</v>
      </c>
      <c r="M1477">
        <v>412727736</v>
      </c>
      <c r="N1477">
        <v>267319005</v>
      </c>
      <c r="O1477">
        <v>406249525</v>
      </c>
      <c r="P1477">
        <v>72</v>
      </c>
      <c r="Q1477" t="s">
        <v>3262</v>
      </c>
    </row>
    <row r="1478" spans="1:17" x14ac:dyDescent="0.3">
      <c r="A1478" t="s">
        <v>75</v>
      </c>
      <c r="B1478" t="str">
        <f>"000035"</f>
        <v>000035</v>
      </c>
      <c r="C1478" t="s">
        <v>3263</v>
      </c>
      <c r="D1478" t="s">
        <v>1187</v>
      </c>
      <c r="E1478">
        <v>880147850</v>
      </c>
      <c r="F1478">
        <v>5806030916</v>
      </c>
      <c r="G1478">
        <v>5008437778</v>
      </c>
      <c r="H1478">
        <v>2918377424</v>
      </c>
      <c r="I1478">
        <v>219175108</v>
      </c>
      <c r="J1478">
        <v>101701713</v>
      </c>
      <c r="K1478">
        <v>109301327</v>
      </c>
      <c r="L1478">
        <v>76923896</v>
      </c>
      <c r="M1478">
        <v>0</v>
      </c>
      <c r="N1478">
        <v>949467</v>
      </c>
      <c r="O1478">
        <v>1380466</v>
      </c>
      <c r="P1478">
        <v>198</v>
      </c>
      <c r="Q1478" t="s">
        <v>3264</v>
      </c>
    </row>
    <row r="1479" spans="1:17" x14ac:dyDescent="0.3">
      <c r="A1479" t="s">
        <v>75</v>
      </c>
      <c r="B1479" t="str">
        <f>"002642"</f>
        <v>002642</v>
      </c>
      <c r="C1479" t="s">
        <v>3265</v>
      </c>
      <c r="D1479" t="s">
        <v>224</v>
      </c>
      <c r="E1479">
        <v>880057505</v>
      </c>
      <c r="F1479">
        <v>590613163</v>
      </c>
      <c r="G1479">
        <v>352007131</v>
      </c>
      <c r="H1479">
        <v>457138209</v>
      </c>
      <c r="I1479">
        <v>455654467</v>
      </c>
      <c r="J1479">
        <v>248041155</v>
      </c>
      <c r="K1479">
        <v>303802859</v>
      </c>
      <c r="L1479">
        <v>289671435</v>
      </c>
      <c r="M1479">
        <v>283393636</v>
      </c>
      <c r="N1479">
        <v>356737386</v>
      </c>
      <c r="O1479">
        <v>205104624</v>
      </c>
      <c r="P1479">
        <v>221</v>
      </c>
      <c r="Q1479" t="s">
        <v>3266</v>
      </c>
    </row>
    <row r="1480" spans="1:17" x14ac:dyDescent="0.3">
      <c r="A1480" t="s">
        <v>17</v>
      </c>
      <c r="B1480" t="str">
        <f>"600805"</f>
        <v>600805</v>
      </c>
      <c r="C1480" t="s">
        <v>3267</v>
      </c>
      <c r="D1480" t="s">
        <v>1284</v>
      </c>
      <c r="E1480">
        <v>878364055</v>
      </c>
      <c r="F1480">
        <v>986475039</v>
      </c>
      <c r="G1480">
        <v>400157123</v>
      </c>
      <c r="H1480">
        <v>618599296</v>
      </c>
      <c r="I1480">
        <v>428774894</v>
      </c>
      <c r="J1480">
        <v>409254022</v>
      </c>
      <c r="K1480">
        <v>405598265</v>
      </c>
      <c r="L1480">
        <v>448338629</v>
      </c>
      <c r="M1480">
        <v>472735312</v>
      </c>
      <c r="N1480">
        <v>538390236</v>
      </c>
      <c r="O1480">
        <v>493912544</v>
      </c>
      <c r="P1480">
        <v>106</v>
      </c>
      <c r="Q1480" t="s">
        <v>3268</v>
      </c>
    </row>
    <row r="1481" spans="1:17" x14ac:dyDescent="0.3">
      <c r="A1481" t="s">
        <v>75</v>
      </c>
      <c r="B1481" t="str">
        <f>"002545"</f>
        <v>002545</v>
      </c>
      <c r="C1481" t="s">
        <v>3269</v>
      </c>
      <c r="D1481" t="s">
        <v>1028</v>
      </c>
      <c r="E1481">
        <v>877214355</v>
      </c>
      <c r="F1481">
        <v>697202651</v>
      </c>
      <c r="G1481">
        <v>778779445</v>
      </c>
      <c r="H1481">
        <v>650630568</v>
      </c>
      <c r="I1481">
        <v>534088675</v>
      </c>
      <c r="J1481">
        <v>499922651</v>
      </c>
      <c r="K1481">
        <v>517344869</v>
      </c>
      <c r="L1481">
        <v>359058670</v>
      </c>
      <c r="M1481">
        <v>325222734</v>
      </c>
      <c r="N1481">
        <v>419979308</v>
      </c>
      <c r="O1481">
        <v>623761743</v>
      </c>
      <c r="P1481">
        <v>138</v>
      </c>
      <c r="Q1481" t="s">
        <v>3270</v>
      </c>
    </row>
    <row r="1482" spans="1:17" x14ac:dyDescent="0.3">
      <c r="A1482" t="s">
        <v>17</v>
      </c>
      <c r="B1482" t="str">
        <f>"603385"</f>
        <v>603385</v>
      </c>
      <c r="C1482" t="s">
        <v>3271</v>
      </c>
      <c r="D1482" t="s">
        <v>2617</v>
      </c>
      <c r="E1482">
        <v>877159804</v>
      </c>
      <c r="F1482">
        <v>796254002</v>
      </c>
      <c r="G1482">
        <v>525311495</v>
      </c>
      <c r="H1482">
        <v>530319271</v>
      </c>
      <c r="I1482">
        <v>711944399</v>
      </c>
      <c r="J1482">
        <v>644180137</v>
      </c>
      <c r="K1482">
        <v>540643560</v>
      </c>
      <c r="P1482">
        <v>192</v>
      </c>
      <c r="Q1482" t="s">
        <v>3272</v>
      </c>
    </row>
    <row r="1483" spans="1:17" x14ac:dyDescent="0.3">
      <c r="A1483" t="s">
        <v>75</v>
      </c>
      <c r="B1483" t="str">
        <f>"002712"</f>
        <v>002712</v>
      </c>
      <c r="C1483" t="s">
        <v>3273</v>
      </c>
      <c r="D1483" t="s">
        <v>622</v>
      </c>
      <c r="E1483">
        <v>876188427</v>
      </c>
      <c r="F1483">
        <v>1072808821</v>
      </c>
      <c r="G1483">
        <v>831335330</v>
      </c>
      <c r="H1483">
        <v>587737858</v>
      </c>
      <c r="I1483">
        <v>1044794545</v>
      </c>
      <c r="J1483">
        <v>626254467</v>
      </c>
      <c r="K1483">
        <v>674707754</v>
      </c>
      <c r="L1483">
        <v>458285810</v>
      </c>
      <c r="M1483">
        <v>248256694</v>
      </c>
      <c r="N1483">
        <v>192152603</v>
      </c>
      <c r="P1483">
        <v>107</v>
      </c>
      <c r="Q1483" t="s">
        <v>3274</v>
      </c>
    </row>
    <row r="1484" spans="1:17" x14ac:dyDescent="0.3">
      <c r="A1484" t="s">
        <v>75</v>
      </c>
      <c r="B1484" t="str">
        <f>"002969"</f>
        <v>002969</v>
      </c>
      <c r="C1484" t="s">
        <v>3275</v>
      </c>
      <c r="D1484" t="s">
        <v>1347</v>
      </c>
      <c r="E1484">
        <v>876112366</v>
      </c>
      <c r="F1484">
        <v>880215306</v>
      </c>
      <c r="G1484">
        <v>473897791</v>
      </c>
      <c r="H1484">
        <v>771655705</v>
      </c>
      <c r="P1484">
        <v>78</v>
      </c>
      <c r="Q1484" t="s">
        <v>3276</v>
      </c>
    </row>
    <row r="1485" spans="1:17" x14ac:dyDescent="0.3">
      <c r="A1485" t="s">
        <v>75</v>
      </c>
      <c r="B1485" t="str">
        <f>"300457"</f>
        <v>300457</v>
      </c>
      <c r="C1485" t="s">
        <v>3277</v>
      </c>
      <c r="D1485" t="s">
        <v>1464</v>
      </c>
      <c r="E1485">
        <v>873272366</v>
      </c>
      <c r="F1485">
        <v>795864333</v>
      </c>
      <c r="G1485">
        <v>747688545</v>
      </c>
      <c r="H1485">
        <v>332939178</v>
      </c>
      <c r="I1485">
        <v>358317852</v>
      </c>
      <c r="J1485">
        <v>198336915</v>
      </c>
      <c r="K1485">
        <v>86072655</v>
      </c>
      <c r="L1485">
        <v>0</v>
      </c>
      <c r="M1485">
        <v>0</v>
      </c>
      <c r="P1485">
        <v>359</v>
      </c>
      <c r="Q1485" t="s">
        <v>3278</v>
      </c>
    </row>
    <row r="1486" spans="1:17" x14ac:dyDescent="0.3">
      <c r="A1486" t="s">
        <v>75</v>
      </c>
      <c r="B1486" t="str">
        <f>"002212"</f>
        <v>002212</v>
      </c>
      <c r="C1486" t="s">
        <v>3279</v>
      </c>
      <c r="D1486" t="s">
        <v>989</v>
      </c>
      <c r="E1486">
        <v>872740587</v>
      </c>
      <c r="F1486">
        <v>458268550</v>
      </c>
      <c r="G1486">
        <v>993041932</v>
      </c>
      <c r="H1486">
        <v>1530742416</v>
      </c>
      <c r="I1486">
        <v>1329611908</v>
      </c>
      <c r="J1486">
        <v>954255359</v>
      </c>
      <c r="K1486">
        <v>453487767</v>
      </c>
      <c r="L1486">
        <v>444321060</v>
      </c>
      <c r="M1486">
        <v>405358927</v>
      </c>
      <c r="N1486">
        <v>418162922</v>
      </c>
      <c r="O1486">
        <v>365072594</v>
      </c>
      <c r="P1486">
        <v>249</v>
      </c>
      <c r="Q1486" t="s">
        <v>3280</v>
      </c>
    </row>
    <row r="1487" spans="1:17" x14ac:dyDescent="0.3">
      <c r="A1487" t="s">
        <v>17</v>
      </c>
      <c r="B1487" t="str">
        <f>"600448"</f>
        <v>600448</v>
      </c>
      <c r="C1487" t="s">
        <v>3281</v>
      </c>
      <c r="D1487" t="s">
        <v>951</v>
      </c>
      <c r="E1487">
        <v>872653832</v>
      </c>
      <c r="F1487">
        <v>846850671</v>
      </c>
      <c r="G1487">
        <v>657184370</v>
      </c>
      <c r="H1487">
        <v>869681290</v>
      </c>
      <c r="I1487">
        <v>711994202</v>
      </c>
      <c r="J1487">
        <v>603038061</v>
      </c>
      <c r="K1487">
        <v>450654164</v>
      </c>
      <c r="L1487">
        <v>483745086</v>
      </c>
      <c r="M1487">
        <v>457155469</v>
      </c>
      <c r="N1487">
        <v>467058095</v>
      </c>
      <c r="O1487">
        <v>371235140</v>
      </c>
      <c r="P1487">
        <v>97</v>
      </c>
      <c r="Q1487" t="s">
        <v>3282</v>
      </c>
    </row>
    <row r="1488" spans="1:17" x14ac:dyDescent="0.3">
      <c r="A1488" t="s">
        <v>75</v>
      </c>
      <c r="B1488" t="str">
        <f>"300435"</f>
        <v>300435</v>
      </c>
      <c r="C1488" t="s">
        <v>3283</v>
      </c>
      <c r="D1488" t="s">
        <v>147</v>
      </c>
      <c r="E1488">
        <v>870569073</v>
      </c>
      <c r="F1488">
        <v>609651354</v>
      </c>
      <c r="G1488">
        <v>479613670</v>
      </c>
      <c r="H1488">
        <v>180576176</v>
      </c>
      <c r="I1488">
        <v>169063732</v>
      </c>
      <c r="J1488">
        <v>109015379</v>
      </c>
      <c r="K1488">
        <v>136429437</v>
      </c>
      <c r="L1488">
        <v>110840510</v>
      </c>
      <c r="M1488">
        <v>86745592</v>
      </c>
      <c r="P1488">
        <v>111</v>
      </c>
      <c r="Q1488" t="s">
        <v>3284</v>
      </c>
    </row>
    <row r="1489" spans="1:17" x14ac:dyDescent="0.3">
      <c r="A1489" t="s">
        <v>75</v>
      </c>
      <c r="B1489" t="str">
        <f>"300679"</f>
        <v>300679</v>
      </c>
      <c r="C1489" t="s">
        <v>3285</v>
      </c>
      <c r="D1489" t="s">
        <v>55</v>
      </c>
      <c r="E1489">
        <v>867819604</v>
      </c>
      <c r="F1489">
        <v>814059334</v>
      </c>
      <c r="G1489">
        <v>599129569</v>
      </c>
      <c r="H1489">
        <v>389804690</v>
      </c>
      <c r="I1489">
        <v>323776602</v>
      </c>
      <c r="J1489">
        <v>491818068</v>
      </c>
      <c r="P1489">
        <v>334</v>
      </c>
      <c r="Q1489" t="s">
        <v>3286</v>
      </c>
    </row>
    <row r="1490" spans="1:17" x14ac:dyDescent="0.3">
      <c r="A1490" t="s">
        <v>75</v>
      </c>
      <c r="B1490" t="str">
        <f>"002225"</f>
        <v>002225</v>
      </c>
      <c r="C1490" t="s">
        <v>3287</v>
      </c>
      <c r="D1490" t="s">
        <v>2703</v>
      </c>
      <c r="E1490">
        <v>867088609</v>
      </c>
      <c r="F1490">
        <v>790304745</v>
      </c>
      <c r="G1490">
        <v>708025562</v>
      </c>
      <c r="H1490">
        <v>680536970</v>
      </c>
      <c r="I1490">
        <v>606800637</v>
      </c>
      <c r="J1490">
        <v>424763604</v>
      </c>
      <c r="K1490">
        <v>377567263</v>
      </c>
      <c r="L1490">
        <v>403553216</v>
      </c>
      <c r="M1490">
        <v>370756374</v>
      </c>
      <c r="N1490">
        <v>387136068</v>
      </c>
      <c r="O1490">
        <v>305855786</v>
      </c>
      <c r="P1490">
        <v>142</v>
      </c>
      <c r="Q1490" t="s">
        <v>3288</v>
      </c>
    </row>
    <row r="1491" spans="1:17" x14ac:dyDescent="0.3">
      <c r="A1491" t="s">
        <v>17</v>
      </c>
      <c r="B1491" t="str">
        <f>"600874"</f>
        <v>600874</v>
      </c>
      <c r="C1491" t="s">
        <v>3289</v>
      </c>
      <c r="D1491" t="s">
        <v>1107</v>
      </c>
      <c r="E1491">
        <v>864424000</v>
      </c>
      <c r="F1491">
        <v>592758000</v>
      </c>
      <c r="G1491">
        <v>562094000</v>
      </c>
      <c r="H1491">
        <v>598185000</v>
      </c>
      <c r="I1491">
        <v>264219000</v>
      </c>
      <c r="J1491">
        <v>308922000</v>
      </c>
      <c r="K1491">
        <v>245461000</v>
      </c>
      <c r="L1491">
        <v>689560000</v>
      </c>
      <c r="M1491">
        <v>175485000</v>
      </c>
      <c r="N1491">
        <v>176245000</v>
      </c>
      <c r="O1491">
        <v>177968000</v>
      </c>
      <c r="P1491">
        <v>201</v>
      </c>
      <c r="Q1491" t="s">
        <v>3290</v>
      </c>
    </row>
    <row r="1492" spans="1:17" x14ac:dyDescent="0.3">
      <c r="A1492" t="s">
        <v>17</v>
      </c>
      <c r="B1492" t="str">
        <f>"600009"</f>
        <v>600009</v>
      </c>
      <c r="C1492" t="s">
        <v>3291</v>
      </c>
      <c r="D1492" t="s">
        <v>2262</v>
      </c>
      <c r="E1492">
        <v>864013212</v>
      </c>
      <c r="F1492">
        <v>1357311471</v>
      </c>
      <c r="G1492">
        <v>1672508165</v>
      </c>
      <c r="H1492">
        <v>2605636968</v>
      </c>
      <c r="I1492">
        <v>2005420399</v>
      </c>
      <c r="J1492">
        <v>1673964634</v>
      </c>
      <c r="K1492">
        <v>1392304588</v>
      </c>
      <c r="L1492">
        <v>1308837253</v>
      </c>
      <c r="M1492">
        <v>1163551086</v>
      </c>
      <c r="N1492">
        <v>1072139219</v>
      </c>
      <c r="O1492">
        <v>869907476</v>
      </c>
      <c r="P1492">
        <v>5731</v>
      </c>
      <c r="Q1492" t="s">
        <v>3292</v>
      </c>
    </row>
    <row r="1493" spans="1:17" x14ac:dyDescent="0.3">
      <c r="A1493" t="s">
        <v>75</v>
      </c>
      <c r="B1493" t="str">
        <f>"002593"</f>
        <v>002593</v>
      </c>
      <c r="C1493" t="s">
        <v>3293</v>
      </c>
      <c r="D1493" t="s">
        <v>1028</v>
      </c>
      <c r="E1493">
        <v>864000081</v>
      </c>
      <c r="F1493">
        <v>690384966</v>
      </c>
      <c r="G1493">
        <v>516230569</v>
      </c>
      <c r="H1493">
        <v>536626245</v>
      </c>
      <c r="I1493">
        <v>654556235</v>
      </c>
      <c r="J1493">
        <v>400398480</v>
      </c>
      <c r="K1493">
        <v>312589835</v>
      </c>
      <c r="L1493">
        <v>295172731</v>
      </c>
      <c r="M1493">
        <v>306321776</v>
      </c>
      <c r="N1493">
        <v>258665052</v>
      </c>
      <c r="O1493">
        <v>280856078</v>
      </c>
      <c r="P1493">
        <v>88</v>
      </c>
      <c r="Q1493" t="s">
        <v>3294</v>
      </c>
    </row>
    <row r="1494" spans="1:17" x14ac:dyDescent="0.3">
      <c r="A1494" t="s">
        <v>75</v>
      </c>
      <c r="B1494" t="str">
        <f>"300368"</f>
        <v>300368</v>
      </c>
      <c r="C1494" t="s">
        <v>3295</v>
      </c>
      <c r="D1494" t="s">
        <v>508</v>
      </c>
      <c r="E1494">
        <v>862506891</v>
      </c>
      <c r="F1494">
        <v>990878484</v>
      </c>
      <c r="G1494">
        <v>537204078</v>
      </c>
      <c r="H1494">
        <v>79587005</v>
      </c>
      <c r="I1494">
        <v>88014276</v>
      </c>
      <c r="J1494">
        <v>71689171</v>
      </c>
      <c r="K1494">
        <v>59017596</v>
      </c>
      <c r="L1494">
        <v>48309999</v>
      </c>
      <c r="M1494">
        <v>29418099</v>
      </c>
      <c r="N1494">
        <v>25643268</v>
      </c>
      <c r="P1494">
        <v>119</v>
      </c>
      <c r="Q1494" t="s">
        <v>3296</v>
      </c>
    </row>
    <row r="1495" spans="1:17" x14ac:dyDescent="0.3">
      <c r="A1495" t="s">
        <v>75</v>
      </c>
      <c r="B1495" t="str">
        <f>"002542"</f>
        <v>002542</v>
      </c>
      <c r="C1495" t="s">
        <v>3297</v>
      </c>
      <c r="D1495" t="s">
        <v>52</v>
      </c>
      <c r="E1495">
        <v>861273596</v>
      </c>
      <c r="F1495">
        <v>1241027805</v>
      </c>
      <c r="G1495">
        <v>844611472</v>
      </c>
      <c r="H1495">
        <v>1048798219</v>
      </c>
      <c r="I1495">
        <v>735845663</v>
      </c>
      <c r="J1495">
        <v>609949502</v>
      </c>
      <c r="K1495">
        <v>404616876</v>
      </c>
      <c r="L1495">
        <v>387357295</v>
      </c>
      <c r="M1495">
        <v>84386178</v>
      </c>
      <c r="N1495">
        <v>126728919</v>
      </c>
      <c r="O1495">
        <v>65418241</v>
      </c>
      <c r="P1495">
        <v>161</v>
      </c>
      <c r="Q1495" t="s">
        <v>3298</v>
      </c>
    </row>
    <row r="1496" spans="1:17" x14ac:dyDescent="0.3">
      <c r="A1496" t="s">
        <v>75</v>
      </c>
      <c r="B1496" t="str">
        <f>"002973"</f>
        <v>002973</v>
      </c>
      <c r="C1496" t="s">
        <v>3299</v>
      </c>
      <c r="D1496" t="s">
        <v>1187</v>
      </c>
      <c r="E1496">
        <v>860100985</v>
      </c>
      <c r="F1496">
        <v>568856323</v>
      </c>
      <c r="G1496">
        <v>568628977</v>
      </c>
      <c r="H1496">
        <v>354794546</v>
      </c>
      <c r="P1496">
        <v>212</v>
      </c>
      <c r="Q1496" t="s">
        <v>3300</v>
      </c>
    </row>
    <row r="1497" spans="1:17" x14ac:dyDescent="0.3">
      <c r="A1497" t="s">
        <v>17</v>
      </c>
      <c r="B1497" t="str">
        <f>"688008"</f>
        <v>688008</v>
      </c>
      <c r="C1497" t="s">
        <v>3301</v>
      </c>
      <c r="D1497" t="s">
        <v>883</v>
      </c>
      <c r="E1497">
        <v>859306220</v>
      </c>
      <c r="F1497">
        <v>289030147</v>
      </c>
      <c r="G1497">
        <v>453202949</v>
      </c>
      <c r="H1497">
        <v>0</v>
      </c>
      <c r="I1497">
        <v>0</v>
      </c>
      <c r="P1497">
        <v>522</v>
      </c>
      <c r="Q1497" t="s">
        <v>3302</v>
      </c>
    </row>
    <row r="1498" spans="1:17" x14ac:dyDescent="0.3">
      <c r="A1498" t="s">
        <v>17</v>
      </c>
      <c r="B1498" t="str">
        <f>"603186"</f>
        <v>603186</v>
      </c>
      <c r="C1498" t="s">
        <v>3303</v>
      </c>
      <c r="D1498" t="s">
        <v>567</v>
      </c>
      <c r="E1498">
        <v>858863817</v>
      </c>
      <c r="F1498">
        <v>676161118</v>
      </c>
      <c r="G1498">
        <v>427433519</v>
      </c>
      <c r="H1498">
        <v>323492925</v>
      </c>
      <c r="I1498">
        <v>205317020</v>
      </c>
      <c r="J1498">
        <v>180788519</v>
      </c>
      <c r="K1498">
        <v>127462235</v>
      </c>
      <c r="P1498">
        <v>328</v>
      </c>
      <c r="Q1498" t="s">
        <v>3304</v>
      </c>
    </row>
    <row r="1499" spans="1:17" x14ac:dyDescent="0.3">
      <c r="A1499" t="s">
        <v>75</v>
      </c>
      <c r="B1499" t="str">
        <f>"002405"</f>
        <v>002405</v>
      </c>
      <c r="C1499" t="s">
        <v>3305</v>
      </c>
      <c r="D1499" t="s">
        <v>116</v>
      </c>
      <c r="E1499">
        <v>858531795</v>
      </c>
      <c r="F1499">
        <v>488796984</v>
      </c>
      <c r="G1499">
        <v>510422802</v>
      </c>
      <c r="H1499">
        <v>538829402</v>
      </c>
      <c r="I1499">
        <v>763596794</v>
      </c>
      <c r="J1499">
        <v>369677220</v>
      </c>
      <c r="K1499">
        <v>381927500</v>
      </c>
      <c r="L1499">
        <v>239390405</v>
      </c>
      <c r="M1499">
        <v>198572026</v>
      </c>
      <c r="N1499">
        <v>219211234</v>
      </c>
      <c r="O1499">
        <v>134349085</v>
      </c>
      <c r="P1499">
        <v>3861</v>
      </c>
      <c r="Q1499" t="s">
        <v>3306</v>
      </c>
    </row>
    <row r="1500" spans="1:17" x14ac:dyDescent="0.3">
      <c r="A1500" t="s">
        <v>75</v>
      </c>
      <c r="B1500" t="str">
        <f>"002294"</f>
        <v>002294</v>
      </c>
      <c r="C1500" t="s">
        <v>3307</v>
      </c>
      <c r="D1500" t="s">
        <v>543</v>
      </c>
      <c r="E1500">
        <v>858369687</v>
      </c>
      <c r="F1500">
        <v>742892990</v>
      </c>
      <c r="G1500">
        <v>1179538177</v>
      </c>
      <c r="H1500">
        <v>1407382363</v>
      </c>
      <c r="I1500">
        <v>1187249114</v>
      </c>
      <c r="J1500">
        <v>1074703262</v>
      </c>
      <c r="K1500">
        <v>876992024</v>
      </c>
      <c r="L1500">
        <v>688598560</v>
      </c>
      <c r="M1500">
        <v>626794816</v>
      </c>
      <c r="N1500">
        <v>478908906</v>
      </c>
      <c r="O1500">
        <v>380780725</v>
      </c>
      <c r="P1500">
        <v>25590</v>
      </c>
      <c r="Q1500" t="s">
        <v>3308</v>
      </c>
    </row>
    <row r="1501" spans="1:17" x14ac:dyDescent="0.3">
      <c r="A1501" t="s">
        <v>75</v>
      </c>
      <c r="B1501" t="str">
        <f>"300292"</f>
        <v>300292</v>
      </c>
      <c r="C1501" t="s">
        <v>3309</v>
      </c>
      <c r="D1501" t="s">
        <v>3310</v>
      </c>
      <c r="E1501">
        <v>858135789</v>
      </c>
      <c r="F1501">
        <v>1029759197</v>
      </c>
      <c r="G1501">
        <v>569457285</v>
      </c>
      <c r="H1501">
        <v>875182186</v>
      </c>
      <c r="I1501">
        <v>781833572</v>
      </c>
      <c r="J1501">
        <v>484764076</v>
      </c>
      <c r="K1501">
        <v>398472943</v>
      </c>
      <c r="L1501">
        <v>226618401</v>
      </c>
      <c r="M1501">
        <v>99513862</v>
      </c>
      <c r="N1501">
        <v>44419678</v>
      </c>
      <c r="O1501">
        <v>60202341</v>
      </c>
      <c r="P1501">
        <v>205</v>
      </c>
      <c r="Q1501" t="s">
        <v>3311</v>
      </c>
    </row>
    <row r="1502" spans="1:17" x14ac:dyDescent="0.3">
      <c r="A1502" t="s">
        <v>75</v>
      </c>
      <c r="B1502" t="str">
        <f>"002733"</f>
        <v>002733</v>
      </c>
      <c r="C1502" t="s">
        <v>3312</v>
      </c>
      <c r="D1502" t="s">
        <v>605</v>
      </c>
      <c r="E1502">
        <v>858122647</v>
      </c>
      <c r="F1502">
        <v>732822647</v>
      </c>
      <c r="G1502">
        <v>556349573</v>
      </c>
      <c r="H1502">
        <v>759705382</v>
      </c>
      <c r="I1502">
        <v>692304726</v>
      </c>
      <c r="J1502">
        <v>653496109</v>
      </c>
      <c r="K1502">
        <v>732643421</v>
      </c>
      <c r="L1502">
        <v>533050452</v>
      </c>
      <c r="M1502">
        <v>439238123</v>
      </c>
      <c r="P1502">
        <v>236</v>
      </c>
      <c r="Q1502" t="s">
        <v>3313</v>
      </c>
    </row>
    <row r="1503" spans="1:17" x14ac:dyDescent="0.3">
      <c r="A1503" t="s">
        <v>75</v>
      </c>
      <c r="B1503" t="str">
        <f>"300661"</f>
        <v>300661</v>
      </c>
      <c r="C1503" t="s">
        <v>3314</v>
      </c>
      <c r="D1503" t="s">
        <v>2580</v>
      </c>
      <c r="E1503">
        <v>857427624</v>
      </c>
      <c r="F1503">
        <v>420068412</v>
      </c>
      <c r="G1503">
        <v>248155182</v>
      </c>
      <c r="H1503">
        <v>123820668</v>
      </c>
      <c r="I1503">
        <v>155476313</v>
      </c>
      <c r="J1503">
        <v>126695703</v>
      </c>
      <c r="P1503">
        <v>1054</v>
      </c>
      <c r="Q1503" t="s">
        <v>3315</v>
      </c>
    </row>
    <row r="1504" spans="1:17" x14ac:dyDescent="0.3">
      <c r="A1504" t="s">
        <v>75</v>
      </c>
      <c r="B1504" t="str">
        <f>"002675"</f>
        <v>002675</v>
      </c>
      <c r="C1504" t="s">
        <v>3316</v>
      </c>
      <c r="D1504" t="s">
        <v>543</v>
      </c>
      <c r="E1504">
        <v>857253309</v>
      </c>
      <c r="F1504">
        <v>809587434</v>
      </c>
      <c r="G1504">
        <v>704511580</v>
      </c>
      <c r="H1504">
        <v>611416163</v>
      </c>
      <c r="I1504">
        <v>453086736</v>
      </c>
      <c r="J1504">
        <v>350708149</v>
      </c>
      <c r="K1504">
        <v>221252232</v>
      </c>
      <c r="L1504">
        <v>164327384</v>
      </c>
      <c r="M1504">
        <v>217907554</v>
      </c>
      <c r="N1504">
        <v>143971085</v>
      </c>
      <c r="O1504">
        <v>130508638</v>
      </c>
      <c r="P1504">
        <v>365</v>
      </c>
      <c r="Q1504" t="s">
        <v>3317</v>
      </c>
    </row>
    <row r="1505" spans="1:17" x14ac:dyDescent="0.3">
      <c r="A1505" t="s">
        <v>17</v>
      </c>
      <c r="B1505" t="str">
        <f>"600372"</f>
        <v>600372</v>
      </c>
      <c r="C1505" t="s">
        <v>3318</v>
      </c>
      <c r="D1505" t="s">
        <v>1551</v>
      </c>
      <c r="E1505">
        <v>856547275</v>
      </c>
      <c r="F1505">
        <v>1664703196</v>
      </c>
      <c r="G1505">
        <v>933392154</v>
      </c>
      <c r="H1505">
        <v>1167866786</v>
      </c>
      <c r="I1505">
        <v>801746653</v>
      </c>
      <c r="J1505">
        <v>756633284</v>
      </c>
      <c r="K1505">
        <v>874996272</v>
      </c>
      <c r="L1505">
        <v>775531282</v>
      </c>
      <c r="M1505">
        <v>828494409</v>
      </c>
      <c r="N1505">
        <v>693512656</v>
      </c>
      <c r="O1505">
        <v>566003071</v>
      </c>
      <c r="P1505">
        <v>433</v>
      </c>
      <c r="Q1505" t="s">
        <v>3319</v>
      </c>
    </row>
    <row r="1506" spans="1:17" x14ac:dyDescent="0.3">
      <c r="A1506" t="s">
        <v>17</v>
      </c>
      <c r="B1506" t="str">
        <f>"603680"</f>
        <v>603680</v>
      </c>
      <c r="C1506" t="s">
        <v>3320</v>
      </c>
      <c r="D1506" t="s">
        <v>156</v>
      </c>
      <c r="E1506">
        <v>855955523</v>
      </c>
      <c r="F1506">
        <v>615606146</v>
      </c>
      <c r="G1506">
        <v>630961054</v>
      </c>
      <c r="H1506">
        <v>466817054</v>
      </c>
      <c r="I1506">
        <v>833829927</v>
      </c>
      <c r="J1506">
        <v>523265396</v>
      </c>
      <c r="P1506">
        <v>81</v>
      </c>
      <c r="Q1506" t="s">
        <v>3321</v>
      </c>
    </row>
    <row r="1507" spans="1:17" x14ac:dyDescent="0.3">
      <c r="A1507" t="s">
        <v>75</v>
      </c>
      <c r="B1507" t="str">
        <f>"003037"</f>
        <v>003037</v>
      </c>
      <c r="C1507" t="s">
        <v>3322</v>
      </c>
      <c r="D1507" t="s">
        <v>1583</v>
      </c>
      <c r="E1507">
        <v>855111478</v>
      </c>
      <c r="F1507">
        <v>1243750332</v>
      </c>
      <c r="G1507">
        <v>684994183</v>
      </c>
      <c r="P1507">
        <v>40</v>
      </c>
      <c r="Q1507" t="s">
        <v>3323</v>
      </c>
    </row>
    <row r="1508" spans="1:17" x14ac:dyDescent="0.3">
      <c r="A1508" t="s">
        <v>75</v>
      </c>
      <c r="B1508" t="str">
        <f>"002151"</f>
        <v>002151</v>
      </c>
      <c r="C1508" t="s">
        <v>3324</v>
      </c>
      <c r="D1508" t="s">
        <v>1572</v>
      </c>
      <c r="E1508">
        <v>853730394</v>
      </c>
      <c r="F1508">
        <v>990375132</v>
      </c>
      <c r="G1508">
        <v>820611382</v>
      </c>
      <c r="H1508">
        <v>635313866</v>
      </c>
      <c r="I1508">
        <v>671869067</v>
      </c>
      <c r="J1508">
        <v>300457903</v>
      </c>
      <c r="K1508">
        <v>232518324</v>
      </c>
      <c r="L1508">
        <v>135007867</v>
      </c>
      <c r="M1508">
        <v>179846393</v>
      </c>
      <c r="N1508">
        <v>105345156</v>
      </c>
      <c r="O1508">
        <v>98264327</v>
      </c>
      <c r="P1508">
        <v>3423</v>
      </c>
      <c r="Q1508" t="s">
        <v>3325</v>
      </c>
    </row>
    <row r="1509" spans="1:17" x14ac:dyDescent="0.3">
      <c r="A1509" t="s">
        <v>75</v>
      </c>
      <c r="B1509" t="str">
        <f>"000551"</f>
        <v>000551</v>
      </c>
      <c r="C1509" t="s">
        <v>3326</v>
      </c>
      <c r="D1509" t="s">
        <v>1642</v>
      </c>
      <c r="E1509">
        <v>853388316</v>
      </c>
      <c r="F1509">
        <v>880936888</v>
      </c>
      <c r="G1509">
        <v>622394855</v>
      </c>
      <c r="H1509">
        <v>753546837</v>
      </c>
      <c r="I1509">
        <v>722743912</v>
      </c>
      <c r="J1509">
        <v>661722102</v>
      </c>
      <c r="K1509">
        <v>603731262</v>
      </c>
      <c r="L1509">
        <v>524568739</v>
      </c>
      <c r="M1509">
        <v>571193254</v>
      </c>
      <c r="N1509">
        <v>544625012</v>
      </c>
      <c r="O1509">
        <v>510671906</v>
      </c>
      <c r="P1509">
        <v>122</v>
      </c>
      <c r="Q1509" t="s">
        <v>3327</v>
      </c>
    </row>
    <row r="1510" spans="1:17" x14ac:dyDescent="0.3">
      <c r="A1510" t="s">
        <v>17</v>
      </c>
      <c r="B1510" t="str">
        <f>"600095"</f>
        <v>600095</v>
      </c>
      <c r="C1510" t="s">
        <v>3328</v>
      </c>
      <c r="D1510" t="s">
        <v>2823</v>
      </c>
      <c r="E1510">
        <v>852707184</v>
      </c>
      <c r="F1510">
        <v>686471739</v>
      </c>
      <c r="G1510">
        <v>82376078</v>
      </c>
      <c r="H1510">
        <v>159412603</v>
      </c>
      <c r="I1510">
        <v>29268007</v>
      </c>
      <c r="J1510">
        <v>26952178</v>
      </c>
      <c r="K1510">
        <v>56567682</v>
      </c>
      <c r="L1510">
        <v>34962645</v>
      </c>
      <c r="M1510">
        <v>71509499</v>
      </c>
      <c r="N1510">
        <v>100050558</v>
      </c>
      <c r="O1510">
        <v>68210634</v>
      </c>
      <c r="P1510">
        <v>330</v>
      </c>
      <c r="Q1510" t="s">
        <v>3329</v>
      </c>
    </row>
    <row r="1511" spans="1:17" x14ac:dyDescent="0.3">
      <c r="A1511" t="s">
        <v>75</v>
      </c>
      <c r="B1511" t="str">
        <f>"000554"</f>
        <v>000554</v>
      </c>
      <c r="C1511" t="s">
        <v>3330</v>
      </c>
      <c r="D1511" t="s">
        <v>559</v>
      </c>
      <c r="E1511">
        <v>852111165</v>
      </c>
      <c r="F1511">
        <v>685844548</v>
      </c>
      <c r="G1511">
        <v>572640068</v>
      </c>
      <c r="H1511">
        <v>904880360</v>
      </c>
      <c r="I1511">
        <v>839527099</v>
      </c>
      <c r="J1511">
        <v>790093804</v>
      </c>
      <c r="K1511">
        <v>765606728</v>
      </c>
      <c r="L1511">
        <v>871976866</v>
      </c>
      <c r="M1511">
        <v>1057211243</v>
      </c>
      <c r="N1511">
        <v>960535350</v>
      </c>
      <c r="O1511">
        <v>1218976720</v>
      </c>
      <c r="P1511">
        <v>112</v>
      </c>
      <c r="Q1511" t="s">
        <v>3331</v>
      </c>
    </row>
    <row r="1512" spans="1:17" x14ac:dyDescent="0.3">
      <c r="A1512" t="s">
        <v>17</v>
      </c>
      <c r="B1512" t="str">
        <f>"600602"</f>
        <v>600602</v>
      </c>
      <c r="C1512" t="s">
        <v>3332</v>
      </c>
      <c r="D1512" t="s">
        <v>116</v>
      </c>
      <c r="E1512">
        <v>849014150</v>
      </c>
      <c r="F1512">
        <v>1106873373</v>
      </c>
      <c r="G1512">
        <v>895904816</v>
      </c>
      <c r="H1512">
        <v>994062321</v>
      </c>
      <c r="I1512">
        <v>863990258</v>
      </c>
      <c r="J1512">
        <v>757249313</v>
      </c>
      <c r="K1512">
        <v>682595536</v>
      </c>
      <c r="L1512">
        <v>224448238</v>
      </c>
      <c r="M1512">
        <v>216394235</v>
      </c>
      <c r="N1512">
        <v>232362910</v>
      </c>
      <c r="O1512">
        <v>214444540</v>
      </c>
      <c r="P1512">
        <v>136</v>
      </c>
      <c r="Q1512" t="s">
        <v>3333</v>
      </c>
    </row>
    <row r="1513" spans="1:17" x14ac:dyDescent="0.3">
      <c r="A1513" t="s">
        <v>75</v>
      </c>
      <c r="B1513" t="str">
        <f>"002662"</f>
        <v>002662</v>
      </c>
      <c r="C1513" t="s">
        <v>3334</v>
      </c>
      <c r="D1513" t="s">
        <v>194</v>
      </c>
      <c r="E1513">
        <v>848024881</v>
      </c>
      <c r="F1513">
        <v>900047200</v>
      </c>
      <c r="G1513">
        <v>1031897577</v>
      </c>
      <c r="H1513">
        <v>1015063649</v>
      </c>
      <c r="I1513">
        <v>1446376836</v>
      </c>
      <c r="J1513">
        <v>1387168004</v>
      </c>
      <c r="K1513">
        <v>1091650992</v>
      </c>
      <c r="L1513">
        <v>1087971575</v>
      </c>
      <c r="M1513">
        <v>488985794</v>
      </c>
      <c r="N1513">
        <v>347097472</v>
      </c>
      <c r="O1513">
        <v>429582677</v>
      </c>
      <c r="P1513">
        <v>140</v>
      </c>
      <c r="Q1513" t="s">
        <v>3335</v>
      </c>
    </row>
    <row r="1514" spans="1:17" x14ac:dyDescent="0.3">
      <c r="A1514" t="s">
        <v>17</v>
      </c>
      <c r="B1514" t="str">
        <f>"600435"</f>
        <v>600435</v>
      </c>
      <c r="C1514" t="s">
        <v>3336</v>
      </c>
      <c r="D1514" t="s">
        <v>3072</v>
      </c>
      <c r="E1514">
        <v>847644437</v>
      </c>
      <c r="F1514">
        <v>1009166275</v>
      </c>
      <c r="G1514">
        <v>217379102</v>
      </c>
      <c r="H1514">
        <v>311784401</v>
      </c>
      <c r="I1514">
        <v>419036338</v>
      </c>
      <c r="J1514">
        <v>211449943</v>
      </c>
      <c r="K1514">
        <v>153436830</v>
      </c>
      <c r="L1514">
        <v>151063341</v>
      </c>
      <c r="M1514">
        <v>114894702</v>
      </c>
      <c r="N1514">
        <v>169271367</v>
      </c>
      <c r="O1514">
        <v>285216451</v>
      </c>
      <c r="P1514">
        <v>230</v>
      </c>
      <c r="Q1514" t="s">
        <v>3337</v>
      </c>
    </row>
    <row r="1515" spans="1:17" x14ac:dyDescent="0.3">
      <c r="A1515" t="s">
        <v>75</v>
      </c>
      <c r="B1515" t="str">
        <f>"000720"</f>
        <v>000720</v>
      </c>
      <c r="C1515" t="s">
        <v>3338</v>
      </c>
      <c r="D1515" t="s">
        <v>806</v>
      </c>
      <c r="E1515">
        <v>846146249</v>
      </c>
      <c r="F1515">
        <v>819181860</v>
      </c>
      <c r="G1515">
        <v>508455134</v>
      </c>
      <c r="H1515">
        <v>454204152</v>
      </c>
      <c r="I1515">
        <v>799931287</v>
      </c>
      <c r="J1515">
        <v>756201202</v>
      </c>
      <c r="K1515">
        <v>699557248</v>
      </c>
      <c r="L1515">
        <v>690987188</v>
      </c>
      <c r="M1515">
        <v>621778523</v>
      </c>
      <c r="N1515">
        <v>805877345</v>
      </c>
      <c r="O1515">
        <v>804637334</v>
      </c>
      <c r="P1515">
        <v>122</v>
      </c>
      <c r="Q1515" t="s">
        <v>3339</v>
      </c>
    </row>
    <row r="1516" spans="1:17" x14ac:dyDescent="0.3">
      <c r="A1516" t="s">
        <v>17</v>
      </c>
      <c r="B1516" t="str">
        <f>"603919"</f>
        <v>603919</v>
      </c>
      <c r="C1516" t="s">
        <v>3340</v>
      </c>
      <c r="D1516" t="s">
        <v>201</v>
      </c>
      <c r="E1516">
        <v>845825955</v>
      </c>
      <c r="F1516">
        <v>538202516</v>
      </c>
      <c r="G1516">
        <v>307660089</v>
      </c>
      <c r="H1516">
        <v>613562993</v>
      </c>
      <c r="I1516">
        <v>570117691</v>
      </c>
      <c r="J1516">
        <v>334129758</v>
      </c>
      <c r="K1516">
        <v>451967967</v>
      </c>
      <c r="L1516">
        <v>372678199</v>
      </c>
      <c r="P1516">
        <v>446</v>
      </c>
      <c r="Q1516" t="s">
        <v>3341</v>
      </c>
    </row>
    <row r="1517" spans="1:17" x14ac:dyDescent="0.3">
      <c r="A1517" t="s">
        <v>75</v>
      </c>
      <c r="B1517" t="str">
        <f>"000819"</f>
        <v>000819</v>
      </c>
      <c r="C1517" t="s">
        <v>3342</v>
      </c>
      <c r="D1517" t="s">
        <v>422</v>
      </c>
      <c r="E1517">
        <v>845778019</v>
      </c>
      <c r="F1517">
        <v>331500907</v>
      </c>
      <c r="G1517">
        <v>320156673</v>
      </c>
      <c r="H1517">
        <v>370222209</v>
      </c>
      <c r="I1517">
        <v>502511551</v>
      </c>
      <c r="J1517">
        <v>395356183</v>
      </c>
      <c r="K1517">
        <v>178720692</v>
      </c>
      <c r="L1517">
        <v>249399476</v>
      </c>
      <c r="M1517">
        <v>206922841</v>
      </c>
      <c r="N1517">
        <v>305722040</v>
      </c>
      <c r="O1517">
        <v>502444608</v>
      </c>
      <c r="P1517">
        <v>81</v>
      </c>
      <c r="Q1517" t="s">
        <v>3343</v>
      </c>
    </row>
    <row r="1518" spans="1:17" x14ac:dyDescent="0.3">
      <c r="A1518" t="s">
        <v>17</v>
      </c>
      <c r="B1518" t="str">
        <f>"600161"</f>
        <v>600161</v>
      </c>
      <c r="C1518" t="s">
        <v>3344</v>
      </c>
      <c r="D1518" t="s">
        <v>2314</v>
      </c>
      <c r="E1518">
        <v>842854393</v>
      </c>
      <c r="F1518">
        <v>906035896</v>
      </c>
      <c r="G1518">
        <v>831796240</v>
      </c>
      <c r="H1518">
        <v>808094145</v>
      </c>
      <c r="I1518">
        <v>503319923</v>
      </c>
      <c r="J1518">
        <v>390522690</v>
      </c>
      <c r="K1518">
        <v>306919599</v>
      </c>
      <c r="L1518">
        <v>292928660</v>
      </c>
      <c r="M1518">
        <v>309656168</v>
      </c>
      <c r="N1518">
        <v>266149439</v>
      </c>
      <c r="O1518">
        <v>227056196</v>
      </c>
      <c r="P1518">
        <v>1406</v>
      </c>
      <c r="Q1518" t="s">
        <v>3345</v>
      </c>
    </row>
    <row r="1519" spans="1:17" x14ac:dyDescent="0.3">
      <c r="A1519" t="s">
        <v>75</v>
      </c>
      <c r="B1519" t="str">
        <f>"000885"</f>
        <v>000885</v>
      </c>
      <c r="C1519" t="s">
        <v>3346</v>
      </c>
      <c r="D1519" t="s">
        <v>1248</v>
      </c>
      <c r="E1519">
        <v>842639114</v>
      </c>
      <c r="F1519">
        <v>523534600</v>
      </c>
      <c r="G1519">
        <v>229079718</v>
      </c>
      <c r="H1519">
        <v>485324856</v>
      </c>
      <c r="I1519">
        <v>501714452</v>
      </c>
      <c r="J1519">
        <v>793941915</v>
      </c>
      <c r="K1519">
        <v>539042367</v>
      </c>
      <c r="L1519">
        <v>589934402</v>
      </c>
      <c r="M1519">
        <v>788935916</v>
      </c>
      <c r="N1519">
        <v>745037320</v>
      </c>
      <c r="O1519">
        <v>908201030</v>
      </c>
      <c r="P1519">
        <v>236</v>
      </c>
      <c r="Q1519" t="s">
        <v>3347</v>
      </c>
    </row>
    <row r="1520" spans="1:17" x14ac:dyDescent="0.3">
      <c r="A1520" t="s">
        <v>17</v>
      </c>
      <c r="B1520" t="str">
        <f>"603033"</f>
        <v>603033</v>
      </c>
      <c r="C1520" t="s">
        <v>3348</v>
      </c>
      <c r="D1520" t="s">
        <v>3349</v>
      </c>
      <c r="E1520">
        <v>839781413</v>
      </c>
      <c r="F1520">
        <v>573100269</v>
      </c>
      <c r="G1520">
        <v>309708746</v>
      </c>
      <c r="H1520">
        <v>225886211</v>
      </c>
      <c r="I1520">
        <v>109650514</v>
      </c>
      <c r="J1520">
        <v>99703343</v>
      </c>
      <c r="K1520">
        <v>125999313</v>
      </c>
      <c r="P1520">
        <v>99</v>
      </c>
      <c r="Q1520" t="s">
        <v>3350</v>
      </c>
    </row>
    <row r="1521" spans="1:17" x14ac:dyDescent="0.3">
      <c r="A1521" t="s">
        <v>17</v>
      </c>
      <c r="B1521" t="str">
        <f>"603583"</f>
        <v>603583</v>
      </c>
      <c r="C1521" t="s">
        <v>3351</v>
      </c>
      <c r="D1521" t="s">
        <v>1352</v>
      </c>
      <c r="E1521">
        <v>838682288</v>
      </c>
      <c r="F1521">
        <v>428746548</v>
      </c>
      <c r="G1521">
        <v>376109718</v>
      </c>
      <c r="H1521">
        <v>357636193</v>
      </c>
      <c r="I1521">
        <v>190806318</v>
      </c>
      <c r="P1521">
        <v>704</v>
      </c>
      <c r="Q1521" t="s">
        <v>3352</v>
      </c>
    </row>
    <row r="1522" spans="1:17" x14ac:dyDescent="0.3">
      <c r="A1522" t="s">
        <v>17</v>
      </c>
      <c r="B1522" t="str">
        <f>"600668"</f>
        <v>600668</v>
      </c>
      <c r="C1522" t="s">
        <v>3353</v>
      </c>
      <c r="D1522" t="s">
        <v>1284</v>
      </c>
      <c r="E1522">
        <v>838672095</v>
      </c>
      <c r="F1522">
        <v>784319124</v>
      </c>
      <c r="G1522">
        <v>606572846</v>
      </c>
      <c r="H1522">
        <v>823550220</v>
      </c>
      <c r="I1522">
        <v>752879628</v>
      </c>
      <c r="J1522">
        <v>638883920</v>
      </c>
      <c r="K1522">
        <v>552931281</v>
      </c>
      <c r="L1522">
        <v>513121828</v>
      </c>
      <c r="M1522">
        <v>542684317</v>
      </c>
      <c r="N1522">
        <v>452734384</v>
      </c>
      <c r="O1522">
        <v>410102336</v>
      </c>
      <c r="P1522">
        <v>343</v>
      </c>
      <c r="Q1522" t="s">
        <v>3354</v>
      </c>
    </row>
    <row r="1523" spans="1:17" x14ac:dyDescent="0.3">
      <c r="A1523" t="s">
        <v>75</v>
      </c>
      <c r="B1523" t="str">
        <f>"002025"</f>
        <v>002025</v>
      </c>
      <c r="C1523" t="s">
        <v>3355</v>
      </c>
      <c r="D1523" t="s">
        <v>1572</v>
      </c>
      <c r="E1523">
        <v>836743898</v>
      </c>
      <c r="F1523">
        <v>640753750</v>
      </c>
      <c r="G1523">
        <v>295194002</v>
      </c>
      <c r="H1523">
        <v>280820680</v>
      </c>
      <c r="I1523">
        <v>219859766</v>
      </c>
      <c r="J1523">
        <v>221560490</v>
      </c>
      <c r="K1523">
        <v>343988059</v>
      </c>
      <c r="L1523">
        <v>203652146</v>
      </c>
      <c r="M1523">
        <v>177233282</v>
      </c>
      <c r="N1523">
        <v>154654522</v>
      </c>
      <c r="O1523">
        <v>144486807</v>
      </c>
      <c r="P1523">
        <v>468</v>
      </c>
      <c r="Q1523" t="s">
        <v>3356</v>
      </c>
    </row>
    <row r="1524" spans="1:17" x14ac:dyDescent="0.3">
      <c r="A1524" t="s">
        <v>75</v>
      </c>
      <c r="B1524" t="str">
        <f>"002437"</f>
        <v>002437</v>
      </c>
      <c r="C1524" t="s">
        <v>3357</v>
      </c>
      <c r="D1524" t="s">
        <v>543</v>
      </c>
      <c r="E1524">
        <v>836456307</v>
      </c>
      <c r="F1524">
        <v>838401409</v>
      </c>
      <c r="G1524">
        <v>722465646</v>
      </c>
      <c r="H1524">
        <v>1443347698</v>
      </c>
      <c r="I1524">
        <v>1166961514</v>
      </c>
      <c r="J1524">
        <v>619935787</v>
      </c>
      <c r="K1524">
        <v>686577682</v>
      </c>
      <c r="L1524">
        <v>568837997</v>
      </c>
      <c r="M1524">
        <v>378181130</v>
      </c>
      <c r="N1524">
        <v>180394440</v>
      </c>
      <c r="O1524">
        <v>146368350</v>
      </c>
      <c r="P1524">
        <v>189</v>
      </c>
      <c r="Q1524" t="s">
        <v>3358</v>
      </c>
    </row>
    <row r="1525" spans="1:17" x14ac:dyDescent="0.3">
      <c r="A1525" t="s">
        <v>17</v>
      </c>
      <c r="B1525" t="str">
        <f>"601882"</f>
        <v>601882</v>
      </c>
      <c r="C1525" t="s">
        <v>3359</v>
      </c>
      <c r="D1525" t="s">
        <v>3360</v>
      </c>
      <c r="E1525">
        <v>834650007</v>
      </c>
      <c r="F1525">
        <v>390816321</v>
      </c>
      <c r="G1525">
        <v>317651541</v>
      </c>
      <c r="H1525">
        <v>317275642</v>
      </c>
      <c r="I1525">
        <v>298243841</v>
      </c>
      <c r="J1525">
        <v>216499845</v>
      </c>
      <c r="K1525">
        <v>160237492</v>
      </c>
      <c r="P1525">
        <v>188</v>
      </c>
      <c r="Q1525" t="s">
        <v>3361</v>
      </c>
    </row>
    <row r="1526" spans="1:17" x14ac:dyDescent="0.3">
      <c r="A1526" t="s">
        <v>17</v>
      </c>
      <c r="B1526" t="str">
        <f>"600479"</f>
        <v>600479</v>
      </c>
      <c r="C1526" t="s">
        <v>3362</v>
      </c>
      <c r="D1526" t="s">
        <v>321</v>
      </c>
      <c r="E1526">
        <v>833670514</v>
      </c>
      <c r="F1526">
        <v>968165303</v>
      </c>
      <c r="G1526">
        <v>994194151</v>
      </c>
      <c r="H1526">
        <v>819843429</v>
      </c>
      <c r="I1526">
        <v>838751251</v>
      </c>
      <c r="J1526">
        <v>808131849</v>
      </c>
      <c r="K1526">
        <v>663619517</v>
      </c>
      <c r="L1526">
        <v>530264690</v>
      </c>
      <c r="M1526">
        <v>354953718</v>
      </c>
      <c r="N1526">
        <v>438692773</v>
      </c>
      <c r="O1526">
        <v>382467599</v>
      </c>
      <c r="P1526">
        <v>605</v>
      </c>
      <c r="Q1526" t="s">
        <v>3363</v>
      </c>
    </row>
    <row r="1527" spans="1:17" x14ac:dyDescent="0.3">
      <c r="A1527" t="s">
        <v>17</v>
      </c>
      <c r="B1527" t="str">
        <f>"600020"</f>
        <v>600020</v>
      </c>
      <c r="C1527" t="s">
        <v>3364</v>
      </c>
      <c r="D1527" t="s">
        <v>1248</v>
      </c>
      <c r="E1527">
        <v>831688877</v>
      </c>
      <c r="F1527">
        <v>1128392653</v>
      </c>
      <c r="G1527">
        <v>598261504</v>
      </c>
      <c r="H1527">
        <v>1528995429</v>
      </c>
      <c r="I1527">
        <v>1240302591</v>
      </c>
      <c r="J1527">
        <v>1151680394</v>
      </c>
      <c r="K1527">
        <v>994652305</v>
      </c>
      <c r="L1527">
        <v>796486896</v>
      </c>
      <c r="M1527">
        <v>801062066</v>
      </c>
      <c r="N1527">
        <v>764431524</v>
      </c>
      <c r="O1527">
        <v>701624066</v>
      </c>
      <c r="P1527">
        <v>386</v>
      </c>
      <c r="Q1527" t="s">
        <v>3365</v>
      </c>
    </row>
    <row r="1528" spans="1:17" x14ac:dyDescent="0.3">
      <c r="A1528" t="s">
        <v>17</v>
      </c>
      <c r="B1528" t="str">
        <f>"601011"</f>
        <v>601011</v>
      </c>
      <c r="C1528" t="s">
        <v>3366</v>
      </c>
      <c r="D1528" t="s">
        <v>837</v>
      </c>
      <c r="E1528">
        <v>831146881</v>
      </c>
      <c r="F1528">
        <v>768224429</v>
      </c>
      <c r="G1528">
        <v>460272415</v>
      </c>
      <c r="H1528">
        <v>793163420</v>
      </c>
      <c r="I1528">
        <v>776473651</v>
      </c>
      <c r="J1528">
        <v>507938462</v>
      </c>
      <c r="K1528">
        <v>273398138</v>
      </c>
      <c r="L1528">
        <v>359736722</v>
      </c>
      <c r="M1528">
        <v>359211616</v>
      </c>
      <c r="N1528">
        <v>439634822</v>
      </c>
      <c r="O1528">
        <v>673413619</v>
      </c>
      <c r="P1528">
        <v>134</v>
      </c>
      <c r="Q1528" t="s">
        <v>3367</v>
      </c>
    </row>
    <row r="1529" spans="1:17" x14ac:dyDescent="0.3">
      <c r="A1529" t="s">
        <v>75</v>
      </c>
      <c r="B1529" t="str">
        <f>"300724"</f>
        <v>300724</v>
      </c>
      <c r="C1529" t="s">
        <v>3368</v>
      </c>
      <c r="D1529" t="s">
        <v>2212</v>
      </c>
      <c r="E1529">
        <v>829717780</v>
      </c>
      <c r="F1529">
        <v>1204280095</v>
      </c>
      <c r="G1529">
        <v>463076115</v>
      </c>
      <c r="H1529">
        <v>297489188</v>
      </c>
      <c r="I1529">
        <v>272391033</v>
      </c>
      <c r="J1529">
        <v>221950799</v>
      </c>
      <c r="P1529">
        <v>573</v>
      </c>
      <c r="Q1529" t="s">
        <v>3369</v>
      </c>
    </row>
    <row r="1530" spans="1:17" x14ac:dyDescent="0.3">
      <c r="A1530" t="s">
        <v>17</v>
      </c>
      <c r="B1530" t="str">
        <f>"600724"</f>
        <v>600724</v>
      </c>
      <c r="C1530" t="s">
        <v>3370</v>
      </c>
      <c r="D1530" t="s">
        <v>191</v>
      </c>
      <c r="E1530">
        <v>827672709</v>
      </c>
      <c r="F1530">
        <v>513902459</v>
      </c>
      <c r="G1530">
        <v>507907506</v>
      </c>
      <c r="H1530">
        <v>583792731</v>
      </c>
      <c r="I1530">
        <v>1014723594</v>
      </c>
      <c r="J1530">
        <v>741894344</v>
      </c>
      <c r="K1530">
        <v>808656929</v>
      </c>
      <c r="L1530">
        <v>604779111</v>
      </c>
      <c r="M1530">
        <v>629832258</v>
      </c>
      <c r="N1530">
        <v>1180596850</v>
      </c>
      <c r="O1530">
        <v>745270296</v>
      </c>
      <c r="P1530">
        <v>169</v>
      </c>
      <c r="Q1530" t="s">
        <v>3371</v>
      </c>
    </row>
    <row r="1531" spans="1:17" x14ac:dyDescent="0.3">
      <c r="A1531" t="s">
        <v>75</v>
      </c>
      <c r="B1531" t="str">
        <f>"002889"</f>
        <v>002889</v>
      </c>
      <c r="C1531" t="s">
        <v>3372</v>
      </c>
      <c r="D1531" t="s">
        <v>367</v>
      </c>
      <c r="E1531">
        <v>827554489</v>
      </c>
      <c r="F1531">
        <v>998659329</v>
      </c>
      <c r="G1531">
        <v>3578762228</v>
      </c>
      <c r="H1531">
        <v>4491589854</v>
      </c>
      <c r="I1531">
        <v>3988124529</v>
      </c>
      <c r="J1531">
        <v>2472052512</v>
      </c>
      <c r="K1531">
        <v>0</v>
      </c>
      <c r="P1531">
        <v>123</v>
      </c>
      <c r="Q1531" t="s">
        <v>3373</v>
      </c>
    </row>
    <row r="1532" spans="1:17" x14ac:dyDescent="0.3">
      <c r="A1532" t="s">
        <v>75</v>
      </c>
      <c r="B1532" t="str">
        <f>"300242"</f>
        <v>300242</v>
      </c>
      <c r="C1532" t="s">
        <v>3374</v>
      </c>
      <c r="D1532" t="s">
        <v>622</v>
      </c>
      <c r="E1532">
        <v>827463811</v>
      </c>
      <c r="F1532">
        <v>1793773143</v>
      </c>
      <c r="G1532">
        <v>1761268978</v>
      </c>
      <c r="H1532">
        <v>1094718245</v>
      </c>
      <c r="I1532">
        <v>939876127</v>
      </c>
      <c r="J1532">
        <v>625443956</v>
      </c>
      <c r="K1532">
        <v>460818974</v>
      </c>
      <c r="L1532">
        <v>111182664</v>
      </c>
      <c r="M1532">
        <v>35629079</v>
      </c>
      <c r="N1532">
        <v>29117653</v>
      </c>
      <c r="O1532">
        <v>41708048</v>
      </c>
      <c r="P1532">
        <v>95</v>
      </c>
      <c r="Q1532" t="s">
        <v>3375</v>
      </c>
    </row>
    <row r="1533" spans="1:17" x14ac:dyDescent="0.3">
      <c r="A1533" t="s">
        <v>75</v>
      </c>
      <c r="B1533" t="str">
        <f>"000529"</f>
        <v>000529</v>
      </c>
      <c r="C1533" t="s">
        <v>3376</v>
      </c>
      <c r="D1533" t="s">
        <v>1433</v>
      </c>
      <c r="E1533">
        <v>827006827</v>
      </c>
      <c r="F1533">
        <v>700492389</v>
      </c>
      <c r="G1533">
        <v>586177954</v>
      </c>
      <c r="H1533">
        <v>542031546</v>
      </c>
      <c r="I1533">
        <v>432056441</v>
      </c>
      <c r="J1533">
        <v>548483858</v>
      </c>
      <c r="K1533">
        <v>458621288</v>
      </c>
      <c r="L1533">
        <v>439892376</v>
      </c>
      <c r="M1533">
        <v>474328216</v>
      </c>
      <c r="N1533">
        <v>365573343</v>
      </c>
      <c r="O1533">
        <v>282523227</v>
      </c>
      <c r="P1533">
        <v>298</v>
      </c>
      <c r="Q1533" t="s">
        <v>3377</v>
      </c>
    </row>
    <row r="1534" spans="1:17" x14ac:dyDescent="0.3">
      <c r="A1534" t="s">
        <v>17</v>
      </c>
      <c r="B1534" t="str">
        <f>"600644"</f>
        <v>600644</v>
      </c>
      <c r="C1534" t="s">
        <v>3378</v>
      </c>
      <c r="D1534" t="s">
        <v>457</v>
      </c>
      <c r="E1534">
        <v>824975437</v>
      </c>
      <c r="F1534">
        <v>656057548</v>
      </c>
      <c r="G1534">
        <v>580585098</v>
      </c>
      <c r="H1534">
        <v>613491189</v>
      </c>
      <c r="I1534">
        <v>541056452</v>
      </c>
      <c r="J1534">
        <v>523042911</v>
      </c>
      <c r="K1534">
        <v>533863787</v>
      </c>
      <c r="L1534">
        <v>361619531</v>
      </c>
      <c r="M1534">
        <v>378715518</v>
      </c>
      <c r="N1534">
        <v>397302098</v>
      </c>
      <c r="O1534">
        <v>441990010</v>
      </c>
      <c r="P1534">
        <v>81</v>
      </c>
      <c r="Q1534" t="s">
        <v>3379</v>
      </c>
    </row>
    <row r="1535" spans="1:17" x14ac:dyDescent="0.3">
      <c r="A1535" t="s">
        <v>17</v>
      </c>
      <c r="B1535" t="str">
        <f>"605011"</f>
        <v>605011</v>
      </c>
      <c r="C1535" t="s">
        <v>3380</v>
      </c>
      <c r="D1535" t="s">
        <v>446</v>
      </c>
      <c r="E1535">
        <v>823632572</v>
      </c>
      <c r="F1535">
        <v>691761540</v>
      </c>
      <c r="G1535">
        <v>435775597</v>
      </c>
      <c r="P1535">
        <v>27</v>
      </c>
      <c r="Q1535" t="s">
        <v>3381</v>
      </c>
    </row>
    <row r="1536" spans="1:17" x14ac:dyDescent="0.3">
      <c r="A1536" t="s">
        <v>75</v>
      </c>
      <c r="B1536" t="str">
        <f>"002664"</f>
        <v>002664</v>
      </c>
      <c r="C1536" t="s">
        <v>3382</v>
      </c>
      <c r="D1536" t="s">
        <v>433</v>
      </c>
      <c r="E1536">
        <v>823221605</v>
      </c>
      <c r="F1536">
        <v>787491682</v>
      </c>
      <c r="G1536">
        <v>743043133</v>
      </c>
      <c r="H1536">
        <v>635999441</v>
      </c>
      <c r="I1536">
        <v>478017902</v>
      </c>
      <c r="J1536">
        <v>439394674</v>
      </c>
      <c r="K1536">
        <v>339710568</v>
      </c>
      <c r="L1536">
        <v>342810362</v>
      </c>
      <c r="M1536">
        <v>247384216</v>
      </c>
      <c r="N1536">
        <v>217483059</v>
      </c>
      <c r="O1536">
        <v>183834559</v>
      </c>
      <c r="P1536">
        <v>232</v>
      </c>
      <c r="Q1536" t="s">
        <v>3383</v>
      </c>
    </row>
    <row r="1537" spans="1:17" x14ac:dyDescent="0.3">
      <c r="A1537" t="s">
        <v>17</v>
      </c>
      <c r="B1537" t="str">
        <f>"688121"</f>
        <v>688121</v>
      </c>
      <c r="C1537" t="s">
        <v>3384</v>
      </c>
      <c r="D1537" t="s">
        <v>786</v>
      </c>
      <c r="E1537">
        <v>820081860</v>
      </c>
      <c r="P1537">
        <v>24</v>
      </c>
      <c r="Q1537" t="s">
        <v>3385</v>
      </c>
    </row>
    <row r="1538" spans="1:17" x14ac:dyDescent="0.3">
      <c r="A1538" t="s">
        <v>75</v>
      </c>
      <c r="B1538" t="str">
        <f>"002020"</f>
        <v>002020</v>
      </c>
      <c r="C1538" t="s">
        <v>3386</v>
      </c>
      <c r="D1538" t="s">
        <v>543</v>
      </c>
      <c r="E1538">
        <v>819919186</v>
      </c>
      <c r="F1538">
        <v>849640260</v>
      </c>
      <c r="G1538">
        <v>857930834</v>
      </c>
      <c r="H1538">
        <v>940219382</v>
      </c>
      <c r="I1538">
        <v>716370628</v>
      </c>
      <c r="J1538">
        <v>525854586</v>
      </c>
      <c r="K1538">
        <v>464843895</v>
      </c>
      <c r="L1538">
        <v>372175082</v>
      </c>
      <c r="M1538">
        <v>332387974</v>
      </c>
      <c r="N1538">
        <v>248751562</v>
      </c>
      <c r="O1538">
        <v>190766505</v>
      </c>
      <c r="P1538">
        <v>619</v>
      </c>
      <c r="Q1538" t="s">
        <v>3387</v>
      </c>
    </row>
    <row r="1539" spans="1:17" x14ac:dyDescent="0.3">
      <c r="A1539" t="s">
        <v>17</v>
      </c>
      <c r="B1539" t="str">
        <f>"600933"</f>
        <v>600933</v>
      </c>
      <c r="C1539" t="s">
        <v>3388</v>
      </c>
      <c r="D1539" t="s">
        <v>172</v>
      </c>
      <c r="E1539">
        <v>818211392</v>
      </c>
      <c r="F1539">
        <v>778792382</v>
      </c>
      <c r="G1539">
        <v>725298623</v>
      </c>
      <c r="H1539">
        <v>729812617</v>
      </c>
      <c r="I1539">
        <v>592726926</v>
      </c>
      <c r="J1539">
        <v>513452146</v>
      </c>
      <c r="P1539">
        <v>176</v>
      </c>
      <c r="Q1539" t="s">
        <v>3389</v>
      </c>
    </row>
    <row r="1540" spans="1:17" x14ac:dyDescent="0.3">
      <c r="A1540" t="s">
        <v>17</v>
      </c>
      <c r="B1540" t="str">
        <f>"603596"</f>
        <v>603596</v>
      </c>
      <c r="C1540" t="s">
        <v>3390</v>
      </c>
      <c r="D1540" t="s">
        <v>172</v>
      </c>
      <c r="E1540">
        <v>816632515</v>
      </c>
      <c r="F1540">
        <v>697162104</v>
      </c>
      <c r="G1540">
        <v>873178290</v>
      </c>
      <c r="H1540">
        <v>792300655</v>
      </c>
      <c r="I1540">
        <v>572951654</v>
      </c>
      <c r="J1540">
        <v>709874613</v>
      </c>
      <c r="P1540">
        <v>369</v>
      </c>
      <c r="Q1540" t="s">
        <v>3391</v>
      </c>
    </row>
    <row r="1541" spans="1:17" x14ac:dyDescent="0.3">
      <c r="A1541" t="s">
        <v>17</v>
      </c>
      <c r="B1541" t="str">
        <f>"603987"</f>
        <v>603987</v>
      </c>
      <c r="C1541" t="s">
        <v>3392</v>
      </c>
      <c r="D1541" t="s">
        <v>1538</v>
      </c>
      <c r="E1541">
        <v>815699613</v>
      </c>
      <c r="F1541">
        <v>644791829</v>
      </c>
      <c r="G1541">
        <v>518090284</v>
      </c>
      <c r="H1541">
        <v>363826529</v>
      </c>
      <c r="I1541">
        <v>281942484</v>
      </c>
      <c r="J1541">
        <v>278627616</v>
      </c>
      <c r="K1541">
        <v>254178133</v>
      </c>
      <c r="P1541">
        <v>266</v>
      </c>
      <c r="Q1541" t="s">
        <v>3393</v>
      </c>
    </row>
    <row r="1542" spans="1:17" x14ac:dyDescent="0.3">
      <c r="A1542" t="s">
        <v>17</v>
      </c>
      <c r="B1542" t="str">
        <f>"600836"</f>
        <v>600836</v>
      </c>
      <c r="C1542" t="s">
        <v>3394</v>
      </c>
      <c r="D1542" t="s">
        <v>3395</v>
      </c>
      <c r="E1542">
        <v>815435011</v>
      </c>
      <c r="F1542">
        <v>1064661359</v>
      </c>
      <c r="G1542">
        <v>230701658</v>
      </c>
      <c r="H1542">
        <v>429058867</v>
      </c>
      <c r="I1542">
        <v>328770206</v>
      </c>
      <c r="J1542">
        <v>569668035</v>
      </c>
      <c r="K1542">
        <v>409898541</v>
      </c>
      <c r="L1542">
        <v>453802277</v>
      </c>
      <c r="M1542">
        <v>306209473</v>
      </c>
      <c r="N1542">
        <v>562991162</v>
      </c>
      <c r="O1542">
        <v>470544267</v>
      </c>
      <c r="P1542">
        <v>70</v>
      </c>
      <c r="Q1542" t="s">
        <v>3396</v>
      </c>
    </row>
    <row r="1543" spans="1:17" x14ac:dyDescent="0.3">
      <c r="A1543" t="s">
        <v>75</v>
      </c>
      <c r="B1543" t="str">
        <f>"300278"</f>
        <v>300278</v>
      </c>
      <c r="C1543" t="s">
        <v>3397</v>
      </c>
      <c r="D1543" t="s">
        <v>1352</v>
      </c>
      <c r="E1543">
        <v>815413464</v>
      </c>
      <c r="F1543">
        <v>272162472</v>
      </c>
      <c r="G1543">
        <v>360434187</v>
      </c>
      <c r="H1543">
        <v>270740185</v>
      </c>
      <c r="I1543">
        <v>613498037</v>
      </c>
      <c r="J1543">
        <v>665837673</v>
      </c>
      <c r="K1543">
        <v>474137609</v>
      </c>
      <c r="L1543">
        <v>203808762</v>
      </c>
      <c r="M1543">
        <v>26600488</v>
      </c>
      <c r="N1543">
        <v>16887717</v>
      </c>
      <c r="O1543">
        <v>44817362</v>
      </c>
      <c r="P1543">
        <v>98</v>
      </c>
      <c r="Q1543" t="s">
        <v>3398</v>
      </c>
    </row>
    <row r="1544" spans="1:17" x14ac:dyDescent="0.3">
      <c r="A1544" t="s">
        <v>75</v>
      </c>
      <c r="B1544" t="str">
        <f>"002007"</f>
        <v>002007</v>
      </c>
      <c r="C1544" t="s">
        <v>3399</v>
      </c>
      <c r="D1544" t="s">
        <v>2314</v>
      </c>
      <c r="E1544">
        <v>814856424</v>
      </c>
      <c r="F1544">
        <v>1012680042</v>
      </c>
      <c r="G1544">
        <v>568101123</v>
      </c>
      <c r="H1544">
        <v>798896166</v>
      </c>
      <c r="I1544">
        <v>453244350</v>
      </c>
      <c r="J1544">
        <v>295060379</v>
      </c>
      <c r="K1544">
        <v>409216087</v>
      </c>
      <c r="L1544">
        <v>291238166</v>
      </c>
      <c r="M1544">
        <v>294745905</v>
      </c>
      <c r="N1544">
        <v>263780295</v>
      </c>
      <c r="O1544">
        <v>305878514</v>
      </c>
      <c r="P1544">
        <v>13194</v>
      </c>
      <c r="Q1544" t="s">
        <v>3400</v>
      </c>
    </row>
    <row r="1545" spans="1:17" x14ac:dyDescent="0.3">
      <c r="A1545" t="s">
        <v>75</v>
      </c>
      <c r="B1545" t="str">
        <f>"002243"</f>
        <v>002243</v>
      </c>
      <c r="C1545" t="s">
        <v>3401</v>
      </c>
      <c r="D1545" t="s">
        <v>2758</v>
      </c>
      <c r="E1545">
        <v>813826872</v>
      </c>
      <c r="F1545">
        <v>534855976</v>
      </c>
      <c r="G1545">
        <v>550751480</v>
      </c>
      <c r="H1545">
        <v>386313639</v>
      </c>
      <c r="I1545">
        <v>319783329</v>
      </c>
      <c r="J1545">
        <v>283591049</v>
      </c>
      <c r="K1545">
        <v>276024032</v>
      </c>
      <c r="L1545">
        <v>296580411</v>
      </c>
      <c r="M1545">
        <v>300041569</v>
      </c>
      <c r="N1545">
        <v>270537738</v>
      </c>
      <c r="O1545">
        <v>259498140</v>
      </c>
      <c r="P1545">
        <v>155</v>
      </c>
      <c r="Q1545" t="s">
        <v>3402</v>
      </c>
    </row>
    <row r="1546" spans="1:17" x14ac:dyDescent="0.3">
      <c r="A1546" t="s">
        <v>75</v>
      </c>
      <c r="B1546" t="str">
        <f>"002570"</f>
        <v>002570</v>
      </c>
      <c r="C1546" t="s">
        <v>3403</v>
      </c>
      <c r="D1546" t="s">
        <v>215</v>
      </c>
      <c r="E1546">
        <v>813029928</v>
      </c>
      <c r="F1546">
        <v>539879906</v>
      </c>
      <c r="G1546">
        <v>765406906</v>
      </c>
      <c r="H1546">
        <v>584824959</v>
      </c>
      <c r="I1546">
        <v>536625659</v>
      </c>
      <c r="J1546">
        <v>803612785</v>
      </c>
      <c r="K1546">
        <v>1004735047</v>
      </c>
      <c r="L1546">
        <v>917605153</v>
      </c>
      <c r="M1546">
        <v>1337331524</v>
      </c>
      <c r="N1546">
        <v>1771861510</v>
      </c>
      <c r="O1546">
        <v>1294266342</v>
      </c>
      <c r="P1546">
        <v>261</v>
      </c>
      <c r="Q1546" t="s">
        <v>3404</v>
      </c>
    </row>
    <row r="1547" spans="1:17" x14ac:dyDescent="0.3">
      <c r="A1547" t="s">
        <v>75</v>
      </c>
      <c r="B1547" t="str">
        <f>"300463"</f>
        <v>300463</v>
      </c>
      <c r="C1547" t="s">
        <v>3405</v>
      </c>
      <c r="D1547" t="s">
        <v>967</v>
      </c>
      <c r="E1547">
        <v>812429076</v>
      </c>
      <c r="F1547">
        <v>1011208024</v>
      </c>
      <c r="G1547">
        <v>683550291</v>
      </c>
      <c r="H1547">
        <v>619646434</v>
      </c>
      <c r="I1547">
        <v>552048687</v>
      </c>
      <c r="J1547">
        <v>396180820</v>
      </c>
      <c r="K1547">
        <v>308048277</v>
      </c>
      <c r="L1547">
        <v>210559957</v>
      </c>
      <c r="M1547">
        <v>169184415</v>
      </c>
      <c r="P1547">
        <v>1101</v>
      </c>
      <c r="Q1547" t="s">
        <v>3406</v>
      </c>
    </row>
    <row r="1548" spans="1:17" x14ac:dyDescent="0.3">
      <c r="A1548" t="s">
        <v>75</v>
      </c>
      <c r="B1548" t="str">
        <f>"000042"</f>
        <v>000042</v>
      </c>
      <c r="C1548" t="s">
        <v>3407</v>
      </c>
      <c r="D1548" t="s">
        <v>65</v>
      </c>
      <c r="E1548">
        <v>812385783</v>
      </c>
      <c r="F1548">
        <v>2093688272</v>
      </c>
      <c r="G1548">
        <v>1866380981</v>
      </c>
      <c r="H1548">
        <v>1095132800</v>
      </c>
      <c r="I1548">
        <v>2188664650</v>
      </c>
      <c r="J1548">
        <v>2181708943</v>
      </c>
      <c r="K1548">
        <v>2053951434</v>
      </c>
      <c r="L1548">
        <v>639295607</v>
      </c>
      <c r="M1548">
        <v>603930529</v>
      </c>
      <c r="N1548">
        <v>492154266</v>
      </c>
      <c r="O1548">
        <v>384633576</v>
      </c>
      <c r="P1548">
        <v>121</v>
      </c>
      <c r="Q1548" t="s">
        <v>3408</v>
      </c>
    </row>
    <row r="1549" spans="1:17" x14ac:dyDescent="0.3">
      <c r="A1549" t="s">
        <v>17</v>
      </c>
      <c r="B1549" t="str">
        <f>"600658"</f>
        <v>600658</v>
      </c>
      <c r="C1549" t="s">
        <v>3409</v>
      </c>
      <c r="D1549" t="s">
        <v>806</v>
      </c>
      <c r="E1549">
        <v>812309372</v>
      </c>
      <c r="F1549">
        <v>656270371</v>
      </c>
      <c r="G1549">
        <v>630315271</v>
      </c>
      <c r="H1549">
        <v>184115101</v>
      </c>
      <c r="I1549">
        <v>714509848</v>
      </c>
      <c r="J1549">
        <v>90579451</v>
      </c>
      <c r="K1549">
        <v>89790996</v>
      </c>
      <c r="L1549">
        <v>85945702</v>
      </c>
      <c r="M1549">
        <v>598048388</v>
      </c>
      <c r="N1549">
        <v>874297789</v>
      </c>
      <c r="O1549">
        <v>274514562</v>
      </c>
      <c r="P1549">
        <v>136</v>
      </c>
      <c r="Q1549" t="s">
        <v>3410</v>
      </c>
    </row>
    <row r="1550" spans="1:17" x14ac:dyDescent="0.3">
      <c r="A1550" t="s">
        <v>75</v>
      </c>
      <c r="B1550" t="str">
        <f>"002066"</f>
        <v>002066</v>
      </c>
      <c r="C1550" t="s">
        <v>3411</v>
      </c>
      <c r="D1550" t="s">
        <v>2703</v>
      </c>
      <c r="E1550">
        <v>811602498</v>
      </c>
      <c r="F1550">
        <v>620030432</v>
      </c>
      <c r="G1550">
        <v>640327185</v>
      </c>
      <c r="H1550">
        <v>754301878</v>
      </c>
      <c r="I1550">
        <v>807156967</v>
      </c>
      <c r="J1550">
        <v>580245138</v>
      </c>
      <c r="K1550">
        <v>457354807</v>
      </c>
      <c r="L1550">
        <v>606238198</v>
      </c>
      <c r="M1550">
        <v>452748185</v>
      </c>
      <c r="N1550">
        <v>393550796</v>
      </c>
      <c r="O1550">
        <v>294041760</v>
      </c>
      <c r="P1550">
        <v>74</v>
      </c>
      <c r="Q1550" t="s">
        <v>3412</v>
      </c>
    </row>
    <row r="1551" spans="1:17" x14ac:dyDescent="0.3">
      <c r="A1551" t="s">
        <v>75</v>
      </c>
      <c r="B1551" t="str">
        <f>"002455"</f>
        <v>002455</v>
      </c>
      <c r="C1551" t="s">
        <v>3413</v>
      </c>
      <c r="D1551" t="s">
        <v>292</v>
      </c>
      <c r="E1551">
        <v>811161456</v>
      </c>
      <c r="F1551">
        <v>588270140</v>
      </c>
      <c r="G1551">
        <v>395861954</v>
      </c>
      <c r="H1551">
        <v>586622640</v>
      </c>
      <c r="I1551">
        <v>529069129</v>
      </c>
      <c r="J1551">
        <v>587077531</v>
      </c>
      <c r="K1551">
        <v>463350599</v>
      </c>
      <c r="L1551">
        <v>852344970</v>
      </c>
      <c r="M1551">
        <v>637231821</v>
      </c>
      <c r="N1551">
        <v>663171847</v>
      </c>
      <c r="O1551">
        <v>503661461</v>
      </c>
      <c r="P1551">
        <v>209</v>
      </c>
      <c r="Q1551" t="s">
        <v>3414</v>
      </c>
    </row>
    <row r="1552" spans="1:17" x14ac:dyDescent="0.3">
      <c r="A1552" t="s">
        <v>75</v>
      </c>
      <c r="B1552" t="str">
        <f>"300657"</f>
        <v>300657</v>
      </c>
      <c r="C1552" t="s">
        <v>3415</v>
      </c>
      <c r="D1552" t="s">
        <v>567</v>
      </c>
      <c r="E1552">
        <v>810843829</v>
      </c>
      <c r="F1552">
        <v>584980142</v>
      </c>
      <c r="G1552">
        <v>758301634</v>
      </c>
      <c r="H1552">
        <v>452341033</v>
      </c>
      <c r="I1552">
        <v>210155043</v>
      </c>
      <c r="J1552">
        <v>327752767</v>
      </c>
      <c r="K1552">
        <v>215594458</v>
      </c>
      <c r="P1552">
        <v>257</v>
      </c>
      <c r="Q1552" t="s">
        <v>3416</v>
      </c>
    </row>
    <row r="1553" spans="1:17" x14ac:dyDescent="0.3">
      <c r="A1553" t="s">
        <v>17</v>
      </c>
      <c r="B1553" t="str">
        <f>"600064"</f>
        <v>600064</v>
      </c>
      <c r="C1553" t="s">
        <v>3417</v>
      </c>
      <c r="D1553" t="s">
        <v>65</v>
      </c>
      <c r="E1553">
        <v>809584406</v>
      </c>
      <c r="F1553">
        <v>1127950910</v>
      </c>
      <c r="G1553">
        <v>782355021</v>
      </c>
      <c r="H1553">
        <v>1548775299</v>
      </c>
      <c r="I1553">
        <v>751117964</v>
      </c>
      <c r="J1553">
        <v>770501972</v>
      </c>
      <c r="K1553">
        <v>1920029955</v>
      </c>
      <c r="L1553">
        <v>1650293264</v>
      </c>
      <c r="M1553">
        <v>1323402600</v>
      </c>
      <c r="N1553">
        <v>1367310924</v>
      </c>
      <c r="O1553">
        <v>633540030</v>
      </c>
      <c r="P1553">
        <v>432</v>
      </c>
      <c r="Q1553" t="s">
        <v>3418</v>
      </c>
    </row>
    <row r="1554" spans="1:17" x14ac:dyDescent="0.3">
      <c r="A1554" t="s">
        <v>75</v>
      </c>
      <c r="B1554" t="str">
        <f>"002669"</f>
        <v>002669</v>
      </c>
      <c r="C1554" t="s">
        <v>3419</v>
      </c>
      <c r="D1554" t="s">
        <v>2753</v>
      </c>
      <c r="E1554">
        <v>808542608</v>
      </c>
      <c r="F1554">
        <v>474951249</v>
      </c>
      <c r="G1554">
        <v>258022646</v>
      </c>
      <c r="H1554">
        <v>276988500</v>
      </c>
      <c r="I1554">
        <v>183282915</v>
      </c>
      <c r="J1554">
        <v>126257969</v>
      </c>
      <c r="K1554">
        <v>158986007</v>
      </c>
      <c r="L1554">
        <v>143933028</v>
      </c>
      <c r="M1554">
        <v>76939082</v>
      </c>
      <c r="N1554">
        <v>81648316</v>
      </c>
      <c r="O1554">
        <v>62650133</v>
      </c>
      <c r="P1554">
        <v>138</v>
      </c>
      <c r="Q1554" t="s">
        <v>3420</v>
      </c>
    </row>
    <row r="1555" spans="1:17" x14ac:dyDescent="0.3">
      <c r="A1555" t="s">
        <v>17</v>
      </c>
      <c r="B1555" t="str">
        <f>"603378"</f>
        <v>603378</v>
      </c>
      <c r="C1555" t="s">
        <v>3421</v>
      </c>
      <c r="D1555" t="s">
        <v>1586</v>
      </c>
      <c r="E1555">
        <v>808088557</v>
      </c>
      <c r="F1555">
        <v>569553006</v>
      </c>
      <c r="G1555">
        <v>255857040</v>
      </c>
      <c r="H1555">
        <v>181546963</v>
      </c>
      <c r="I1555">
        <v>190203649</v>
      </c>
      <c r="J1555">
        <v>134217988</v>
      </c>
      <c r="P1555">
        <v>203</v>
      </c>
      <c r="Q1555" t="s">
        <v>3422</v>
      </c>
    </row>
    <row r="1556" spans="1:17" x14ac:dyDescent="0.3">
      <c r="A1556" t="s">
        <v>75</v>
      </c>
      <c r="B1556" t="str">
        <f>"002734"</f>
        <v>002734</v>
      </c>
      <c r="C1556" t="s">
        <v>3423</v>
      </c>
      <c r="D1556" t="s">
        <v>811</v>
      </c>
      <c r="E1556">
        <v>807326738</v>
      </c>
      <c r="F1556">
        <v>615193118</v>
      </c>
      <c r="G1556">
        <v>761580371</v>
      </c>
      <c r="H1556">
        <v>224102301</v>
      </c>
      <c r="I1556">
        <v>259012420</v>
      </c>
      <c r="J1556">
        <v>134457339</v>
      </c>
      <c r="K1556">
        <v>153623143</v>
      </c>
      <c r="L1556">
        <v>142914197</v>
      </c>
      <c r="M1556">
        <v>134457591</v>
      </c>
      <c r="P1556">
        <v>261</v>
      </c>
      <c r="Q1556" t="s">
        <v>3424</v>
      </c>
    </row>
    <row r="1557" spans="1:17" x14ac:dyDescent="0.3">
      <c r="A1557" t="s">
        <v>75</v>
      </c>
      <c r="B1557" t="str">
        <f>"300842"</f>
        <v>300842</v>
      </c>
      <c r="C1557" t="s">
        <v>3425</v>
      </c>
      <c r="D1557" t="s">
        <v>1512</v>
      </c>
      <c r="E1557">
        <v>805169974</v>
      </c>
      <c r="F1557">
        <v>641715861</v>
      </c>
      <c r="G1557">
        <v>213652474</v>
      </c>
      <c r="H1557">
        <v>204155141</v>
      </c>
      <c r="P1557">
        <v>130</v>
      </c>
      <c r="Q1557" t="s">
        <v>3426</v>
      </c>
    </row>
    <row r="1558" spans="1:17" x14ac:dyDescent="0.3">
      <c r="A1558" t="s">
        <v>75</v>
      </c>
      <c r="B1558" t="str">
        <f>"300398"</f>
        <v>300398</v>
      </c>
      <c r="C1558" t="s">
        <v>3427</v>
      </c>
      <c r="D1558" t="s">
        <v>1853</v>
      </c>
      <c r="E1558">
        <v>803580903</v>
      </c>
      <c r="F1558">
        <v>590689401</v>
      </c>
      <c r="G1558">
        <v>356721835</v>
      </c>
      <c r="H1558">
        <v>390312435</v>
      </c>
      <c r="I1558">
        <v>415379109</v>
      </c>
      <c r="J1558">
        <v>130922369</v>
      </c>
      <c r="K1558">
        <v>112017582</v>
      </c>
      <c r="L1558">
        <v>110618367</v>
      </c>
      <c r="M1558">
        <v>116776169</v>
      </c>
      <c r="P1558">
        <v>244</v>
      </c>
      <c r="Q1558" t="s">
        <v>3428</v>
      </c>
    </row>
    <row r="1559" spans="1:17" x14ac:dyDescent="0.3">
      <c r="A1559" t="s">
        <v>17</v>
      </c>
      <c r="B1559" t="str">
        <f>"688561"</f>
        <v>688561</v>
      </c>
      <c r="C1559" t="s">
        <v>3429</v>
      </c>
      <c r="D1559" t="s">
        <v>989</v>
      </c>
      <c r="E1559">
        <v>802558877</v>
      </c>
      <c r="F1559">
        <v>619517908</v>
      </c>
      <c r="G1559">
        <v>730532354</v>
      </c>
      <c r="H1559">
        <v>602119527</v>
      </c>
      <c r="P1559">
        <v>192</v>
      </c>
      <c r="Q1559" t="s">
        <v>3430</v>
      </c>
    </row>
    <row r="1560" spans="1:17" x14ac:dyDescent="0.3">
      <c r="A1560" t="s">
        <v>75</v>
      </c>
      <c r="B1560" t="str">
        <f>"002759"</f>
        <v>002759</v>
      </c>
      <c r="C1560" t="s">
        <v>3431</v>
      </c>
      <c r="D1560" t="s">
        <v>834</v>
      </c>
      <c r="E1560">
        <v>802418674</v>
      </c>
      <c r="F1560">
        <v>214118119</v>
      </c>
      <c r="G1560">
        <v>119732813</v>
      </c>
      <c r="H1560">
        <v>175269187</v>
      </c>
      <c r="I1560">
        <v>179810677</v>
      </c>
      <c r="J1560">
        <v>143871081</v>
      </c>
      <c r="K1560">
        <v>97180134</v>
      </c>
      <c r="L1560">
        <v>85788410</v>
      </c>
      <c r="P1560">
        <v>251</v>
      </c>
      <c r="Q1560" t="s">
        <v>3432</v>
      </c>
    </row>
    <row r="1561" spans="1:17" x14ac:dyDescent="0.3">
      <c r="A1561" t="s">
        <v>75</v>
      </c>
      <c r="B1561" t="str">
        <f>"300803"</f>
        <v>300803</v>
      </c>
      <c r="C1561" t="s">
        <v>3433</v>
      </c>
      <c r="D1561" t="s">
        <v>116</v>
      </c>
      <c r="E1561">
        <v>801311671</v>
      </c>
      <c r="F1561">
        <v>429640243</v>
      </c>
      <c r="G1561">
        <v>165022967</v>
      </c>
      <c r="H1561">
        <v>17912955</v>
      </c>
      <c r="P1561">
        <v>194</v>
      </c>
      <c r="Q1561" t="s">
        <v>3434</v>
      </c>
    </row>
    <row r="1562" spans="1:17" x14ac:dyDescent="0.3">
      <c r="A1562" t="s">
        <v>17</v>
      </c>
      <c r="B1562" t="str">
        <f>"600518"</f>
        <v>600518</v>
      </c>
      <c r="C1562" t="s">
        <v>3435</v>
      </c>
      <c r="D1562" t="s">
        <v>321</v>
      </c>
      <c r="E1562">
        <v>801172113</v>
      </c>
      <c r="F1562">
        <v>1448212811</v>
      </c>
      <c r="G1562">
        <v>1318059936</v>
      </c>
      <c r="H1562">
        <v>4202242728</v>
      </c>
      <c r="I1562">
        <v>8805899157</v>
      </c>
      <c r="J1562">
        <v>7420758553</v>
      </c>
      <c r="K1562">
        <v>6374075410</v>
      </c>
      <c r="L1562">
        <v>5306522316</v>
      </c>
      <c r="M1562">
        <v>5086586879</v>
      </c>
      <c r="N1562">
        <v>3457327788</v>
      </c>
      <c r="O1562">
        <v>2758653672</v>
      </c>
      <c r="P1562">
        <v>1483</v>
      </c>
      <c r="Q1562" t="s">
        <v>3436</v>
      </c>
    </row>
    <row r="1563" spans="1:17" x14ac:dyDescent="0.3">
      <c r="A1563" t="s">
        <v>17</v>
      </c>
      <c r="B1563" t="str">
        <f>"603030"</f>
        <v>603030</v>
      </c>
      <c r="C1563" t="s">
        <v>3437</v>
      </c>
      <c r="D1563" t="s">
        <v>707</v>
      </c>
      <c r="E1563">
        <v>800571214</v>
      </c>
      <c r="F1563">
        <v>1277713669</v>
      </c>
      <c r="G1563">
        <v>960180465</v>
      </c>
      <c r="H1563">
        <v>1472519628</v>
      </c>
      <c r="I1563">
        <v>1367256377</v>
      </c>
      <c r="J1563">
        <v>876404497</v>
      </c>
      <c r="K1563">
        <v>419290579</v>
      </c>
      <c r="L1563">
        <v>305018003</v>
      </c>
      <c r="M1563">
        <v>266422442</v>
      </c>
      <c r="P1563">
        <v>126</v>
      </c>
      <c r="Q1563" t="s">
        <v>3438</v>
      </c>
    </row>
    <row r="1564" spans="1:17" x14ac:dyDescent="0.3">
      <c r="A1564" t="s">
        <v>75</v>
      </c>
      <c r="B1564" t="str">
        <f>"300217"</f>
        <v>300217</v>
      </c>
      <c r="C1564" t="s">
        <v>3439</v>
      </c>
      <c r="D1564" t="s">
        <v>1063</v>
      </c>
      <c r="E1564">
        <v>799578434</v>
      </c>
      <c r="F1564">
        <v>323507383</v>
      </c>
      <c r="G1564">
        <v>362714878</v>
      </c>
      <c r="H1564">
        <v>247182025</v>
      </c>
      <c r="I1564">
        <v>197853391</v>
      </c>
      <c r="J1564">
        <v>223211703</v>
      </c>
      <c r="K1564">
        <v>327122158</v>
      </c>
      <c r="L1564">
        <v>257424374</v>
      </c>
      <c r="M1564">
        <v>191682831</v>
      </c>
      <c r="N1564">
        <v>97315581</v>
      </c>
      <c r="O1564">
        <v>196957555</v>
      </c>
      <c r="P1564">
        <v>160</v>
      </c>
      <c r="Q1564" t="s">
        <v>3440</v>
      </c>
    </row>
    <row r="1565" spans="1:17" x14ac:dyDescent="0.3">
      <c r="A1565" t="s">
        <v>17</v>
      </c>
      <c r="B1565" t="str">
        <f>"600529"</f>
        <v>600529</v>
      </c>
      <c r="C1565" t="s">
        <v>3441</v>
      </c>
      <c r="D1565" t="s">
        <v>1538</v>
      </c>
      <c r="E1565">
        <v>799487536</v>
      </c>
      <c r="F1565">
        <v>752816754</v>
      </c>
      <c r="G1565">
        <v>663646543</v>
      </c>
      <c r="H1565">
        <v>659483585</v>
      </c>
      <c r="I1565">
        <v>567945076</v>
      </c>
      <c r="J1565">
        <v>542158778</v>
      </c>
      <c r="K1565">
        <v>497060688</v>
      </c>
      <c r="L1565">
        <v>469749999</v>
      </c>
      <c r="M1565">
        <v>420757563</v>
      </c>
      <c r="N1565">
        <v>431082309</v>
      </c>
      <c r="O1565">
        <v>335776039</v>
      </c>
      <c r="P1565">
        <v>1046</v>
      </c>
      <c r="Q1565" t="s">
        <v>3442</v>
      </c>
    </row>
    <row r="1566" spans="1:17" x14ac:dyDescent="0.3">
      <c r="A1566" t="s">
        <v>17</v>
      </c>
      <c r="B1566" t="str">
        <f>"600366"</f>
        <v>600366</v>
      </c>
      <c r="C1566" t="s">
        <v>3443</v>
      </c>
      <c r="D1566" t="s">
        <v>1096</v>
      </c>
      <c r="E1566">
        <v>799200187</v>
      </c>
      <c r="F1566">
        <v>620804403</v>
      </c>
      <c r="G1566">
        <v>497796860</v>
      </c>
      <c r="H1566">
        <v>418374009</v>
      </c>
      <c r="I1566">
        <v>425115631</v>
      </c>
      <c r="J1566">
        <v>547014105</v>
      </c>
      <c r="K1566">
        <v>567814481</v>
      </c>
      <c r="L1566">
        <v>439917866</v>
      </c>
      <c r="M1566">
        <v>507024974</v>
      </c>
      <c r="N1566">
        <v>698406139</v>
      </c>
      <c r="O1566">
        <v>938820208</v>
      </c>
      <c r="P1566">
        <v>236</v>
      </c>
      <c r="Q1566" t="s">
        <v>3444</v>
      </c>
    </row>
    <row r="1567" spans="1:17" x14ac:dyDescent="0.3">
      <c r="A1567" t="s">
        <v>75</v>
      </c>
      <c r="B1567" t="str">
        <f>"002291"</f>
        <v>002291</v>
      </c>
      <c r="C1567" t="s">
        <v>3445</v>
      </c>
      <c r="D1567" t="s">
        <v>622</v>
      </c>
      <c r="E1567">
        <v>798211338</v>
      </c>
      <c r="F1567">
        <v>584625588</v>
      </c>
      <c r="G1567">
        <v>359645324</v>
      </c>
      <c r="H1567">
        <v>455472253</v>
      </c>
      <c r="I1567">
        <v>431858648</v>
      </c>
      <c r="J1567">
        <v>403078820</v>
      </c>
      <c r="K1567">
        <v>420323377</v>
      </c>
      <c r="L1567">
        <v>433969196</v>
      </c>
      <c r="M1567">
        <v>509450356</v>
      </c>
      <c r="N1567">
        <v>515631374</v>
      </c>
      <c r="O1567">
        <v>393813063</v>
      </c>
      <c r="P1567">
        <v>172</v>
      </c>
      <c r="Q1567" t="s">
        <v>3446</v>
      </c>
    </row>
    <row r="1568" spans="1:17" x14ac:dyDescent="0.3">
      <c r="A1568" t="s">
        <v>75</v>
      </c>
      <c r="B1568" t="str">
        <f>"300415"</f>
        <v>300415</v>
      </c>
      <c r="C1568" t="s">
        <v>3447</v>
      </c>
      <c r="D1568" t="s">
        <v>1624</v>
      </c>
      <c r="E1568">
        <v>798186749</v>
      </c>
      <c r="F1568">
        <v>696781533</v>
      </c>
      <c r="G1568">
        <v>454979872</v>
      </c>
      <c r="H1568">
        <v>519639350</v>
      </c>
      <c r="I1568">
        <v>508594483</v>
      </c>
      <c r="J1568">
        <v>332104430</v>
      </c>
      <c r="K1568">
        <v>270780828</v>
      </c>
      <c r="L1568">
        <v>238788317</v>
      </c>
      <c r="M1568">
        <v>260553785</v>
      </c>
      <c r="P1568">
        <v>547</v>
      </c>
      <c r="Q1568" t="s">
        <v>3448</v>
      </c>
    </row>
    <row r="1569" spans="1:17" x14ac:dyDescent="0.3">
      <c r="A1569" t="s">
        <v>75</v>
      </c>
      <c r="B1569" t="str">
        <f>"300145"</f>
        <v>300145</v>
      </c>
      <c r="C1569" t="s">
        <v>3449</v>
      </c>
      <c r="D1569" t="s">
        <v>1424</v>
      </c>
      <c r="E1569">
        <v>796405442</v>
      </c>
      <c r="F1569">
        <v>985818268</v>
      </c>
      <c r="G1569">
        <v>657163785</v>
      </c>
      <c r="H1569">
        <v>865832192</v>
      </c>
      <c r="I1569">
        <v>849524577</v>
      </c>
      <c r="J1569">
        <v>590961258</v>
      </c>
      <c r="K1569">
        <v>336572789</v>
      </c>
      <c r="L1569">
        <v>251927533</v>
      </c>
      <c r="M1569">
        <v>227913740</v>
      </c>
      <c r="N1569">
        <v>247462461</v>
      </c>
      <c r="O1569">
        <v>208694336</v>
      </c>
      <c r="P1569">
        <v>281</v>
      </c>
      <c r="Q1569" t="s">
        <v>3450</v>
      </c>
    </row>
    <row r="1570" spans="1:17" x14ac:dyDescent="0.3">
      <c r="A1570" t="s">
        <v>17</v>
      </c>
      <c r="B1570" t="str">
        <f>"603828"</f>
        <v>603828</v>
      </c>
      <c r="C1570" t="s">
        <v>3451</v>
      </c>
      <c r="D1570" t="s">
        <v>707</v>
      </c>
      <c r="E1570">
        <v>796179644</v>
      </c>
      <c r="F1570">
        <v>870010610</v>
      </c>
      <c r="G1570">
        <v>685599751</v>
      </c>
      <c r="H1570">
        <v>782350957</v>
      </c>
      <c r="I1570">
        <v>709771641</v>
      </c>
      <c r="J1570">
        <v>540188703</v>
      </c>
      <c r="K1570">
        <v>425484393</v>
      </c>
      <c r="L1570">
        <v>365188562</v>
      </c>
      <c r="M1570">
        <v>294756703</v>
      </c>
      <c r="P1570">
        <v>66</v>
      </c>
      <c r="Q1570" t="s">
        <v>3452</v>
      </c>
    </row>
    <row r="1571" spans="1:17" x14ac:dyDescent="0.3">
      <c r="A1571" t="s">
        <v>17</v>
      </c>
      <c r="B1571" t="str">
        <f>"603043"</f>
        <v>603043</v>
      </c>
      <c r="C1571" t="s">
        <v>3453</v>
      </c>
      <c r="D1571" t="s">
        <v>2178</v>
      </c>
      <c r="E1571">
        <v>796174746</v>
      </c>
      <c r="F1571">
        <v>691039419</v>
      </c>
      <c r="G1571">
        <v>533547205</v>
      </c>
      <c r="H1571">
        <v>512674150</v>
      </c>
      <c r="I1571">
        <v>445104521</v>
      </c>
      <c r="J1571">
        <v>393261162</v>
      </c>
      <c r="K1571">
        <v>0</v>
      </c>
      <c r="P1571">
        <v>1509</v>
      </c>
      <c r="Q1571" t="s">
        <v>3454</v>
      </c>
    </row>
    <row r="1572" spans="1:17" x14ac:dyDescent="0.3">
      <c r="A1572" t="s">
        <v>17</v>
      </c>
      <c r="B1572" t="str">
        <f>"601515"</f>
        <v>601515</v>
      </c>
      <c r="C1572" t="s">
        <v>3455</v>
      </c>
      <c r="D1572" t="s">
        <v>1176</v>
      </c>
      <c r="E1572">
        <v>795801725</v>
      </c>
      <c r="F1572">
        <v>892784269</v>
      </c>
      <c r="G1572">
        <v>731099648</v>
      </c>
      <c r="H1572">
        <v>782395448</v>
      </c>
      <c r="I1572">
        <v>574781719</v>
      </c>
      <c r="J1572">
        <v>875399681</v>
      </c>
      <c r="K1572">
        <v>447222199</v>
      </c>
      <c r="L1572">
        <v>452662182</v>
      </c>
      <c r="M1572">
        <v>416506929</v>
      </c>
      <c r="N1572">
        <v>446430679</v>
      </c>
      <c r="O1572">
        <v>540740201</v>
      </c>
      <c r="P1572">
        <v>28151</v>
      </c>
      <c r="Q1572" t="s">
        <v>3456</v>
      </c>
    </row>
    <row r="1573" spans="1:17" x14ac:dyDescent="0.3">
      <c r="A1573" t="s">
        <v>17</v>
      </c>
      <c r="B1573" t="str">
        <f>"600481"</f>
        <v>600481</v>
      </c>
      <c r="C1573" t="s">
        <v>3457</v>
      </c>
      <c r="D1573" t="s">
        <v>2626</v>
      </c>
      <c r="E1573">
        <v>795239640</v>
      </c>
      <c r="F1573">
        <v>425830656</v>
      </c>
      <c r="G1573">
        <v>147897469</v>
      </c>
      <c r="H1573">
        <v>252230953</v>
      </c>
      <c r="I1573">
        <v>336736463</v>
      </c>
      <c r="J1573">
        <v>370010950</v>
      </c>
      <c r="K1573">
        <v>458744439</v>
      </c>
      <c r="L1573">
        <v>946375485</v>
      </c>
      <c r="M1573">
        <v>971047082</v>
      </c>
      <c r="N1573">
        <v>1304154058</v>
      </c>
      <c r="O1573">
        <v>1059911571</v>
      </c>
      <c r="P1573">
        <v>185</v>
      </c>
      <c r="Q1573" t="s">
        <v>3458</v>
      </c>
    </row>
    <row r="1574" spans="1:17" x14ac:dyDescent="0.3">
      <c r="A1574" t="s">
        <v>75</v>
      </c>
      <c r="B1574" t="str">
        <f>"002003"</f>
        <v>002003</v>
      </c>
      <c r="C1574" t="s">
        <v>3459</v>
      </c>
      <c r="D1574" t="s">
        <v>3460</v>
      </c>
      <c r="E1574">
        <v>794547937</v>
      </c>
      <c r="F1574">
        <v>539153472</v>
      </c>
      <c r="G1574">
        <v>483078922</v>
      </c>
      <c r="H1574">
        <v>478935071</v>
      </c>
      <c r="I1574">
        <v>419451113</v>
      </c>
      <c r="J1574">
        <v>402480375</v>
      </c>
      <c r="K1574">
        <v>372501472</v>
      </c>
      <c r="L1574">
        <v>318618383</v>
      </c>
      <c r="M1574">
        <v>328714430</v>
      </c>
      <c r="N1574">
        <v>305235522</v>
      </c>
      <c r="O1574">
        <v>312154388</v>
      </c>
      <c r="P1574">
        <v>761</v>
      </c>
      <c r="Q1574" t="s">
        <v>3461</v>
      </c>
    </row>
    <row r="1575" spans="1:17" x14ac:dyDescent="0.3">
      <c r="A1575" t="s">
        <v>17</v>
      </c>
      <c r="B1575" t="str">
        <f>"600765"</f>
        <v>600765</v>
      </c>
      <c r="C1575" t="s">
        <v>3462</v>
      </c>
      <c r="D1575" t="s">
        <v>1551</v>
      </c>
      <c r="E1575">
        <v>793434100</v>
      </c>
      <c r="F1575">
        <v>1340556269</v>
      </c>
      <c r="G1575">
        <v>907139588</v>
      </c>
      <c r="H1575">
        <v>875234047</v>
      </c>
      <c r="I1575">
        <v>726344896</v>
      </c>
      <c r="J1575">
        <v>690922969</v>
      </c>
      <c r="K1575">
        <v>828845896</v>
      </c>
      <c r="L1575">
        <v>844263331</v>
      </c>
      <c r="M1575">
        <v>769315943</v>
      </c>
      <c r="N1575">
        <v>918256608</v>
      </c>
      <c r="O1575">
        <v>947058962</v>
      </c>
      <c r="P1575">
        <v>355</v>
      </c>
      <c r="Q1575" t="s">
        <v>3463</v>
      </c>
    </row>
    <row r="1576" spans="1:17" x14ac:dyDescent="0.3">
      <c r="A1576" t="s">
        <v>17</v>
      </c>
      <c r="B1576" t="str">
        <f>"688063"</f>
        <v>688063</v>
      </c>
      <c r="C1576" t="s">
        <v>3464</v>
      </c>
      <c r="D1576" t="s">
        <v>131</v>
      </c>
      <c r="E1576">
        <v>793325161</v>
      </c>
      <c r="F1576">
        <v>316725871</v>
      </c>
      <c r="G1576">
        <v>87668948</v>
      </c>
      <c r="P1576">
        <v>212</v>
      </c>
      <c r="Q1576" t="s">
        <v>3465</v>
      </c>
    </row>
    <row r="1577" spans="1:17" x14ac:dyDescent="0.3">
      <c r="A1577" t="s">
        <v>75</v>
      </c>
      <c r="B1577" t="str">
        <f>"002123"</f>
        <v>002123</v>
      </c>
      <c r="C1577" t="s">
        <v>3466</v>
      </c>
      <c r="D1577" t="s">
        <v>3310</v>
      </c>
      <c r="E1577">
        <v>793040969</v>
      </c>
      <c r="F1577">
        <v>831513850</v>
      </c>
      <c r="G1577">
        <v>608562122</v>
      </c>
      <c r="H1577">
        <v>746552408</v>
      </c>
      <c r="I1577">
        <v>667305102</v>
      </c>
      <c r="J1577">
        <v>657208805</v>
      </c>
      <c r="K1577">
        <v>409659493</v>
      </c>
      <c r="L1577">
        <v>173530492</v>
      </c>
      <c r="M1577">
        <v>255398213</v>
      </c>
      <c r="N1577">
        <v>213326306</v>
      </c>
      <c r="O1577">
        <v>159201927</v>
      </c>
      <c r="P1577">
        <v>364</v>
      </c>
      <c r="Q1577" t="s">
        <v>3467</v>
      </c>
    </row>
    <row r="1578" spans="1:17" x14ac:dyDescent="0.3">
      <c r="A1578" t="s">
        <v>75</v>
      </c>
      <c r="B1578" t="str">
        <f>"000801"</f>
        <v>000801</v>
      </c>
      <c r="C1578" t="s">
        <v>3468</v>
      </c>
      <c r="D1578" t="s">
        <v>1413</v>
      </c>
      <c r="E1578">
        <v>792883849</v>
      </c>
      <c r="F1578">
        <v>615735094</v>
      </c>
      <c r="G1578">
        <v>619737088</v>
      </c>
      <c r="H1578">
        <v>538876114</v>
      </c>
      <c r="I1578">
        <v>799867723</v>
      </c>
      <c r="J1578">
        <v>771719908</v>
      </c>
      <c r="K1578">
        <v>843478086</v>
      </c>
      <c r="L1578">
        <v>410079964</v>
      </c>
      <c r="M1578">
        <v>558934489</v>
      </c>
      <c r="N1578">
        <v>475417912</v>
      </c>
      <c r="O1578">
        <v>424714766</v>
      </c>
      <c r="P1578">
        <v>218</v>
      </c>
      <c r="Q1578" t="s">
        <v>3469</v>
      </c>
    </row>
    <row r="1579" spans="1:17" x14ac:dyDescent="0.3">
      <c r="A1579" t="s">
        <v>17</v>
      </c>
      <c r="B1579" t="str">
        <f>"600563"</f>
        <v>600563</v>
      </c>
      <c r="C1579" t="s">
        <v>3470</v>
      </c>
      <c r="D1579" t="s">
        <v>2109</v>
      </c>
      <c r="E1579">
        <v>792520262</v>
      </c>
      <c r="F1579">
        <v>528826030</v>
      </c>
      <c r="G1579">
        <v>376850153</v>
      </c>
      <c r="H1579">
        <v>449439936</v>
      </c>
      <c r="I1579">
        <v>367015202</v>
      </c>
      <c r="J1579">
        <v>328395848</v>
      </c>
      <c r="K1579">
        <v>321910581</v>
      </c>
      <c r="L1579">
        <v>254052749</v>
      </c>
      <c r="M1579">
        <v>271640000</v>
      </c>
      <c r="N1579">
        <v>256944173</v>
      </c>
      <c r="O1579">
        <v>245885000</v>
      </c>
      <c r="P1579">
        <v>21656</v>
      </c>
      <c r="Q1579" t="s">
        <v>3471</v>
      </c>
    </row>
    <row r="1580" spans="1:17" x14ac:dyDescent="0.3">
      <c r="A1580" t="s">
        <v>17</v>
      </c>
      <c r="B1580" t="str">
        <f>"603055"</f>
        <v>603055</v>
      </c>
      <c r="C1580" t="s">
        <v>3472</v>
      </c>
      <c r="D1580" t="s">
        <v>2832</v>
      </c>
      <c r="E1580">
        <v>791648255</v>
      </c>
      <c r="F1580">
        <v>589440335</v>
      </c>
      <c r="G1580">
        <v>396726393</v>
      </c>
      <c r="H1580">
        <v>577961961</v>
      </c>
      <c r="I1580">
        <v>600468621</v>
      </c>
      <c r="J1580">
        <v>407625676</v>
      </c>
      <c r="P1580">
        <v>145</v>
      </c>
      <c r="Q1580" t="s">
        <v>3473</v>
      </c>
    </row>
    <row r="1581" spans="1:17" x14ac:dyDescent="0.3">
      <c r="A1581" t="s">
        <v>17</v>
      </c>
      <c r="B1581" t="str">
        <f>"600230"</f>
        <v>600230</v>
      </c>
      <c r="C1581" t="s">
        <v>3474</v>
      </c>
      <c r="D1581" t="s">
        <v>134</v>
      </c>
      <c r="E1581">
        <v>790982527</v>
      </c>
      <c r="F1581">
        <v>486103055</v>
      </c>
      <c r="G1581">
        <v>168405339</v>
      </c>
      <c r="H1581">
        <v>602608626</v>
      </c>
      <c r="I1581">
        <v>904032796</v>
      </c>
      <c r="J1581">
        <v>748806232</v>
      </c>
      <c r="K1581">
        <v>435528111</v>
      </c>
      <c r="L1581">
        <v>503375640</v>
      </c>
      <c r="M1581">
        <v>645023662</v>
      </c>
      <c r="N1581">
        <v>834615437</v>
      </c>
      <c r="O1581">
        <v>706498883</v>
      </c>
      <c r="P1581">
        <v>382</v>
      </c>
      <c r="Q1581" t="s">
        <v>3475</v>
      </c>
    </row>
    <row r="1582" spans="1:17" x14ac:dyDescent="0.3">
      <c r="A1582" t="s">
        <v>75</v>
      </c>
      <c r="B1582" t="str">
        <f>"002747"</f>
        <v>002747</v>
      </c>
      <c r="C1582" t="s">
        <v>3476</v>
      </c>
      <c r="D1582" t="s">
        <v>3105</v>
      </c>
      <c r="E1582">
        <v>790711256</v>
      </c>
      <c r="F1582">
        <v>661409580</v>
      </c>
      <c r="G1582">
        <v>306526764</v>
      </c>
      <c r="H1582">
        <v>384553749</v>
      </c>
      <c r="I1582">
        <v>172313149</v>
      </c>
      <c r="J1582">
        <v>97905727</v>
      </c>
      <c r="K1582">
        <v>52251926</v>
      </c>
      <c r="L1582">
        <v>58725657</v>
      </c>
      <c r="M1582">
        <v>61829877</v>
      </c>
      <c r="P1582">
        <v>474</v>
      </c>
      <c r="Q1582" t="s">
        <v>3477</v>
      </c>
    </row>
    <row r="1583" spans="1:17" x14ac:dyDescent="0.3">
      <c r="A1583" t="s">
        <v>17</v>
      </c>
      <c r="B1583" t="str">
        <f>"603328"</f>
        <v>603328</v>
      </c>
      <c r="C1583" t="s">
        <v>3478</v>
      </c>
      <c r="D1583" t="s">
        <v>567</v>
      </c>
      <c r="E1583">
        <v>789162638</v>
      </c>
      <c r="F1583">
        <v>651615793</v>
      </c>
      <c r="G1583">
        <v>721553683</v>
      </c>
      <c r="H1583">
        <v>934304299</v>
      </c>
      <c r="I1583">
        <v>833997830</v>
      </c>
      <c r="J1583">
        <v>818865238</v>
      </c>
      <c r="K1583">
        <v>686369299</v>
      </c>
      <c r="L1583">
        <v>672564977</v>
      </c>
      <c r="M1583">
        <v>0</v>
      </c>
      <c r="N1583">
        <v>0</v>
      </c>
      <c r="P1583">
        <v>590</v>
      </c>
      <c r="Q1583" t="s">
        <v>3479</v>
      </c>
    </row>
    <row r="1584" spans="1:17" x14ac:dyDescent="0.3">
      <c r="A1584" t="s">
        <v>75</v>
      </c>
      <c r="B1584" t="str">
        <f>"002982"</f>
        <v>002982</v>
      </c>
      <c r="C1584" t="s">
        <v>3480</v>
      </c>
      <c r="D1584" t="s">
        <v>1200</v>
      </c>
      <c r="E1584">
        <v>788965193</v>
      </c>
      <c r="F1584">
        <v>767576850</v>
      </c>
      <c r="G1584">
        <v>469778393</v>
      </c>
      <c r="H1584">
        <v>397494717</v>
      </c>
      <c r="P1584">
        <v>131</v>
      </c>
      <c r="Q1584" t="s">
        <v>3481</v>
      </c>
    </row>
    <row r="1585" spans="1:17" x14ac:dyDescent="0.3">
      <c r="A1585" t="s">
        <v>75</v>
      </c>
      <c r="B1585" t="str">
        <f>"000151"</f>
        <v>000151</v>
      </c>
      <c r="C1585" t="s">
        <v>3482</v>
      </c>
      <c r="D1585" t="s">
        <v>142</v>
      </c>
      <c r="E1585">
        <v>788523648</v>
      </c>
      <c r="F1585">
        <v>109617119</v>
      </c>
      <c r="G1585">
        <v>202274303</v>
      </c>
      <c r="H1585">
        <v>28282667</v>
      </c>
      <c r="I1585">
        <v>434566732</v>
      </c>
      <c r="J1585">
        <v>794450191</v>
      </c>
      <c r="K1585">
        <v>242946139</v>
      </c>
      <c r="L1585">
        <v>47090222</v>
      </c>
      <c r="M1585">
        <v>536471560</v>
      </c>
      <c r="N1585">
        <v>317312717</v>
      </c>
      <c r="O1585">
        <v>180225196</v>
      </c>
      <c r="P1585">
        <v>95</v>
      </c>
      <c r="Q1585" t="s">
        <v>3483</v>
      </c>
    </row>
    <row r="1586" spans="1:17" x14ac:dyDescent="0.3">
      <c r="A1586" t="s">
        <v>75</v>
      </c>
      <c r="B1586" t="str">
        <f>"002388"</f>
        <v>002388</v>
      </c>
      <c r="C1586" t="s">
        <v>3484</v>
      </c>
      <c r="D1586" t="s">
        <v>221</v>
      </c>
      <c r="E1586">
        <v>787368305</v>
      </c>
      <c r="F1586">
        <v>591311890</v>
      </c>
      <c r="G1586">
        <v>561182607</v>
      </c>
      <c r="H1586">
        <v>503542462</v>
      </c>
      <c r="I1586">
        <v>261378855</v>
      </c>
      <c r="J1586">
        <v>423745329</v>
      </c>
      <c r="K1586">
        <v>257485159</v>
      </c>
      <c r="L1586">
        <v>164224018</v>
      </c>
      <c r="M1586">
        <v>112765426</v>
      </c>
      <c r="N1586">
        <v>110067581</v>
      </c>
      <c r="O1586">
        <v>131102119</v>
      </c>
      <c r="P1586">
        <v>148</v>
      </c>
      <c r="Q1586" t="s">
        <v>3485</v>
      </c>
    </row>
    <row r="1587" spans="1:17" x14ac:dyDescent="0.3">
      <c r="A1587" t="s">
        <v>75</v>
      </c>
      <c r="B1587" t="str">
        <f>"301026"</f>
        <v>301026</v>
      </c>
      <c r="C1587" t="s">
        <v>3486</v>
      </c>
      <c r="D1587" t="s">
        <v>364</v>
      </c>
      <c r="E1587">
        <v>786619779</v>
      </c>
      <c r="F1587">
        <v>564953236</v>
      </c>
      <c r="G1587">
        <v>153641046</v>
      </c>
      <c r="P1587">
        <v>41</v>
      </c>
      <c r="Q1587" t="s">
        <v>3487</v>
      </c>
    </row>
    <row r="1588" spans="1:17" x14ac:dyDescent="0.3">
      <c r="A1588" t="s">
        <v>75</v>
      </c>
      <c r="B1588" t="str">
        <f>"002403"</f>
        <v>002403</v>
      </c>
      <c r="C1588" t="s">
        <v>3488</v>
      </c>
      <c r="D1588" t="s">
        <v>939</v>
      </c>
      <c r="E1588">
        <v>786021799</v>
      </c>
      <c r="F1588">
        <v>766031765</v>
      </c>
      <c r="G1588">
        <v>733721011</v>
      </c>
      <c r="H1588">
        <v>815904274</v>
      </c>
      <c r="I1588">
        <v>835534686</v>
      </c>
      <c r="J1588">
        <v>777229184</v>
      </c>
      <c r="K1588">
        <v>609915363</v>
      </c>
      <c r="L1588">
        <v>482165257</v>
      </c>
      <c r="M1588">
        <v>535950741</v>
      </c>
      <c r="N1588">
        <v>490470856</v>
      </c>
      <c r="O1588">
        <v>558657998</v>
      </c>
      <c r="P1588">
        <v>151</v>
      </c>
      <c r="Q1588" t="s">
        <v>3489</v>
      </c>
    </row>
    <row r="1589" spans="1:17" x14ac:dyDescent="0.3">
      <c r="A1589" t="s">
        <v>75</v>
      </c>
      <c r="B1589" t="str">
        <f>"002564"</f>
        <v>002564</v>
      </c>
      <c r="C1589" t="s">
        <v>3490</v>
      </c>
      <c r="D1589" t="s">
        <v>786</v>
      </c>
      <c r="E1589">
        <v>785875992</v>
      </c>
      <c r="F1589">
        <v>1330441547</v>
      </c>
      <c r="G1589">
        <v>1973105277</v>
      </c>
      <c r="H1589">
        <v>2018107892</v>
      </c>
      <c r="I1589">
        <v>1938313342</v>
      </c>
      <c r="J1589">
        <v>1561213252</v>
      </c>
      <c r="K1589">
        <v>453374602</v>
      </c>
      <c r="L1589">
        <v>480695033</v>
      </c>
      <c r="M1589">
        <v>528092223</v>
      </c>
      <c r="N1589">
        <v>424623120</v>
      </c>
      <c r="O1589">
        <v>342010693</v>
      </c>
      <c r="P1589">
        <v>130</v>
      </c>
      <c r="Q1589" t="s">
        <v>3491</v>
      </c>
    </row>
    <row r="1590" spans="1:17" x14ac:dyDescent="0.3">
      <c r="A1590" t="s">
        <v>17</v>
      </c>
      <c r="B1590" t="str">
        <f>"603610"</f>
        <v>603610</v>
      </c>
      <c r="C1590" t="s">
        <v>3492</v>
      </c>
      <c r="D1590" t="s">
        <v>1123</v>
      </c>
      <c r="E1590">
        <v>783393059</v>
      </c>
      <c r="F1590">
        <v>670669101</v>
      </c>
      <c r="G1590">
        <v>524675712</v>
      </c>
      <c r="H1590">
        <v>483183193</v>
      </c>
      <c r="P1590">
        <v>230</v>
      </c>
      <c r="Q1590" t="s">
        <v>3493</v>
      </c>
    </row>
    <row r="1591" spans="1:17" x14ac:dyDescent="0.3">
      <c r="A1591" t="s">
        <v>75</v>
      </c>
      <c r="B1591" t="str">
        <f>"300994"</f>
        <v>300994</v>
      </c>
      <c r="C1591" t="s">
        <v>3494</v>
      </c>
      <c r="D1591" t="s">
        <v>917</v>
      </c>
      <c r="E1591">
        <v>782172762</v>
      </c>
      <c r="F1591">
        <v>562152995</v>
      </c>
      <c r="G1591">
        <v>373956039</v>
      </c>
      <c r="P1591">
        <v>21</v>
      </c>
      <c r="Q1591" t="s">
        <v>3495</v>
      </c>
    </row>
    <row r="1592" spans="1:17" x14ac:dyDescent="0.3">
      <c r="A1592" t="s">
        <v>17</v>
      </c>
      <c r="B1592" t="str">
        <f>"603283"</f>
        <v>603283</v>
      </c>
      <c r="C1592" t="s">
        <v>3496</v>
      </c>
      <c r="D1592" t="s">
        <v>1352</v>
      </c>
      <c r="E1592">
        <v>779827330</v>
      </c>
      <c r="F1592">
        <v>863497657</v>
      </c>
      <c r="G1592">
        <v>319571084</v>
      </c>
      <c r="H1592">
        <v>323557452</v>
      </c>
      <c r="I1592">
        <v>278085366</v>
      </c>
      <c r="J1592">
        <v>80553272</v>
      </c>
      <c r="P1592">
        <v>216</v>
      </c>
      <c r="Q1592" t="s">
        <v>3497</v>
      </c>
    </row>
    <row r="1593" spans="1:17" x14ac:dyDescent="0.3">
      <c r="A1593" t="s">
        <v>75</v>
      </c>
      <c r="B1593" t="str">
        <f>"000519"</f>
        <v>000519</v>
      </c>
      <c r="C1593" t="s">
        <v>3498</v>
      </c>
      <c r="D1593" t="s">
        <v>3072</v>
      </c>
      <c r="E1593">
        <v>778665647</v>
      </c>
      <c r="F1593">
        <v>1042482075</v>
      </c>
      <c r="G1593">
        <v>878482761</v>
      </c>
      <c r="H1593">
        <v>987798791</v>
      </c>
      <c r="I1593">
        <v>1088457159</v>
      </c>
      <c r="J1593">
        <v>566278618</v>
      </c>
      <c r="K1593">
        <v>164180143</v>
      </c>
      <c r="L1593">
        <v>161302469</v>
      </c>
      <c r="M1593">
        <v>153526658</v>
      </c>
      <c r="N1593">
        <v>38367320</v>
      </c>
      <c r="O1593">
        <v>52458490</v>
      </c>
      <c r="P1593">
        <v>336</v>
      </c>
      <c r="Q1593" t="s">
        <v>3499</v>
      </c>
    </row>
    <row r="1594" spans="1:17" x14ac:dyDescent="0.3">
      <c r="A1594" t="s">
        <v>75</v>
      </c>
      <c r="B1594" t="str">
        <f>"000911"</f>
        <v>000911</v>
      </c>
      <c r="C1594" t="s">
        <v>3500</v>
      </c>
      <c r="D1594" t="s">
        <v>831</v>
      </c>
      <c r="E1594">
        <v>778309822</v>
      </c>
      <c r="F1594">
        <v>1040379505</v>
      </c>
      <c r="G1594">
        <v>895546909</v>
      </c>
      <c r="H1594">
        <v>1026129545</v>
      </c>
      <c r="I1594">
        <v>962945404</v>
      </c>
      <c r="J1594">
        <v>1000065778</v>
      </c>
      <c r="K1594">
        <v>748803491</v>
      </c>
      <c r="L1594">
        <v>847645064</v>
      </c>
      <c r="M1594">
        <v>1119414898</v>
      </c>
      <c r="N1594">
        <v>902052345</v>
      </c>
      <c r="O1594">
        <v>1049345709</v>
      </c>
      <c r="P1594">
        <v>334</v>
      </c>
      <c r="Q1594" t="s">
        <v>3501</v>
      </c>
    </row>
    <row r="1595" spans="1:17" x14ac:dyDescent="0.3">
      <c r="A1595" t="s">
        <v>17</v>
      </c>
      <c r="B1595" t="str">
        <f>"600207"</f>
        <v>600207</v>
      </c>
      <c r="C1595" t="s">
        <v>3502</v>
      </c>
      <c r="D1595" t="s">
        <v>1512</v>
      </c>
      <c r="E1595">
        <v>777549294</v>
      </c>
      <c r="F1595">
        <v>631016374</v>
      </c>
      <c r="G1595">
        <v>468563324</v>
      </c>
      <c r="H1595">
        <v>521589753</v>
      </c>
      <c r="I1595">
        <v>576589973</v>
      </c>
      <c r="J1595">
        <v>338897762</v>
      </c>
      <c r="K1595">
        <v>478061385</v>
      </c>
      <c r="L1595">
        <v>421470328</v>
      </c>
      <c r="M1595">
        <v>439174791</v>
      </c>
      <c r="N1595">
        <v>265916302</v>
      </c>
      <c r="O1595">
        <v>227424834</v>
      </c>
      <c r="P1595">
        <v>146</v>
      </c>
      <c r="Q1595" t="s">
        <v>3503</v>
      </c>
    </row>
    <row r="1596" spans="1:17" x14ac:dyDescent="0.3">
      <c r="A1596" t="s">
        <v>75</v>
      </c>
      <c r="B1596" t="str">
        <f>"002995"</f>
        <v>002995</v>
      </c>
      <c r="C1596" t="s">
        <v>3504</v>
      </c>
      <c r="D1596" t="s">
        <v>622</v>
      </c>
      <c r="E1596">
        <v>777111919</v>
      </c>
      <c r="F1596">
        <v>944580162</v>
      </c>
      <c r="G1596">
        <v>646141036</v>
      </c>
      <c r="H1596">
        <v>508004632</v>
      </c>
      <c r="P1596">
        <v>74</v>
      </c>
      <c r="Q1596" t="s">
        <v>3505</v>
      </c>
    </row>
    <row r="1597" spans="1:17" x14ac:dyDescent="0.3">
      <c r="A1597" t="s">
        <v>17</v>
      </c>
      <c r="B1597" t="str">
        <f>"601016"</f>
        <v>601016</v>
      </c>
      <c r="C1597" t="s">
        <v>3506</v>
      </c>
      <c r="D1597" t="s">
        <v>869</v>
      </c>
      <c r="E1597">
        <v>777012149</v>
      </c>
      <c r="F1597">
        <v>676292332</v>
      </c>
      <c r="G1597">
        <v>410473301</v>
      </c>
      <c r="H1597">
        <v>366921922</v>
      </c>
      <c r="I1597">
        <v>350170496</v>
      </c>
      <c r="J1597">
        <v>289426357</v>
      </c>
      <c r="K1597">
        <v>342520186</v>
      </c>
      <c r="L1597">
        <v>401501432</v>
      </c>
      <c r="M1597">
        <v>218458121</v>
      </c>
      <c r="P1597">
        <v>542</v>
      </c>
      <c r="Q1597" t="s">
        <v>3507</v>
      </c>
    </row>
    <row r="1598" spans="1:17" x14ac:dyDescent="0.3">
      <c r="A1598" t="s">
        <v>17</v>
      </c>
      <c r="B1598" t="str">
        <f>"688153"</f>
        <v>688153</v>
      </c>
      <c r="C1598" t="s">
        <v>3508</v>
      </c>
      <c r="E1598">
        <v>776826867</v>
      </c>
      <c r="F1598">
        <v>713660935</v>
      </c>
      <c r="P1598">
        <v>8</v>
      </c>
      <c r="Q1598" t="s">
        <v>3509</v>
      </c>
    </row>
    <row r="1599" spans="1:17" x14ac:dyDescent="0.3">
      <c r="A1599" t="s">
        <v>75</v>
      </c>
      <c r="B1599" t="str">
        <f>"000848"</f>
        <v>000848</v>
      </c>
      <c r="C1599" t="s">
        <v>3510</v>
      </c>
      <c r="D1599" t="s">
        <v>1708</v>
      </c>
      <c r="E1599">
        <v>776373514</v>
      </c>
      <c r="F1599">
        <v>762390251</v>
      </c>
      <c r="G1599">
        <v>346198282</v>
      </c>
      <c r="H1599">
        <v>563293682</v>
      </c>
      <c r="I1599">
        <v>824020443</v>
      </c>
      <c r="J1599">
        <v>330631630</v>
      </c>
      <c r="K1599">
        <v>1069135258</v>
      </c>
      <c r="L1599">
        <v>1260766885</v>
      </c>
      <c r="M1599">
        <v>1015185246</v>
      </c>
      <c r="N1599">
        <v>1148363004</v>
      </c>
      <c r="O1599">
        <v>650541443</v>
      </c>
      <c r="P1599">
        <v>41203</v>
      </c>
      <c r="Q1599" t="s">
        <v>3511</v>
      </c>
    </row>
    <row r="1600" spans="1:17" x14ac:dyDescent="0.3">
      <c r="A1600" t="s">
        <v>17</v>
      </c>
      <c r="B1600" t="str">
        <f>"605188"</f>
        <v>605188</v>
      </c>
      <c r="C1600" t="s">
        <v>3512</v>
      </c>
      <c r="D1600" t="s">
        <v>208</v>
      </c>
      <c r="E1600">
        <v>775251790</v>
      </c>
      <c r="F1600">
        <v>789898174</v>
      </c>
      <c r="G1600">
        <v>832012632</v>
      </c>
      <c r="H1600">
        <v>837744675</v>
      </c>
      <c r="P1600">
        <v>43</v>
      </c>
      <c r="Q1600" t="s">
        <v>3513</v>
      </c>
    </row>
    <row r="1601" spans="1:17" x14ac:dyDescent="0.3">
      <c r="A1601" t="s">
        <v>17</v>
      </c>
      <c r="B1601" t="str">
        <f>"603156"</f>
        <v>603156</v>
      </c>
      <c r="C1601" t="s">
        <v>3514</v>
      </c>
      <c r="D1601" t="s">
        <v>1708</v>
      </c>
      <c r="E1601">
        <v>774929332</v>
      </c>
      <c r="F1601">
        <v>805607772</v>
      </c>
      <c r="G1601">
        <v>312376995</v>
      </c>
      <c r="H1601">
        <v>894265477</v>
      </c>
      <c r="I1601">
        <v>1085470477</v>
      </c>
      <c r="J1601">
        <v>1318502442</v>
      </c>
      <c r="P1601">
        <v>1235</v>
      </c>
      <c r="Q1601" t="s">
        <v>3515</v>
      </c>
    </row>
    <row r="1602" spans="1:17" x14ac:dyDescent="0.3">
      <c r="A1602" t="s">
        <v>75</v>
      </c>
      <c r="B1602" t="str">
        <f>"002713"</f>
        <v>002713</v>
      </c>
      <c r="C1602" t="s">
        <v>3516</v>
      </c>
      <c r="D1602" t="s">
        <v>707</v>
      </c>
      <c r="E1602">
        <v>773717622</v>
      </c>
      <c r="F1602">
        <v>920435865</v>
      </c>
      <c r="G1602">
        <v>399912679</v>
      </c>
      <c r="H1602">
        <v>958393407</v>
      </c>
      <c r="I1602">
        <v>915886727</v>
      </c>
      <c r="J1602">
        <v>827236310</v>
      </c>
      <c r="K1602">
        <v>563403840</v>
      </c>
      <c r="L1602">
        <v>397839908</v>
      </c>
      <c r="M1602">
        <v>303673761</v>
      </c>
      <c r="N1602">
        <v>318604805</v>
      </c>
      <c r="P1602">
        <v>268</v>
      </c>
      <c r="Q1602" t="s">
        <v>3517</v>
      </c>
    </row>
    <row r="1603" spans="1:17" x14ac:dyDescent="0.3">
      <c r="A1603" t="s">
        <v>17</v>
      </c>
      <c r="B1603" t="str">
        <f>"688669"</f>
        <v>688669</v>
      </c>
      <c r="C1603" t="s">
        <v>3518</v>
      </c>
      <c r="D1603" t="s">
        <v>639</v>
      </c>
      <c r="E1603">
        <v>772722095</v>
      </c>
      <c r="F1603">
        <v>410935669</v>
      </c>
      <c r="G1603">
        <v>257445923</v>
      </c>
      <c r="J1603">
        <v>202736574</v>
      </c>
      <c r="P1603">
        <v>36</v>
      </c>
      <c r="Q1603" t="s">
        <v>3519</v>
      </c>
    </row>
    <row r="1604" spans="1:17" x14ac:dyDescent="0.3">
      <c r="A1604" t="s">
        <v>75</v>
      </c>
      <c r="B1604" t="str">
        <f>"000667"</f>
        <v>000667</v>
      </c>
      <c r="C1604" t="s">
        <v>3520</v>
      </c>
      <c r="D1604" t="s">
        <v>65</v>
      </c>
      <c r="E1604">
        <v>772190561</v>
      </c>
      <c r="F1604">
        <v>1740681998</v>
      </c>
      <c r="G1604">
        <v>987725530</v>
      </c>
      <c r="H1604">
        <v>1071117170</v>
      </c>
      <c r="I1604">
        <v>1705298068</v>
      </c>
      <c r="J1604">
        <v>720443932</v>
      </c>
      <c r="K1604">
        <v>937839233</v>
      </c>
      <c r="L1604">
        <v>718720716</v>
      </c>
      <c r="M1604">
        <v>788669399</v>
      </c>
      <c r="N1604">
        <v>742318760</v>
      </c>
      <c r="O1604">
        <v>242366366</v>
      </c>
      <c r="P1604">
        <v>169</v>
      </c>
      <c r="Q1604" t="s">
        <v>3521</v>
      </c>
    </row>
    <row r="1605" spans="1:17" x14ac:dyDescent="0.3">
      <c r="A1605" t="s">
        <v>75</v>
      </c>
      <c r="B1605" t="str">
        <f>"002838"</f>
        <v>002838</v>
      </c>
      <c r="C1605" t="s">
        <v>3522</v>
      </c>
      <c r="D1605" t="s">
        <v>639</v>
      </c>
      <c r="E1605">
        <v>772017408</v>
      </c>
      <c r="F1605">
        <v>667687189</v>
      </c>
      <c r="G1605">
        <v>517898742</v>
      </c>
      <c r="H1605">
        <v>313080377</v>
      </c>
      <c r="I1605">
        <v>168515110</v>
      </c>
      <c r="J1605">
        <v>250852832</v>
      </c>
      <c r="K1605">
        <v>196017256</v>
      </c>
      <c r="P1605">
        <v>614</v>
      </c>
      <c r="Q1605" t="s">
        <v>3523</v>
      </c>
    </row>
    <row r="1606" spans="1:17" x14ac:dyDescent="0.3">
      <c r="A1606" t="s">
        <v>17</v>
      </c>
      <c r="B1606" t="str">
        <f>"688519"</f>
        <v>688519</v>
      </c>
      <c r="C1606" t="s">
        <v>3524</v>
      </c>
      <c r="D1606" t="s">
        <v>567</v>
      </c>
      <c r="E1606">
        <v>771972643</v>
      </c>
      <c r="F1606">
        <v>264885837</v>
      </c>
      <c r="G1606">
        <v>259883056</v>
      </c>
      <c r="H1606">
        <v>248809129</v>
      </c>
      <c r="P1606">
        <v>80</v>
      </c>
      <c r="Q1606" t="s">
        <v>3525</v>
      </c>
    </row>
    <row r="1607" spans="1:17" x14ac:dyDescent="0.3">
      <c r="A1607" t="s">
        <v>17</v>
      </c>
      <c r="B1607" t="str">
        <f>"600654"</f>
        <v>600654</v>
      </c>
      <c r="C1607" t="s">
        <v>3526</v>
      </c>
      <c r="D1607" t="s">
        <v>116</v>
      </c>
      <c r="E1607">
        <v>770301169</v>
      </c>
      <c r="F1607">
        <v>720592283</v>
      </c>
      <c r="G1607">
        <v>640118937</v>
      </c>
      <c r="H1607">
        <v>877807740</v>
      </c>
      <c r="I1607">
        <v>861220306</v>
      </c>
      <c r="J1607">
        <v>981234275</v>
      </c>
      <c r="K1607">
        <v>353609654</v>
      </c>
      <c r="L1607">
        <v>180747058</v>
      </c>
      <c r="M1607">
        <v>372726560</v>
      </c>
      <c r="N1607">
        <v>408223002</v>
      </c>
      <c r="O1607">
        <v>375185350</v>
      </c>
      <c r="P1607">
        <v>76</v>
      </c>
      <c r="Q1607" t="s">
        <v>3527</v>
      </c>
    </row>
    <row r="1608" spans="1:17" x14ac:dyDescent="0.3">
      <c r="A1608" t="s">
        <v>17</v>
      </c>
      <c r="B1608" t="str">
        <f>"603001"</f>
        <v>603001</v>
      </c>
      <c r="C1608" t="s">
        <v>3528</v>
      </c>
      <c r="D1608" t="s">
        <v>2921</v>
      </c>
      <c r="E1608">
        <v>769056976</v>
      </c>
      <c r="F1608">
        <v>647678152</v>
      </c>
      <c r="G1608">
        <v>461896031</v>
      </c>
      <c r="H1608">
        <v>838846056</v>
      </c>
      <c r="I1608">
        <v>1033775373</v>
      </c>
      <c r="J1608">
        <v>1030885673</v>
      </c>
      <c r="K1608">
        <v>1032281472</v>
      </c>
      <c r="L1608">
        <v>990540935</v>
      </c>
      <c r="M1608">
        <v>810660723</v>
      </c>
      <c r="N1608">
        <v>847593458</v>
      </c>
      <c r="O1608">
        <v>817163150</v>
      </c>
      <c r="P1608">
        <v>148</v>
      </c>
      <c r="Q1608" t="s">
        <v>3529</v>
      </c>
    </row>
    <row r="1609" spans="1:17" x14ac:dyDescent="0.3">
      <c r="A1609" t="s">
        <v>17</v>
      </c>
      <c r="B1609" t="str">
        <f>"688317"</f>
        <v>688317</v>
      </c>
      <c r="C1609" t="s">
        <v>3530</v>
      </c>
      <c r="D1609" t="s">
        <v>967</v>
      </c>
      <c r="E1609">
        <v>767922125</v>
      </c>
      <c r="F1609">
        <v>628891557</v>
      </c>
      <c r="G1609">
        <v>215985240</v>
      </c>
      <c r="P1609">
        <v>120</v>
      </c>
      <c r="Q1609" t="s">
        <v>3531</v>
      </c>
    </row>
    <row r="1610" spans="1:17" x14ac:dyDescent="0.3">
      <c r="A1610" t="s">
        <v>75</v>
      </c>
      <c r="B1610" t="str">
        <f>"002865"</f>
        <v>002865</v>
      </c>
      <c r="C1610" t="s">
        <v>3532</v>
      </c>
      <c r="D1610" t="s">
        <v>194</v>
      </c>
      <c r="E1610">
        <v>767854924</v>
      </c>
      <c r="F1610">
        <v>132016384</v>
      </c>
      <c r="G1610">
        <v>136907076</v>
      </c>
      <c r="H1610">
        <v>173684656</v>
      </c>
      <c r="I1610">
        <v>192443169</v>
      </c>
      <c r="J1610">
        <v>260543450</v>
      </c>
      <c r="K1610">
        <v>254269323</v>
      </c>
      <c r="P1610">
        <v>111</v>
      </c>
      <c r="Q1610" t="s">
        <v>3533</v>
      </c>
    </row>
    <row r="1611" spans="1:17" x14ac:dyDescent="0.3">
      <c r="A1611" t="s">
        <v>75</v>
      </c>
      <c r="B1611" t="str">
        <f>"300041"</f>
        <v>300041</v>
      </c>
      <c r="C1611" t="s">
        <v>3534</v>
      </c>
      <c r="D1611" t="s">
        <v>1112</v>
      </c>
      <c r="E1611">
        <v>766697262</v>
      </c>
      <c r="F1611">
        <v>481789230</v>
      </c>
      <c r="G1611">
        <v>305338243</v>
      </c>
      <c r="H1611">
        <v>416000232</v>
      </c>
      <c r="I1611">
        <v>249511759</v>
      </c>
      <c r="J1611">
        <v>195050055</v>
      </c>
      <c r="K1611">
        <v>155282021</v>
      </c>
      <c r="L1611">
        <v>71712676</v>
      </c>
      <c r="M1611">
        <v>115062439</v>
      </c>
      <c r="N1611">
        <v>84500064</v>
      </c>
      <c r="O1611">
        <v>100563216</v>
      </c>
      <c r="P1611">
        <v>253</v>
      </c>
      <c r="Q1611" t="s">
        <v>3535</v>
      </c>
    </row>
    <row r="1612" spans="1:17" x14ac:dyDescent="0.3">
      <c r="A1612" t="s">
        <v>75</v>
      </c>
      <c r="B1612" t="str">
        <f>"002928"</f>
        <v>002928</v>
      </c>
      <c r="C1612" t="s">
        <v>3536</v>
      </c>
      <c r="D1612" t="s">
        <v>246</v>
      </c>
      <c r="E1612">
        <v>765996309</v>
      </c>
      <c r="F1612">
        <v>1009431790</v>
      </c>
      <c r="G1612">
        <v>891149989</v>
      </c>
      <c r="H1612">
        <v>1129100064</v>
      </c>
      <c r="I1612">
        <v>1021985114</v>
      </c>
      <c r="J1612">
        <v>723383743</v>
      </c>
      <c r="P1612">
        <v>333</v>
      </c>
      <c r="Q1612" t="s">
        <v>3537</v>
      </c>
    </row>
    <row r="1613" spans="1:17" x14ac:dyDescent="0.3">
      <c r="A1613" t="s">
        <v>75</v>
      </c>
      <c r="B1613" t="str">
        <f>"000768"</f>
        <v>000768</v>
      </c>
      <c r="C1613" t="s">
        <v>3538</v>
      </c>
      <c r="D1613" t="s">
        <v>1551</v>
      </c>
      <c r="E1613">
        <v>765897121</v>
      </c>
      <c r="F1613">
        <v>1485907753</v>
      </c>
      <c r="G1613">
        <v>2803672466</v>
      </c>
      <c r="H1613">
        <v>2054607382</v>
      </c>
      <c r="I1613">
        <v>3737682194</v>
      </c>
      <c r="J1613">
        <v>5676088157</v>
      </c>
      <c r="K1613">
        <v>4054222908</v>
      </c>
      <c r="L1613">
        <v>2602111631</v>
      </c>
      <c r="M1613">
        <v>2574927087</v>
      </c>
      <c r="N1613">
        <v>1322762052</v>
      </c>
      <c r="O1613">
        <v>763781707</v>
      </c>
      <c r="P1613">
        <v>662</v>
      </c>
      <c r="Q1613" t="s">
        <v>3539</v>
      </c>
    </row>
    <row r="1614" spans="1:17" x14ac:dyDescent="0.3">
      <c r="A1614" t="s">
        <v>75</v>
      </c>
      <c r="B1614" t="str">
        <f>"000957"</f>
        <v>000957</v>
      </c>
      <c r="C1614" t="s">
        <v>3540</v>
      </c>
      <c r="D1614" t="s">
        <v>972</v>
      </c>
      <c r="E1614">
        <v>765708564</v>
      </c>
      <c r="F1614">
        <v>1131732371</v>
      </c>
      <c r="G1614">
        <v>1912440254</v>
      </c>
      <c r="H1614">
        <v>1740771875</v>
      </c>
      <c r="I1614">
        <v>535406683</v>
      </c>
      <c r="J1614">
        <v>608471993</v>
      </c>
      <c r="K1614">
        <v>937319461</v>
      </c>
      <c r="L1614">
        <v>287787516</v>
      </c>
      <c r="M1614">
        <v>433888001</v>
      </c>
      <c r="N1614">
        <v>404266093</v>
      </c>
      <c r="O1614">
        <v>509488726</v>
      </c>
      <c r="P1614">
        <v>227</v>
      </c>
      <c r="Q1614" t="s">
        <v>3541</v>
      </c>
    </row>
    <row r="1615" spans="1:17" x14ac:dyDescent="0.3">
      <c r="A1615" t="s">
        <v>75</v>
      </c>
      <c r="B1615" t="str">
        <f>"002547"</f>
        <v>002547</v>
      </c>
      <c r="C1615" t="s">
        <v>3542</v>
      </c>
      <c r="D1615" t="s">
        <v>55</v>
      </c>
      <c r="E1615">
        <v>765530977</v>
      </c>
      <c r="F1615">
        <v>646362182</v>
      </c>
      <c r="G1615">
        <v>1380065557</v>
      </c>
      <c r="H1615">
        <v>1332878995</v>
      </c>
      <c r="I1615">
        <v>1097541178</v>
      </c>
      <c r="J1615">
        <v>647009354</v>
      </c>
      <c r="K1615">
        <v>595686611</v>
      </c>
      <c r="L1615">
        <v>696830976</v>
      </c>
      <c r="M1615">
        <v>388347456</v>
      </c>
      <c r="N1615">
        <v>272580366</v>
      </c>
      <c r="O1615">
        <v>201289500</v>
      </c>
      <c r="P1615">
        <v>306</v>
      </c>
      <c r="Q1615" t="s">
        <v>3543</v>
      </c>
    </row>
    <row r="1616" spans="1:17" x14ac:dyDescent="0.3">
      <c r="A1616" t="s">
        <v>17</v>
      </c>
      <c r="B1616" t="str">
        <f>"605377"</f>
        <v>605377</v>
      </c>
      <c r="C1616" t="s">
        <v>3544</v>
      </c>
      <c r="D1616" t="s">
        <v>2183</v>
      </c>
      <c r="E1616">
        <v>765478934</v>
      </c>
      <c r="F1616">
        <v>549336314</v>
      </c>
      <c r="G1616">
        <v>446757171</v>
      </c>
      <c r="P1616">
        <v>59</v>
      </c>
      <c r="Q1616" t="s">
        <v>3545</v>
      </c>
    </row>
    <row r="1617" spans="1:17" x14ac:dyDescent="0.3">
      <c r="A1617" t="s">
        <v>17</v>
      </c>
      <c r="B1617" t="str">
        <f>"603887"</f>
        <v>603887</v>
      </c>
      <c r="C1617" t="s">
        <v>3546</v>
      </c>
      <c r="D1617" t="s">
        <v>224</v>
      </c>
      <c r="E1617">
        <v>765225404</v>
      </c>
      <c r="F1617">
        <v>1002809262</v>
      </c>
      <c r="G1617">
        <v>632726570</v>
      </c>
      <c r="H1617">
        <v>389236204</v>
      </c>
      <c r="I1617">
        <v>199807232</v>
      </c>
      <c r="J1617">
        <v>206302727</v>
      </c>
      <c r="K1617">
        <v>163721875</v>
      </c>
      <c r="P1617">
        <v>241</v>
      </c>
      <c r="Q1617" t="s">
        <v>3547</v>
      </c>
    </row>
    <row r="1618" spans="1:17" x14ac:dyDescent="0.3">
      <c r="A1618" t="s">
        <v>17</v>
      </c>
      <c r="B1618" t="str">
        <f>"603063"</f>
        <v>603063</v>
      </c>
      <c r="C1618" t="s">
        <v>3548</v>
      </c>
      <c r="D1618" t="s">
        <v>1398</v>
      </c>
      <c r="E1618">
        <v>764844621</v>
      </c>
      <c r="F1618">
        <v>416500252</v>
      </c>
      <c r="G1618">
        <v>410720832</v>
      </c>
      <c r="H1618">
        <v>291442075</v>
      </c>
      <c r="I1618">
        <v>125757832</v>
      </c>
      <c r="J1618">
        <v>161399612</v>
      </c>
      <c r="P1618">
        <v>212</v>
      </c>
      <c r="Q1618" t="s">
        <v>3549</v>
      </c>
    </row>
    <row r="1619" spans="1:17" x14ac:dyDescent="0.3">
      <c r="A1619" t="s">
        <v>75</v>
      </c>
      <c r="B1619" t="str">
        <f>"002507"</f>
        <v>002507</v>
      </c>
      <c r="C1619" t="s">
        <v>3550</v>
      </c>
      <c r="D1619" t="s">
        <v>774</v>
      </c>
      <c r="E1619">
        <v>764531638</v>
      </c>
      <c r="F1619">
        <v>727602425</v>
      </c>
      <c r="G1619">
        <v>672960572</v>
      </c>
      <c r="H1619">
        <v>494705484</v>
      </c>
      <c r="I1619">
        <v>483071467</v>
      </c>
      <c r="J1619">
        <v>412016913</v>
      </c>
      <c r="K1619">
        <v>296340220</v>
      </c>
      <c r="L1619">
        <v>241183608</v>
      </c>
      <c r="M1619">
        <v>226767485</v>
      </c>
      <c r="N1619">
        <v>187669082</v>
      </c>
      <c r="O1619">
        <v>133220559</v>
      </c>
      <c r="P1619">
        <v>4502</v>
      </c>
      <c r="Q1619" t="s">
        <v>3551</v>
      </c>
    </row>
    <row r="1620" spans="1:17" x14ac:dyDescent="0.3">
      <c r="A1620" t="s">
        <v>17</v>
      </c>
      <c r="B1620" t="str">
        <f>"603329"</f>
        <v>603329</v>
      </c>
      <c r="C1620" t="s">
        <v>3552</v>
      </c>
      <c r="D1620" t="s">
        <v>35</v>
      </c>
      <c r="E1620">
        <v>762495497</v>
      </c>
      <c r="F1620">
        <v>437273556</v>
      </c>
      <c r="G1620">
        <v>306801202</v>
      </c>
      <c r="H1620">
        <v>566808814</v>
      </c>
      <c r="I1620">
        <v>338146651</v>
      </c>
      <c r="J1620">
        <v>421908947</v>
      </c>
      <c r="P1620">
        <v>62</v>
      </c>
      <c r="Q1620" t="s">
        <v>3553</v>
      </c>
    </row>
    <row r="1621" spans="1:17" x14ac:dyDescent="0.3">
      <c r="A1621" t="s">
        <v>75</v>
      </c>
      <c r="B1621" t="str">
        <f>"002320"</f>
        <v>002320</v>
      </c>
      <c r="C1621" t="s">
        <v>3554</v>
      </c>
      <c r="D1621" t="s">
        <v>62</v>
      </c>
      <c r="E1621">
        <v>761050350</v>
      </c>
      <c r="F1621">
        <v>378513217</v>
      </c>
      <c r="G1621">
        <v>158790135</v>
      </c>
      <c r="H1621">
        <v>255756850</v>
      </c>
      <c r="I1621">
        <v>539724557</v>
      </c>
      <c r="J1621">
        <v>502533233</v>
      </c>
      <c r="K1621">
        <v>254720755</v>
      </c>
      <c r="L1621">
        <v>261528307</v>
      </c>
      <c r="M1621">
        <v>205474689</v>
      </c>
      <c r="N1621">
        <v>189877907</v>
      </c>
      <c r="O1621">
        <v>161148195</v>
      </c>
      <c r="P1621">
        <v>174</v>
      </c>
      <c r="Q1621" t="s">
        <v>3555</v>
      </c>
    </row>
    <row r="1622" spans="1:17" x14ac:dyDescent="0.3">
      <c r="A1622" t="s">
        <v>75</v>
      </c>
      <c r="B1622" t="str">
        <f>"002469"</f>
        <v>002469</v>
      </c>
      <c r="C1622" t="s">
        <v>3556</v>
      </c>
      <c r="D1622" t="s">
        <v>184</v>
      </c>
      <c r="E1622">
        <v>760542078</v>
      </c>
      <c r="F1622">
        <v>566627250</v>
      </c>
      <c r="G1622">
        <v>102116050</v>
      </c>
      <c r="H1622">
        <v>67274109</v>
      </c>
      <c r="I1622">
        <v>171405795</v>
      </c>
      <c r="J1622">
        <v>86339791</v>
      </c>
      <c r="K1622">
        <v>134166659</v>
      </c>
      <c r="L1622">
        <v>313873390</v>
      </c>
      <c r="M1622">
        <v>106440008</v>
      </c>
      <c r="N1622">
        <v>98254447</v>
      </c>
      <c r="O1622">
        <v>39357621</v>
      </c>
      <c r="P1622">
        <v>126</v>
      </c>
      <c r="Q1622" t="s">
        <v>3557</v>
      </c>
    </row>
    <row r="1623" spans="1:17" x14ac:dyDescent="0.3">
      <c r="A1623" t="s">
        <v>17</v>
      </c>
      <c r="B1623" t="str">
        <f>"688007"</f>
        <v>688007</v>
      </c>
      <c r="C1623" t="s">
        <v>3558</v>
      </c>
      <c r="D1623" t="s">
        <v>505</v>
      </c>
      <c r="E1623">
        <v>759788663</v>
      </c>
      <c r="F1623">
        <v>747962282</v>
      </c>
      <c r="G1623">
        <v>397384359</v>
      </c>
      <c r="H1623">
        <v>0</v>
      </c>
      <c r="I1623">
        <v>0</v>
      </c>
      <c r="P1623">
        <v>123</v>
      </c>
      <c r="Q1623" t="s">
        <v>3559</v>
      </c>
    </row>
    <row r="1624" spans="1:17" x14ac:dyDescent="0.3">
      <c r="A1624" t="s">
        <v>17</v>
      </c>
      <c r="B1624" t="str">
        <f>"603889"</f>
        <v>603889</v>
      </c>
      <c r="C1624" t="s">
        <v>3560</v>
      </c>
      <c r="D1624" t="s">
        <v>2832</v>
      </c>
      <c r="E1624">
        <v>758102298</v>
      </c>
      <c r="F1624">
        <v>566680832</v>
      </c>
      <c r="G1624">
        <v>467795513</v>
      </c>
      <c r="H1624">
        <v>569725915</v>
      </c>
      <c r="I1624">
        <v>473141447</v>
      </c>
      <c r="J1624">
        <v>447185265</v>
      </c>
      <c r="K1624">
        <v>370334223</v>
      </c>
      <c r="L1624">
        <v>344668652</v>
      </c>
      <c r="M1624">
        <v>319220879</v>
      </c>
      <c r="P1624">
        <v>121</v>
      </c>
      <c r="Q1624" t="s">
        <v>3561</v>
      </c>
    </row>
    <row r="1625" spans="1:17" x14ac:dyDescent="0.3">
      <c r="A1625" t="s">
        <v>75</v>
      </c>
      <c r="B1625" t="str">
        <f>"300973"</f>
        <v>300973</v>
      </c>
      <c r="C1625" t="s">
        <v>3562</v>
      </c>
      <c r="D1625" t="s">
        <v>2178</v>
      </c>
      <c r="E1625">
        <v>757249814</v>
      </c>
      <c r="F1625">
        <v>619888611</v>
      </c>
      <c r="G1625">
        <v>302531100</v>
      </c>
      <c r="P1625">
        <v>140</v>
      </c>
      <c r="Q1625" t="s">
        <v>3563</v>
      </c>
    </row>
    <row r="1626" spans="1:17" x14ac:dyDescent="0.3">
      <c r="A1626" t="s">
        <v>17</v>
      </c>
      <c r="B1626" t="str">
        <f>"603667"</f>
        <v>603667</v>
      </c>
      <c r="C1626" t="s">
        <v>3564</v>
      </c>
      <c r="D1626" t="s">
        <v>153</v>
      </c>
      <c r="E1626">
        <v>756719578</v>
      </c>
      <c r="F1626">
        <v>486359894</v>
      </c>
      <c r="G1626">
        <v>396591187</v>
      </c>
      <c r="H1626">
        <v>459988229</v>
      </c>
      <c r="I1626">
        <v>257803455</v>
      </c>
      <c r="J1626">
        <v>284318943</v>
      </c>
      <c r="K1626">
        <v>252044691</v>
      </c>
      <c r="P1626">
        <v>115</v>
      </c>
      <c r="Q1626" t="s">
        <v>3565</v>
      </c>
    </row>
    <row r="1627" spans="1:17" x14ac:dyDescent="0.3">
      <c r="A1627" t="s">
        <v>75</v>
      </c>
      <c r="B1627" t="str">
        <f>"300021"</f>
        <v>300021</v>
      </c>
      <c r="C1627" t="s">
        <v>3566</v>
      </c>
      <c r="D1627" t="s">
        <v>933</v>
      </c>
      <c r="E1627">
        <v>756556755</v>
      </c>
      <c r="F1627">
        <v>587039502</v>
      </c>
      <c r="G1627">
        <v>339185114</v>
      </c>
      <c r="H1627">
        <v>399605229</v>
      </c>
      <c r="I1627">
        <v>259720660</v>
      </c>
      <c r="J1627">
        <v>174306474</v>
      </c>
      <c r="K1627">
        <v>163115407</v>
      </c>
      <c r="L1627">
        <v>104285566</v>
      </c>
      <c r="M1627">
        <v>101326683</v>
      </c>
      <c r="N1627">
        <v>76229801</v>
      </c>
      <c r="O1627">
        <v>69287001</v>
      </c>
      <c r="P1627">
        <v>174</v>
      </c>
      <c r="Q1627" t="s">
        <v>3567</v>
      </c>
    </row>
    <row r="1628" spans="1:17" x14ac:dyDescent="0.3">
      <c r="A1628" t="s">
        <v>75</v>
      </c>
      <c r="B1628" t="str">
        <f>"002424"</f>
        <v>002424</v>
      </c>
      <c r="C1628" t="s">
        <v>3568</v>
      </c>
      <c r="D1628" t="s">
        <v>321</v>
      </c>
      <c r="E1628">
        <v>754696202</v>
      </c>
      <c r="F1628">
        <v>876595892</v>
      </c>
      <c r="G1628">
        <v>798779661</v>
      </c>
      <c r="H1628">
        <v>879767606</v>
      </c>
      <c r="I1628">
        <v>463812924</v>
      </c>
      <c r="J1628">
        <v>342608710</v>
      </c>
      <c r="K1628">
        <v>331731866</v>
      </c>
      <c r="L1628">
        <v>321209153</v>
      </c>
      <c r="M1628">
        <v>380915084</v>
      </c>
      <c r="N1628">
        <v>314051650</v>
      </c>
      <c r="O1628">
        <v>269686073</v>
      </c>
      <c r="P1628">
        <v>472</v>
      </c>
      <c r="Q1628" t="s">
        <v>3569</v>
      </c>
    </row>
    <row r="1629" spans="1:17" x14ac:dyDescent="0.3">
      <c r="A1629" t="s">
        <v>17</v>
      </c>
      <c r="B1629" t="str">
        <f>"600643"</f>
        <v>600643</v>
      </c>
      <c r="C1629" t="s">
        <v>3570</v>
      </c>
      <c r="D1629" t="s">
        <v>370</v>
      </c>
      <c r="E1629">
        <v>752768147</v>
      </c>
      <c r="F1629">
        <v>760728531</v>
      </c>
      <c r="G1629">
        <v>322860161</v>
      </c>
      <c r="H1629">
        <v>397391404</v>
      </c>
      <c r="I1629">
        <v>93519754</v>
      </c>
      <c r="J1629">
        <v>52375047</v>
      </c>
      <c r="K1629">
        <v>45458517</v>
      </c>
      <c r="L1629">
        <v>160590035</v>
      </c>
      <c r="M1629">
        <v>59147682</v>
      </c>
      <c r="N1629">
        <v>37407398</v>
      </c>
      <c r="O1629">
        <v>86309687</v>
      </c>
      <c r="P1629">
        <v>344</v>
      </c>
      <c r="Q1629" t="s">
        <v>3571</v>
      </c>
    </row>
    <row r="1630" spans="1:17" x14ac:dyDescent="0.3">
      <c r="A1630" t="s">
        <v>75</v>
      </c>
      <c r="B1630" t="str">
        <f>"300571"</f>
        <v>300571</v>
      </c>
      <c r="C1630" t="s">
        <v>3572</v>
      </c>
      <c r="D1630" t="s">
        <v>3310</v>
      </c>
      <c r="E1630">
        <v>752547679</v>
      </c>
      <c r="F1630">
        <v>500807486</v>
      </c>
      <c r="G1630">
        <v>235756600</v>
      </c>
      <c r="H1630">
        <v>175250278</v>
      </c>
      <c r="I1630">
        <v>229721351</v>
      </c>
      <c r="J1630">
        <v>229172167</v>
      </c>
      <c r="K1630">
        <v>37872523</v>
      </c>
      <c r="P1630">
        <v>2111</v>
      </c>
      <c r="Q1630" t="s">
        <v>3573</v>
      </c>
    </row>
    <row r="1631" spans="1:17" x14ac:dyDescent="0.3">
      <c r="A1631" t="s">
        <v>75</v>
      </c>
      <c r="B1631" t="str">
        <f>"002009"</f>
        <v>002009</v>
      </c>
      <c r="C1631" t="s">
        <v>3574</v>
      </c>
      <c r="D1631" t="s">
        <v>1624</v>
      </c>
      <c r="E1631">
        <v>751107400</v>
      </c>
      <c r="F1631">
        <v>903319462</v>
      </c>
      <c r="G1631">
        <v>540095694</v>
      </c>
      <c r="H1631">
        <v>519569183</v>
      </c>
      <c r="I1631">
        <v>711536079</v>
      </c>
      <c r="J1631">
        <v>430833312</v>
      </c>
      <c r="K1631">
        <v>497782600</v>
      </c>
      <c r="L1631">
        <v>540825758</v>
      </c>
      <c r="M1631">
        <v>415174700</v>
      </c>
      <c r="N1631">
        <v>381889475</v>
      </c>
      <c r="O1631">
        <v>332294300</v>
      </c>
      <c r="P1631">
        <v>148</v>
      </c>
      <c r="Q1631" t="s">
        <v>3575</v>
      </c>
    </row>
    <row r="1632" spans="1:17" x14ac:dyDescent="0.3">
      <c r="A1632" t="s">
        <v>17</v>
      </c>
      <c r="B1632" t="str">
        <f>"600035"</f>
        <v>600035</v>
      </c>
      <c r="C1632" t="s">
        <v>3576</v>
      </c>
      <c r="D1632" t="s">
        <v>1248</v>
      </c>
      <c r="E1632">
        <v>751034061</v>
      </c>
      <c r="F1632">
        <v>753657525</v>
      </c>
      <c r="G1632">
        <v>551358472</v>
      </c>
      <c r="H1632">
        <v>859559667</v>
      </c>
      <c r="I1632">
        <v>732058935</v>
      </c>
      <c r="J1632">
        <v>485541101</v>
      </c>
      <c r="K1632">
        <v>364309925</v>
      </c>
      <c r="L1632">
        <v>327835204</v>
      </c>
      <c r="M1632">
        <v>275180793</v>
      </c>
      <c r="N1632">
        <v>255151357</v>
      </c>
      <c r="O1632">
        <v>262322741</v>
      </c>
      <c r="P1632">
        <v>290</v>
      </c>
      <c r="Q1632" t="s">
        <v>3577</v>
      </c>
    </row>
    <row r="1633" spans="1:17" x14ac:dyDescent="0.3">
      <c r="A1633" t="s">
        <v>75</v>
      </c>
      <c r="B1633" t="str">
        <f>"002284"</f>
        <v>002284</v>
      </c>
      <c r="C1633" t="s">
        <v>3578</v>
      </c>
      <c r="D1633" t="s">
        <v>172</v>
      </c>
      <c r="E1633">
        <v>750442824</v>
      </c>
      <c r="F1633">
        <v>772143591</v>
      </c>
      <c r="G1633">
        <v>610428807</v>
      </c>
      <c r="H1633">
        <v>685900713</v>
      </c>
      <c r="I1633">
        <v>710447348</v>
      </c>
      <c r="J1633">
        <v>534067911</v>
      </c>
      <c r="K1633">
        <v>471507831</v>
      </c>
      <c r="L1633">
        <v>546624539</v>
      </c>
      <c r="M1633">
        <v>600936584</v>
      </c>
      <c r="N1633">
        <v>343162868</v>
      </c>
      <c r="O1633">
        <v>196489637</v>
      </c>
      <c r="P1633">
        <v>197</v>
      </c>
      <c r="Q1633" t="s">
        <v>3579</v>
      </c>
    </row>
    <row r="1634" spans="1:17" x14ac:dyDescent="0.3">
      <c r="A1634" t="s">
        <v>75</v>
      </c>
      <c r="B1634" t="str">
        <f>"002484"</f>
        <v>002484</v>
      </c>
      <c r="C1634" t="s">
        <v>3580</v>
      </c>
      <c r="D1634" t="s">
        <v>2109</v>
      </c>
      <c r="E1634">
        <v>750353251</v>
      </c>
      <c r="F1634">
        <v>537144389</v>
      </c>
      <c r="G1634">
        <v>337907416</v>
      </c>
      <c r="H1634">
        <v>254171830</v>
      </c>
      <c r="I1634">
        <v>206620593</v>
      </c>
      <c r="J1634">
        <v>220689587</v>
      </c>
      <c r="K1634">
        <v>243670625</v>
      </c>
      <c r="L1634">
        <v>226081520</v>
      </c>
      <c r="M1634">
        <v>249073822</v>
      </c>
      <c r="N1634">
        <v>230022087</v>
      </c>
      <c r="O1634">
        <v>203423067</v>
      </c>
      <c r="P1634">
        <v>311</v>
      </c>
      <c r="Q1634" t="s">
        <v>3581</v>
      </c>
    </row>
    <row r="1635" spans="1:17" x14ac:dyDescent="0.3">
      <c r="A1635" t="s">
        <v>75</v>
      </c>
      <c r="B1635" t="str">
        <f>"000536"</f>
        <v>000536</v>
      </c>
      <c r="C1635" t="s">
        <v>3582</v>
      </c>
      <c r="D1635" t="s">
        <v>128</v>
      </c>
      <c r="E1635">
        <v>749980532</v>
      </c>
      <c r="F1635">
        <v>515004941</v>
      </c>
      <c r="G1635">
        <v>792521532</v>
      </c>
      <c r="H1635">
        <v>399827936</v>
      </c>
      <c r="I1635">
        <v>1208207150</v>
      </c>
      <c r="J1635">
        <v>798713371</v>
      </c>
      <c r="K1635">
        <v>1272387352</v>
      </c>
      <c r="L1635">
        <v>2128185732</v>
      </c>
      <c r="M1635">
        <v>804299411</v>
      </c>
      <c r="N1635">
        <v>442387312</v>
      </c>
      <c r="O1635">
        <v>371578603</v>
      </c>
      <c r="P1635">
        <v>142</v>
      </c>
      <c r="Q1635" t="s">
        <v>3583</v>
      </c>
    </row>
    <row r="1636" spans="1:17" x14ac:dyDescent="0.3">
      <c r="A1636" t="s">
        <v>17</v>
      </c>
      <c r="B1636" t="str">
        <f>"605020"</f>
        <v>605020</v>
      </c>
      <c r="C1636" t="s">
        <v>3584</v>
      </c>
      <c r="D1636" t="s">
        <v>946</v>
      </c>
      <c r="E1636">
        <v>749699813</v>
      </c>
      <c r="F1636">
        <v>406498532</v>
      </c>
      <c r="G1636">
        <v>359079148</v>
      </c>
      <c r="P1636">
        <v>33</v>
      </c>
      <c r="Q1636" t="s">
        <v>3585</v>
      </c>
    </row>
    <row r="1637" spans="1:17" x14ac:dyDescent="0.3">
      <c r="A1637" t="s">
        <v>75</v>
      </c>
      <c r="B1637" t="str">
        <f>"300080"</f>
        <v>300080</v>
      </c>
      <c r="C1637" t="s">
        <v>3586</v>
      </c>
      <c r="D1637" t="s">
        <v>3587</v>
      </c>
      <c r="E1637">
        <v>749088431</v>
      </c>
      <c r="F1637">
        <v>736074937</v>
      </c>
      <c r="G1637">
        <v>750335722</v>
      </c>
      <c r="H1637">
        <v>156039333</v>
      </c>
      <c r="I1637">
        <v>160758313</v>
      </c>
      <c r="J1637">
        <v>320133466</v>
      </c>
      <c r="K1637">
        <v>302582455</v>
      </c>
      <c r="L1637">
        <v>296445861</v>
      </c>
      <c r="M1637">
        <v>218991323</v>
      </c>
      <c r="N1637">
        <v>170657043</v>
      </c>
      <c r="O1637">
        <v>190789699</v>
      </c>
      <c r="P1637">
        <v>111</v>
      </c>
      <c r="Q1637" t="s">
        <v>3588</v>
      </c>
    </row>
    <row r="1638" spans="1:17" x14ac:dyDescent="0.3">
      <c r="A1638" t="s">
        <v>75</v>
      </c>
      <c r="B1638" t="str">
        <f>"002536"</f>
        <v>002536</v>
      </c>
      <c r="C1638" t="s">
        <v>3589</v>
      </c>
      <c r="D1638" t="s">
        <v>172</v>
      </c>
      <c r="E1638">
        <v>748450183</v>
      </c>
      <c r="F1638">
        <v>687042688</v>
      </c>
      <c r="G1638">
        <v>482747265</v>
      </c>
      <c r="H1638">
        <v>771648385</v>
      </c>
      <c r="I1638">
        <v>754294014</v>
      </c>
      <c r="J1638">
        <v>545631592</v>
      </c>
      <c r="K1638">
        <v>491978311</v>
      </c>
      <c r="L1638">
        <v>536667154</v>
      </c>
      <c r="M1638">
        <v>318986393</v>
      </c>
      <c r="N1638">
        <v>221148051</v>
      </c>
      <c r="O1638">
        <v>204777640</v>
      </c>
      <c r="P1638">
        <v>254</v>
      </c>
      <c r="Q1638" t="s">
        <v>3590</v>
      </c>
    </row>
    <row r="1639" spans="1:17" x14ac:dyDescent="0.3">
      <c r="A1639" t="s">
        <v>75</v>
      </c>
      <c r="B1639" t="str">
        <f>"000523"</f>
        <v>000523</v>
      </c>
      <c r="C1639" t="s">
        <v>3591</v>
      </c>
      <c r="D1639" t="s">
        <v>3592</v>
      </c>
      <c r="E1639">
        <v>748299335</v>
      </c>
      <c r="F1639">
        <v>670747333</v>
      </c>
      <c r="G1639">
        <v>2662745152</v>
      </c>
      <c r="H1639">
        <v>3299906324</v>
      </c>
      <c r="I1639">
        <v>3605479401</v>
      </c>
      <c r="J1639">
        <v>2874188071</v>
      </c>
      <c r="K1639">
        <v>2099560319</v>
      </c>
      <c r="L1639">
        <v>1198750724</v>
      </c>
      <c r="M1639">
        <v>1053887663</v>
      </c>
      <c r="N1639">
        <v>711505119</v>
      </c>
      <c r="O1639">
        <v>566054895</v>
      </c>
      <c r="P1639">
        <v>97</v>
      </c>
      <c r="Q1639" t="s">
        <v>3593</v>
      </c>
    </row>
    <row r="1640" spans="1:17" x14ac:dyDescent="0.3">
      <c r="A1640" t="s">
        <v>75</v>
      </c>
      <c r="B1640" t="str">
        <f>"000936"</f>
        <v>000936</v>
      </c>
      <c r="C1640" t="s">
        <v>3594</v>
      </c>
      <c r="D1640" t="s">
        <v>519</v>
      </c>
      <c r="E1640">
        <v>747282995</v>
      </c>
      <c r="F1640">
        <v>657472713</v>
      </c>
      <c r="G1640">
        <v>693550834</v>
      </c>
      <c r="H1640">
        <v>933630554</v>
      </c>
      <c r="I1640">
        <v>712112780</v>
      </c>
      <c r="J1640">
        <v>771319717</v>
      </c>
      <c r="K1640">
        <v>490229331</v>
      </c>
      <c r="L1640">
        <v>646831814</v>
      </c>
      <c r="M1640">
        <v>478731918</v>
      </c>
      <c r="N1640">
        <v>593420049</v>
      </c>
      <c r="O1640">
        <v>783389211</v>
      </c>
      <c r="P1640">
        <v>226</v>
      </c>
      <c r="Q1640" t="s">
        <v>3595</v>
      </c>
    </row>
    <row r="1641" spans="1:17" x14ac:dyDescent="0.3">
      <c r="A1641" t="s">
        <v>17</v>
      </c>
      <c r="B1641" t="str">
        <f>"600817"</f>
        <v>600817</v>
      </c>
      <c r="C1641" t="s">
        <v>3596</v>
      </c>
      <c r="D1641" t="s">
        <v>262</v>
      </c>
      <c r="E1641">
        <v>746873832</v>
      </c>
      <c r="F1641">
        <v>773791577</v>
      </c>
      <c r="G1641">
        <v>26395028</v>
      </c>
      <c r="H1641">
        <v>13753457</v>
      </c>
      <c r="I1641">
        <v>3980629</v>
      </c>
      <c r="J1641">
        <v>1073954</v>
      </c>
      <c r="K1641">
        <v>2767499</v>
      </c>
      <c r="L1641">
        <v>3436189</v>
      </c>
      <c r="M1641">
        <v>8315781</v>
      </c>
      <c r="N1641">
        <v>12372346</v>
      </c>
      <c r="O1641">
        <v>4603885</v>
      </c>
      <c r="P1641">
        <v>102</v>
      </c>
      <c r="Q1641" t="s">
        <v>3597</v>
      </c>
    </row>
    <row r="1642" spans="1:17" x14ac:dyDescent="0.3">
      <c r="A1642" t="s">
        <v>75</v>
      </c>
      <c r="B1642" t="str">
        <f>"300763"</f>
        <v>300763</v>
      </c>
      <c r="C1642" t="s">
        <v>3598</v>
      </c>
      <c r="D1642" t="s">
        <v>862</v>
      </c>
      <c r="E1642">
        <v>746375792</v>
      </c>
      <c r="F1642">
        <v>437942832</v>
      </c>
      <c r="G1642">
        <v>283582666</v>
      </c>
      <c r="H1642">
        <v>177638475</v>
      </c>
      <c r="I1642">
        <v>132643852</v>
      </c>
      <c r="P1642">
        <v>582</v>
      </c>
      <c r="Q1642" t="s">
        <v>3599</v>
      </c>
    </row>
    <row r="1643" spans="1:17" x14ac:dyDescent="0.3">
      <c r="A1643" t="s">
        <v>75</v>
      </c>
      <c r="B1643" t="str">
        <f>"200045"</f>
        <v>200045</v>
      </c>
      <c r="C1643" t="s">
        <v>3600</v>
      </c>
      <c r="E1643">
        <v>745953125.86800003</v>
      </c>
      <c r="F1643">
        <v>589737348.57799995</v>
      </c>
      <c r="G1643">
        <v>379579883.71619999</v>
      </c>
      <c r="H1643">
        <v>628295293.77929997</v>
      </c>
      <c r="I1643">
        <v>318959581.56950003</v>
      </c>
      <c r="J1643">
        <v>375688228.52359998</v>
      </c>
      <c r="K1643">
        <v>338859321.13919997</v>
      </c>
      <c r="L1643">
        <v>370655253.75</v>
      </c>
      <c r="M1643">
        <v>359254144.08920002</v>
      </c>
      <c r="N1643">
        <v>331763878.03500003</v>
      </c>
      <c r="O1643">
        <v>196258650.61500001</v>
      </c>
      <c r="P1643">
        <v>6</v>
      </c>
      <c r="Q1643" t="s">
        <v>3601</v>
      </c>
    </row>
    <row r="1644" spans="1:17" x14ac:dyDescent="0.3">
      <c r="A1644" t="s">
        <v>17</v>
      </c>
      <c r="B1644" t="str">
        <f>"603035"</f>
        <v>603035</v>
      </c>
      <c r="C1644" t="s">
        <v>3602</v>
      </c>
      <c r="D1644" t="s">
        <v>194</v>
      </c>
      <c r="E1644">
        <v>744592710</v>
      </c>
      <c r="F1644">
        <v>646274932</v>
      </c>
      <c r="G1644">
        <v>428135453</v>
      </c>
      <c r="H1644">
        <v>349383242</v>
      </c>
      <c r="I1644">
        <v>413047094</v>
      </c>
      <c r="J1644">
        <v>369310056</v>
      </c>
      <c r="K1644">
        <v>293105001</v>
      </c>
      <c r="P1644">
        <v>244</v>
      </c>
      <c r="Q1644" t="s">
        <v>3603</v>
      </c>
    </row>
    <row r="1645" spans="1:17" x14ac:dyDescent="0.3">
      <c r="A1645" t="s">
        <v>17</v>
      </c>
      <c r="B1645" t="str">
        <f>"600979"</f>
        <v>600979</v>
      </c>
      <c r="C1645" t="s">
        <v>3604</v>
      </c>
      <c r="D1645" t="s">
        <v>457</v>
      </c>
      <c r="E1645">
        <v>743975299</v>
      </c>
      <c r="F1645">
        <v>665055008</v>
      </c>
      <c r="G1645">
        <v>614246817</v>
      </c>
      <c r="H1645">
        <v>661508380</v>
      </c>
      <c r="I1645">
        <v>577514206</v>
      </c>
      <c r="J1645">
        <v>575257528</v>
      </c>
      <c r="K1645">
        <v>528326322</v>
      </c>
      <c r="L1645">
        <v>506979555</v>
      </c>
      <c r="M1645">
        <v>418411837</v>
      </c>
      <c r="N1645">
        <v>388565926</v>
      </c>
      <c r="O1645">
        <v>300971026</v>
      </c>
      <c r="P1645">
        <v>117</v>
      </c>
      <c r="Q1645" t="s">
        <v>3605</v>
      </c>
    </row>
    <row r="1646" spans="1:17" x14ac:dyDescent="0.3">
      <c r="A1646" t="s">
        <v>75</v>
      </c>
      <c r="B1646" t="str">
        <f>"002741"</f>
        <v>002741</v>
      </c>
      <c r="C1646" t="s">
        <v>3606</v>
      </c>
      <c r="D1646" t="s">
        <v>1853</v>
      </c>
      <c r="E1646">
        <v>743412676</v>
      </c>
      <c r="F1646">
        <v>469975556</v>
      </c>
      <c r="G1646">
        <v>360801227</v>
      </c>
      <c r="H1646">
        <v>359871478</v>
      </c>
      <c r="I1646">
        <v>365384307</v>
      </c>
      <c r="J1646">
        <v>253936445</v>
      </c>
      <c r="K1646">
        <v>205908308</v>
      </c>
      <c r="L1646">
        <v>156149614</v>
      </c>
      <c r="M1646">
        <v>186293420</v>
      </c>
      <c r="P1646">
        <v>187</v>
      </c>
      <c r="Q1646" t="s">
        <v>3607</v>
      </c>
    </row>
    <row r="1647" spans="1:17" x14ac:dyDescent="0.3">
      <c r="A1647" t="s">
        <v>17</v>
      </c>
      <c r="B1647" t="str">
        <f>"600195"</f>
        <v>600195</v>
      </c>
      <c r="C1647" t="s">
        <v>3608</v>
      </c>
      <c r="D1647" t="s">
        <v>3609</v>
      </c>
      <c r="E1647">
        <v>740486197</v>
      </c>
      <c r="F1647">
        <v>872061298</v>
      </c>
      <c r="G1647">
        <v>800984199</v>
      </c>
      <c r="H1647">
        <v>509827068</v>
      </c>
      <c r="I1647">
        <v>750508771</v>
      </c>
      <c r="J1647">
        <v>578655882</v>
      </c>
      <c r="K1647">
        <v>504859166</v>
      </c>
      <c r="L1647">
        <v>897547693</v>
      </c>
      <c r="M1647">
        <v>534197107</v>
      </c>
      <c r="N1647">
        <v>514348906</v>
      </c>
      <c r="O1647">
        <v>327200890</v>
      </c>
      <c r="P1647">
        <v>371</v>
      </c>
      <c r="Q1647" t="s">
        <v>3610</v>
      </c>
    </row>
    <row r="1648" spans="1:17" x14ac:dyDescent="0.3">
      <c r="A1648" t="s">
        <v>75</v>
      </c>
      <c r="B1648" t="str">
        <f>"002579"</f>
        <v>002579</v>
      </c>
      <c r="C1648" t="s">
        <v>3611</v>
      </c>
      <c r="D1648" t="s">
        <v>567</v>
      </c>
      <c r="E1648">
        <v>739922081</v>
      </c>
      <c r="F1648">
        <v>650608106</v>
      </c>
      <c r="G1648">
        <v>455126506</v>
      </c>
      <c r="H1648">
        <v>313234234</v>
      </c>
      <c r="I1648">
        <v>234378878</v>
      </c>
      <c r="J1648">
        <v>239985234</v>
      </c>
      <c r="K1648">
        <v>170296936</v>
      </c>
      <c r="L1648">
        <v>120667507</v>
      </c>
      <c r="M1648">
        <v>106702295</v>
      </c>
      <c r="N1648">
        <v>108461938</v>
      </c>
      <c r="O1648">
        <v>89600547</v>
      </c>
      <c r="P1648">
        <v>279</v>
      </c>
      <c r="Q1648" t="s">
        <v>3612</v>
      </c>
    </row>
    <row r="1649" spans="1:17" x14ac:dyDescent="0.3">
      <c r="A1649" t="s">
        <v>75</v>
      </c>
      <c r="B1649" t="str">
        <f>"000868"</f>
        <v>000868</v>
      </c>
      <c r="C1649" t="s">
        <v>3613</v>
      </c>
      <c r="D1649" t="s">
        <v>972</v>
      </c>
      <c r="E1649">
        <v>739359667</v>
      </c>
      <c r="F1649">
        <v>589535413</v>
      </c>
      <c r="G1649">
        <v>206288857</v>
      </c>
      <c r="H1649">
        <v>1239039314</v>
      </c>
      <c r="I1649">
        <v>336816482</v>
      </c>
      <c r="J1649">
        <v>532155421</v>
      </c>
      <c r="K1649">
        <v>448428110</v>
      </c>
      <c r="L1649">
        <v>352785691</v>
      </c>
      <c r="M1649">
        <v>639283348</v>
      </c>
      <c r="N1649">
        <v>746905722</v>
      </c>
      <c r="O1649">
        <v>458146986</v>
      </c>
      <c r="P1649">
        <v>171</v>
      </c>
      <c r="Q1649" t="s">
        <v>3614</v>
      </c>
    </row>
    <row r="1650" spans="1:17" x14ac:dyDescent="0.3">
      <c r="A1650" t="s">
        <v>17</v>
      </c>
      <c r="B1650" t="str">
        <f>"603477"</f>
        <v>603477</v>
      </c>
      <c r="C1650" t="s">
        <v>3615</v>
      </c>
      <c r="D1650" t="s">
        <v>3460</v>
      </c>
      <c r="E1650">
        <v>737604537</v>
      </c>
      <c r="F1650">
        <v>762500159</v>
      </c>
      <c r="G1650">
        <v>98490417</v>
      </c>
      <c r="H1650">
        <v>178498923</v>
      </c>
      <c r="I1650">
        <v>149438536</v>
      </c>
      <c r="J1650">
        <v>138574038</v>
      </c>
      <c r="P1650">
        <v>134</v>
      </c>
      <c r="Q1650" t="s">
        <v>3616</v>
      </c>
    </row>
    <row r="1651" spans="1:17" x14ac:dyDescent="0.3">
      <c r="A1651" t="s">
        <v>17</v>
      </c>
      <c r="B1651" t="str">
        <f>"600630"</f>
        <v>600630</v>
      </c>
      <c r="C1651" t="s">
        <v>3617</v>
      </c>
      <c r="D1651" t="s">
        <v>814</v>
      </c>
      <c r="E1651">
        <v>737136149</v>
      </c>
      <c r="F1651">
        <v>768431437</v>
      </c>
      <c r="G1651">
        <v>855994664</v>
      </c>
      <c r="H1651">
        <v>1158974229</v>
      </c>
      <c r="I1651">
        <v>1202463158</v>
      </c>
      <c r="J1651">
        <v>1036927329</v>
      </c>
      <c r="K1651">
        <v>1015500784</v>
      </c>
      <c r="L1651">
        <v>1098299679</v>
      </c>
      <c r="M1651">
        <v>1140021198</v>
      </c>
      <c r="N1651">
        <v>1184471967</v>
      </c>
      <c r="O1651">
        <v>1336484001</v>
      </c>
      <c r="P1651">
        <v>110</v>
      </c>
      <c r="Q1651" t="s">
        <v>3618</v>
      </c>
    </row>
    <row r="1652" spans="1:17" x14ac:dyDescent="0.3">
      <c r="A1652" t="s">
        <v>75</v>
      </c>
      <c r="B1652" t="str">
        <f>"000757"</f>
        <v>000757</v>
      </c>
      <c r="C1652" t="s">
        <v>3619</v>
      </c>
      <c r="D1652" t="s">
        <v>3620</v>
      </c>
      <c r="E1652">
        <v>736853469</v>
      </c>
      <c r="F1652">
        <v>1105688975</v>
      </c>
      <c r="G1652">
        <v>540160524</v>
      </c>
      <c r="H1652">
        <v>82209265</v>
      </c>
      <c r="I1652">
        <v>103811313</v>
      </c>
      <c r="J1652">
        <v>161373495</v>
      </c>
      <c r="K1652">
        <v>116868754</v>
      </c>
      <c r="L1652">
        <v>66089083</v>
      </c>
      <c r="M1652">
        <v>85858250</v>
      </c>
      <c r="N1652">
        <v>124065210</v>
      </c>
      <c r="O1652">
        <v>104747181</v>
      </c>
      <c r="P1652">
        <v>88</v>
      </c>
      <c r="Q1652" t="s">
        <v>3621</v>
      </c>
    </row>
    <row r="1653" spans="1:17" x14ac:dyDescent="0.3">
      <c r="A1653" t="s">
        <v>75</v>
      </c>
      <c r="B1653" t="str">
        <f>"300502"</f>
        <v>300502</v>
      </c>
      <c r="C1653" t="s">
        <v>3622</v>
      </c>
      <c r="D1653" t="s">
        <v>169</v>
      </c>
      <c r="E1653">
        <v>735862108</v>
      </c>
      <c r="F1653">
        <v>466931842</v>
      </c>
      <c r="G1653">
        <v>385875053</v>
      </c>
      <c r="H1653">
        <v>200375280</v>
      </c>
      <c r="I1653">
        <v>212301921</v>
      </c>
      <c r="J1653">
        <v>185289122</v>
      </c>
      <c r="K1653">
        <v>149477380</v>
      </c>
      <c r="L1653">
        <v>127928145</v>
      </c>
      <c r="P1653">
        <v>636</v>
      </c>
      <c r="Q1653" t="s">
        <v>3623</v>
      </c>
    </row>
    <row r="1654" spans="1:17" x14ac:dyDescent="0.3">
      <c r="A1654" t="s">
        <v>75</v>
      </c>
      <c r="B1654" t="str">
        <f>"000716"</f>
        <v>000716</v>
      </c>
      <c r="C1654" t="s">
        <v>3624</v>
      </c>
      <c r="D1654" t="s">
        <v>2178</v>
      </c>
      <c r="E1654">
        <v>735243459</v>
      </c>
      <c r="F1654">
        <v>873165235</v>
      </c>
      <c r="G1654">
        <v>692280972</v>
      </c>
      <c r="H1654">
        <v>1025105670</v>
      </c>
      <c r="I1654">
        <v>786655223</v>
      </c>
      <c r="J1654">
        <v>577574413</v>
      </c>
      <c r="K1654">
        <v>509698873</v>
      </c>
      <c r="L1654">
        <v>534294915</v>
      </c>
      <c r="M1654">
        <v>394323373</v>
      </c>
      <c r="N1654">
        <v>229920724</v>
      </c>
      <c r="O1654">
        <v>179912750</v>
      </c>
      <c r="P1654">
        <v>163</v>
      </c>
      <c r="Q1654" t="s">
        <v>3625</v>
      </c>
    </row>
    <row r="1655" spans="1:17" x14ac:dyDescent="0.3">
      <c r="A1655" t="s">
        <v>17</v>
      </c>
      <c r="B1655" t="str">
        <f>"600078"</f>
        <v>600078</v>
      </c>
      <c r="C1655" t="s">
        <v>3626</v>
      </c>
      <c r="D1655" t="s">
        <v>354</v>
      </c>
      <c r="E1655">
        <v>734700134</v>
      </c>
      <c r="F1655">
        <v>416754461</v>
      </c>
      <c r="G1655">
        <v>572453394</v>
      </c>
      <c r="H1655">
        <v>500667529</v>
      </c>
      <c r="I1655">
        <v>501818726</v>
      </c>
      <c r="J1655">
        <v>804222371</v>
      </c>
      <c r="K1655">
        <v>583024454</v>
      </c>
      <c r="L1655">
        <v>553135698</v>
      </c>
      <c r="M1655">
        <v>606886081</v>
      </c>
      <c r="N1655">
        <v>630178313</v>
      </c>
      <c r="O1655">
        <v>765920119</v>
      </c>
      <c r="P1655">
        <v>85</v>
      </c>
      <c r="Q1655" t="s">
        <v>3627</v>
      </c>
    </row>
    <row r="1656" spans="1:17" x14ac:dyDescent="0.3">
      <c r="A1656" t="s">
        <v>17</v>
      </c>
      <c r="B1656" t="str">
        <f>"600750"</f>
        <v>600750</v>
      </c>
      <c r="C1656" t="s">
        <v>3628</v>
      </c>
      <c r="D1656" t="s">
        <v>321</v>
      </c>
      <c r="E1656">
        <v>732569767</v>
      </c>
      <c r="F1656">
        <v>549858132</v>
      </c>
      <c r="G1656">
        <v>677121741</v>
      </c>
      <c r="H1656">
        <v>598273236</v>
      </c>
      <c r="I1656">
        <v>495308416</v>
      </c>
      <c r="J1656">
        <v>258319532</v>
      </c>
      <c r="K1656">
        <v>430359832</v>
      </c>
      <c r="L1656">
        <v>588737282</v>
      </c>
      <c r="M1656">
        <v>451553238</v>
      </c>
      <c r="N1656">
        <v>492190459</v>
      </c>
      <c r="O1656">
        <v>509648012</v>
      </c>
      <c r="P1656">
        <v>817</v>
      </c>
      <c r="Q1656" t="s">
        <v>3629</v>
      </c>
    </row>
    <row r="1657" spans="1:17" x14ac:dyDescent="0.3">
      <c r="A1657" t="s">
        <v>75</v>
      </c>
      <c r="B1657" t="str">
        <f>"002610"</f>
        <v>002610</v>
      </c>
      <c r="C1657" t="s">
        <v>3630</v>
      </c>
      <c r="D1657" t="s">
        <v>1512</v>
      </c>
      <c r="E1657">
        <v>732455089</v>
      </c>
      <c r="F1657">
        <v>604123454</v>
      </c>
      <c r="G1657">
        <v>724292278</v>
      </c>
      <c r="H1657">
        <v>827544297</v>
      </c>
      <c r="I1657">
        <v>664056659</v>
      </c>
      <c r="J1657">
        <v>597298117</v>
      </c>
      <c r="K1657">
        <v>1065382358</v>
      </c>
      <c r="L1657">
        <v>701817332</v>
      </c>
      <c r="M1657">
        <v>365130416</v>
      </c>
      <c r="N1657">
        <v>304340622</v>
      </c>
      <c r="O1657">
        <v>285152726</v>
      </c>
      <c r="P1657">
        <v>301</v>
      </c>
      <c r="Q1657" t="s">
        <v>3631</v>
      </c>
    </row>
    <row r="1658" spans="1:17" x14ac:dyDescent="0.3">
      <c r="A1658" t="s">
        <v>75</v>
      </c>
      <c r="B1658" t="str">
        <f>"300863"</f>
        <v>300863</v>
      </c>
      <c r="C1658" t="s">
        <v>3632</v>
      </c>
      <c r="D1658" t="s">
        <v>433</v>
      </c>
      <c r="E1658">
        <v>732177260</v>
      </c>
      <c r="F1658">
        <v>543047476</v>
      </c>
      <c r="G1658">
        <v>270555245</v>
      </c>
      <c r="P1658">
        <v>75</v>
      </c>
      <c r="Q1658" t="s">
        <v>3633</v>
      </c>
    </row>
    <row r="1659" spans="1:17" x14ac:dyDescent="0.3">
      <c r="A1659" t="s">
        <v>75</v>
      </c>
      <c r="B1659" t="str">
        <f>"300601"</f>
        <v>300601</v>
      </c>
      <c r="C1659" t="s">
        <v>3634</v>
      </c>
      <c r="D1659" t="s">
        <v>928</v>
      </c>
      <c r="E1659">
        <v>731266143</v>
      </c>
      <c r="F1659">
        <v>319525818</v>
      </c>
      <c r="G1659">
        <v>195410253</v>
      </c>
      <c r="H1659">
        <v>302111506</v>
      </c>
      <c r="I1659">
        <v>229132701</v>
      </c>
      <c r="J1659">
        <v>69641801</v>
      </c>
      <c r="K1659">
        <v>53337176</v>
      </c>
      <c r="P1659">
        <v>1384</v>
      </c>
      <c r="Q1659" t="s">
        <v>3635</v>
      </c>
    </row>
    <row r="1660" spans="1:17" x14ac:dyDescent="0.3">
      <c r="A1660" t="s">
        <v>17</v>
      </c>
      <c r="B1660" t="str">
        <f>"688521"</f>
        <v>688521</v>
      </c>
      <c r="C1660" t="s">
        <v>3636</v>
      </c>
      <c r="D1660" t="s">
        <v>883</v>
      </c>
      <c r="E1660">
        <v>731158721</v>
      </c>
      <c r="F1660">
        <v>421028963</v>
      </c>
      <c r="G1660">
        <v>244207805</v>
      </c>
      <c r="H1660">
        <v>248515750</v>
      </c>
      <c r="P1660">
        <v>140</v>
      </c>
      <c r="Q1660" t="s">
        <v>3637</v>
      </c>
    </row>
    <row r="1661" spans="1:17" x14ac:dyDescent="0.3">
      <c r="A1661" t="s">
        <v>17</v>
      </c>
      <c r="B1661" t="str">
        <f>"688126"</f>
        <v>688126</v>
      </c>
      <c r="C1661" t="s">
        <v>3638</v>
      </c>
      <c r="D1661" t="s">
        <v>489</v>
      </c>
      <c r="E1661">
        <v>730739170</v>
      </c>
      <c r="F1661">
        <v>504824101</v>
      </c>
      <c r="G1661">
        <v>374751561</v>
      </c>
      <c r="H1661">
        <v>279661541</v>
      </c>
      <c r="P1661">
        <v>329</v>
      </c>
      <c r="Q1661" t="s">
        <v>3639</v>
      </c>
    </row>
    <row r="1662" spans="1:17" x14ac:dyDescent="0.3">
      <c r="A1662" t="s">
        <v>75</v>
      </c>
      <c r="B1662" t="str">
        <f>"002491"</f>
        <v>002491</v>
      </c>
      <c r="C1662" t="s">
        <v>3640</v>
      </c>
      <c r="D1662" t="s">
        <v>549</v>
      </c>
      <c r="E1662">
        <v>729036834</v>
      </c>
      <c r="F1662">
        <v>655554809</v>
      </c>
      <c r="G1662">
        <v>639455729</v>
      </c>
      <c r="H1662">
        <v>802640657</v>
      </c>
      <c r="I1662">
        <v>864984344</v>
      </c>
      <c r="J1662">
        <v>814123659</v>
      </c>
      <c r="K1662">
        <v>786335439</v>
      </c>
      <c r="L1662">
        <v>553275145</v>
      </c>
      <c r="M1662">
        <v>520229862</v>
      </c>
      <c r="N1662">
        <v>441074216</v>
      </c>
      <c r="O1662">
        <v>319782938</v>
      </c>
      <c r="P1662">
        <v>214</v>
      </c>
      <c r="Q1662" t="s">
        <v>3641</v>
      </c>
    </row>
    <row r="1663" spans="1:17" x14ac:dyDescent="0.3">
      <c r="A1663" t="s">
        <v>75</v>
      </c>
      <c r="B1663" t="str">
        <f>"002327"</f>
        <v>002327</v>
      </c>
      <c r="C1663" t="s">
        <v>3642</v>
      </c>
      <c r="D1663" t="s">
        <v>2219</v>
      </c>
      <c r="E1663">
        <v>728670925</v>
      </c>
      <c r="F1663">
        <v>745314211</v>
      </c>
      <c r="G1663">
        <v>440790374</v>
      </c>
      <c r="H1663">
        <v>1070036731</v>
      </c>
      <c r="I1663">
        <v>752074473</v>
      </c>
      <c r="J1663">
        <v>647788754</v>
      </c>
      <c r="K1663">
        <v>588396375</v>
      </c>
      <c r="L1663">
        <v>526205237</v>
      </c>
      <c r="M1663">
        <v>527583229</v>
      </c>
      <c r="N1663">
        <v>502162839</v>
      </c>
      <c r="O1663">
        <v>482198929</v>
      </c>
      <c r="P1663">
        <v>1306</v>
      </c>
      <c r="Q1663" t="s">
        <v>3643</v>
      </c>
    </row>
    <row r="1664" spans="1:17" x14ac:dyDescent="0.3">
      <c r="A1664" t="s">
        <v>17</v>
      </c>
      <c r="B1664" t="str">
        <f>"603727"</f>
        <v>603727</v>
      </c>
      <c r="C1664" t="s">
        <v>3644</v>
      </c>
      <c r="D1664" t="s">
        <v>402</v>
      </c>
      <c r="E1664">
        <v>728100737</v>
      </c>
      <c r="F1664">
        <v>795570072</v>
      </c>
      <c r="G1664">
        <v>628823056</v>
      </c>
      <c r="H1664">
        <v>267636664</v>
      </c>
      <c r="I1664">
        <v>104400974</v>
      </c>
      <c r="J1664">
        <v>328828983</v>
      </c>
      <c r="K1664">
        <v>504402559</v>
      </c>
      <c r="P1664">
        <v>123</v>
      </c>
      <c r="Q1664" t="s">
        <v>3645</v>
      </c>
    </row>
    <row r="1665" spans="1:17" x14ac:dyDescent="0.3">
      <c r="A1665" t="s">
        <v>75</v>
      </c>
      <c r="B1665" t="str">
        <f>"002965"</f>
        <v>002965</v>
      </c>
      <c r="C1665" t="s">
        <v>3646</v>
      </c>
      <c r="D1665" t="s">
        <v>153</v>
      </c>
      <c r="E1665">
        <v>727979783</v>
      </c>
      <c r="F1665">
        <v>584398675</v>
      </c>
      <c r="G1665">
        <v>480266158</v>
      </c>
      <c r="H1665">
        <v>410641301</v>
      </c>
      <c r="P1665">
        <v>400</v>
      </c>
      <c r="Q1665" t="s">
        <v>3647</v>
      </c>
    </row>
    <row r="1666" spans="1:17" x14ac:dyDescent="0.3">
      <c r="A1666" t="s">
        <v>17</v>
      </c>
      <c r="B1666" t="str">
        <f>"603936"</f>
        <v>603936</v>
      </c>
      <c r="C1666" t="s">
        <v>3648</v>
      </c>
      <c r="D1666" t="s">
        <v>567</v>
      </c>
      <c r="E1666">
        <v>726528587</v>
      </c>
      <c r="F1666">
        <v>475241635</v>
      </c>
      <c r="G1666">
        <v>470416227</v>
      </c>
      <c r="H1666">
        <v>483642547</v>
      </c>
      <c r="I1666">
        <v>306486849</v>
      </c>
      <c r="J1666">
        <v>368590704</v>
      </c>
      <c r="K1666">
        <v>309091666</v>
      </c>
      <c r="P1666">
        <v>222</v>
      </c>
      <c r="Q1666" t="s">
        <v>3649</v>
      </c>
    </row>
    <row r="1667" spans="1:17" x14ac:dyDescent="0.3">
      <c r="A1667" t="s">
        <v>17</v>
      </c>
      <c r="B1667" t="str">
        <f>"600051"</f>
        <v>600051</v>
      </c>
      <c r="C1667" t="s">
        <v>3650</v>
      </c>
      <c r="D1667" t="s">
        <v>1284</v>
      </c>
      <c r="E1667">
        <v>726478478</v>
      </c>
      <c r="F1667">
        <v>626600511</v>
      </c>
      <c r="G1667">
        <v>1254656138</v>
      </c>
      <c r="H1667">
        <v>918543307</v>
      </c>
      <c r="I1667">
        <v>1054575103</v>
      </c>
      <c r="J1667">
        <v>1021506208</v>
      </c>
      <c r="K1667">
        <v>1148551170</v>
      </c>
      <c r="L1667">
        <v>1028498793</v>
      </c>
      <c r="M1667">
        <v>875869657</v>
      </c>
      <c r="N1667">
        <v>871324204</v>
      </c>
      <c r="O1667">
        <v>856593051</v>
      </c>
      <c r="P1667">
        <v>305</v>
      </c>
      <c r="Q1667" t="s">
        <v>3651</v>
      </c>
    </row>
    <row r="1668" spans="1:17" x14ac:dyDescent="0.3">
      <c r="A1668" t="s">
        <v>17</v>
      </c>
      <c r="B1668" t="str">
        <f>"600211"</f>
        <v>600211</v>
      </c>
      <c r="C1668" t="s">
        <v>3652</v>
      </c>
      <c r="D1668" t="s">
        <v>321</v>
      </c>
      <c r="E1668">
        <v>726329650</v>
      </c>
      <c r="F1668">
        <v>539039417</v>
      </c>
      <c r="G1668">
        <v>391731091</v>
      </c>
      <c r="H1668">
        <v>331077301</v>
      </c>
      <c r="I1668">
        <v>260249308</v>
      </c>
      <c r="J1668">
        <v>211997179</v>
      </c>
      <c r="K1668">
        <v>132230423</v>
      </c>
      <c r="L1668">
        <v>482562062</v>
      </c>
      <c r="M1668">
        <v>366003673</v>
      </c>
      <c r="N1668">
        <v>329343358</v>
      </c>
      <c r="O1668">
        <v>351851783</v>
      </c>
      <c r="P1668">
        <v>530</v>
      </c>
      <c r="Q1668" t="s">
        <v>3653</v>
      </c>
    </row>
    <row r="1669" spans="1:17" x14ac:dyDescent="0.3">
      <c r="A1669" t="s">
        <v>75</v>
      </c>
      <c r="B1669" t="str">
        <f>"000899"</f>
        <v>000899</v>
      </c>
      <c r="C1669" t="s">
        <v>3654</v>
      </c>
      <c r="D1669" t="s">
        <v>88</v>
      </c>
      <c r="E1669">
        <v>725838517</v>
      </c>
      <c r="F1669">
        <v>784245313</v>
      </c>
      <c r="G1669">
        <v>532119225</v>
      </c>
      <c r="H1669">
        <v>727766083</v>
      </c>
      <c r="I1669">
        <v>753057099</v>
      </c>
      <c r="J1669">
        <v>805763595</v>
      </c>
      <c r="K1669">
        <v>577680964</v>
      </c>
      <c r="L1669">
        <v>762577787</v>
      </c>
      <c r="M1669">
        <v>743263491</v>
      </c>
      <c r="N1669">
        <v>664032599</v>
      </c>
      <c r="O1669">
        <v>823473810</v>
      </c>
      <c r="P1669">
        <v>174</v>
      </c>
      <c r="Q1669" t="s">
        <v>3655</v>
      </c>
    </row>
    <row r="1670" spans="1:17" x14ac:dyDescent="0.3">
      <c r="A1670" t="s">
        <v>75</v>
      </c>
      <c r="B1670" t="str">
        <f>"300120"</f>
        <v>300120</v>
      </c>
      <c r="C1670" t="s">
        <v>3656</v>
      </c>
      <c r="D1670" t="s">
        <v>128</v>
      </c>
      <c r="E1670">
        <v>725808888</v>
      </c>
      <c r="F1670">
        <v>701697517</v>
      </c>
      <c r="G1670">
        <v>429119597</v>
      </c>
      <c r="H1670">
        <v>542273800</v>
      </c>
      <c r="I1670">
        <v>454300296</v>
      </c>
      <c r="J1670">
        <v>153523657</v>
      </c>
      <c r="K1670">
        <v>124170809</v>
      </c>
      <c r="L1670">
        <v>117585034</v>
      </c>
      <c r="M1670">
        <v>97949566</v>
      </c>
      <c r="N1670">
        <v>97268738</v>
      </c>
      <c r="O1670">
        <v>61919131</v>
      </c>
      <c r="P1670">
        <v>105</v>
      </c>
      <c r="Q1670" t="s">
        <v>3657</v>
      </c>
    </row>
    <row r="1671" spans="1:17" x14ac:dyDescent="0.3">
      <c r="A1671" t="s">
        <v>75</v>
      </c>
      <c r="B1671" t="str">
        <f>"300369"</f>
        <v>300369</v>
      </c>
      <c r="C1671" t="s">
        <v>3658</v>
      </c>
      <c r="D1671" t="s">
        <v>989</v>
      </c>
      <c r="E1671">
        <v>724113945</v>
      </c>
      <c r="F1671">
        <v>543967593</v>
      </c>
      <c r="G1671">
        <v>339794702</v>
      </c>
      <c r="H1671">
        <v>275493916</v>
      </c>
      <c r="I1671">
        <v>207704336</v>
      </c>
      <c r="J1671">
        <v>218090256</v>
      </c>
      <c r="K1671">
        <v>166204295</v>
      </c>
      <c r="L1671">
        <v>124081302</v>
      </c>
      <c r="M1671">
        <v>105228141</v>
      </c>
      <c r="N1671">
        <v>105486097</v>
      </c>
      <c r="P1671">
        <v>418</v>
      </c>
      <c r="Q1671" t="s">
        <v>3659</v>
      </c>
    </row>
    <row r="1672" spans="1:17" x14ac:dyDescent="0.3">
      <c r="A1672" t="s">
        <v>75</v>
      </c>
      <c r="B1672" t="str">
        <f>"002586"</f>
        <v>002586</v>
      </c>
      <c r="C1672" t="s">
        <v>3660</v>
      </c>
      <c r="D1672" t="s">
        <v>27</v>
      </c>
      <c r="E1672">
        <v>723998589</v>
      </c>
      <c r="F1672">
        <v>759808773</v>
      </c>
      <c r="G1672">
        <v>771301678</v>
      </c>
      <c r="H1672">
        <v>917581643</v>
      </c>
      <c r="I1672">
        <v>971677992</v>
      </c>
      <c r="J1672">
        <v>532477442</v>
      </c>
      <c r="K1672">
        <v>422328396</v>
      </c>
      <c r="L1672">
        <v>539292342</v>
      </c>
      <c r="M1672">
        <v>358678317</v>
      </c>
      <c r="N1672">
        <v>252346320</v>
      </c>
      <c r="O1672">
        <v>251772551</v>
      </c>
      <c r="P1672">
        <v>62</v>
      </c>
      <c r="Q1672" t="s">
        <v>3661</v>
      </c>
    </row>
    <row r="1673" spans="1:17" x14ac:dyDescent="0.3">
      <c r="A1673" t="s">
        <v>75</v>
      </c>
      <c r="B1673" t="str">
        <f>"300024"</f>
        <v>300024</v>
      </c>
      <c r="C1673" t="s">
        <v>3105</v>
      </c>
      <c r="D1673" t="s">
        <v>3105</v>
      </c>
      <c r="E1673">
        <v>723517341</v>
      </c>
      <c r="F1673">
        <v>523315327</v>
      </c>
      <c r="G1673">
        <v>550258435</v>
      </c>
      <c r="H1673">
        <v>617579600</v>
      </c>
      <c r="I1673">
        <v>463245718</v>
      </c>
      <c r="J1673">
        <v>351865624</v>
      </c>
      <c r="K1673">
        <v>334352401</v>
      </c>
      <c r="L1673">
        <v>237700391</v>
      </c>
      <c r="M1673">
        <v>235003308</v>
      </c>
      <c r="N1673">
        <v>166081474</v>
      </c>
      <c r="O1673">
        <v>163294989</v>
      </c>
      <c r="P1673">
        <v>547</v>
      </c>
      <c r="Q1673" t="s">
        <v>3662</v>
      </c>
    </row>
    <row r="1674" spans="1:17" x14ac:dyDescent="0.3">
      <c r="A1674" t="s">
        <v>75</v>
      </c>
      <c r="B1674" t="str">
        <f>"300319"</f>
        <v>300319</v>
      </c>
      <c r="C1674" t="s">
        <v>3663</v>
      </c>
      <c r="D1674" t="s">
        <v>2109</v>
      </c>
      <c r="E1674">
        <v>722618283</v>
      </c>
      <c r="F1674">
        <v>592439526</v>
      </c>
      <c r="G1674">
        <v>413488518</v>
      </c>
      <c r="H1674">
        <v>344721020</v>
      </c>
      <c r="I1674">
        <v>313698896</v>
      </c>
      <c r="J1674">
        <v>249464175</v>
      </c>
      <c r="K1674">
        <v>290781329</v>
      </c>
      <c r="L1674">
        <v>40806554</v>
      </c>
      <c r="M1674">
        <v>32169105</v>
      </c>
      <c r="N1674">
        <v>28939560</v>
      </c>
      <c r="O1674">
        <v>20304621</v>
      </c>
      <c r="P1674">
        <v>3161</v>
      </c>
      <c r="Q1674" t="s">
        <v>3664</v>
      </c>
    </row>
    <row r="1675" spans="1:17" x14ac:dyDescent="0.3">
      <c r="A1675" t="s">
        <v>75</v>
      </c>
      <c r="B1675" t="str">
        <f>"002219"</f>
        <v>002219</v>
      </c>
      <c r="C1675" t="s">
        <v>3665</v>
      </c>
      <c r="D1675" t="s">
        <v>1129</v>
      </c>
      <c r="E1675">
        <v>721856196</v>
      </c>
      <c r="F1675">
        <v>674090770</v>
      </c>
      <c r="G1675">
        <v>557215583</v>
      </c>
      <c r="H1675">
        <v>845637677</v>
      </c>
      <c r="I1675">
        <v>914404712</v>
      </c>
      <c r="J1675">
        <v>358477109</v>
      </c>
      <c r="K1675">
        <v>306111150</v>
      </c>
      <c r="L1675">
        <v>140869497</v>
      </c>
      <c r="M1675">
        <v>129388004</v>
      </c>
      <c r="N1675">
        <v>146612283</v>
      </c>
      <c r="O1675">
        <v>68976572</v>
      </c>
      <c r="P1675">
        <v>94</v>
      </c>
      <c r="Q1675" t="s">
        <v>3666</v>
      </c>
    </row>
    <row r="1676" spans="1:17" x14ac:dyDescent="0.3">
      <c r="A1676" t="s">
        <v>17</v>
      </c>
      <c r="B1676" t="str">
        <f>"603556"</f>
        <v>603556</v>
      </c>
      <c r="C1676" t="s">
        <v>3667</v>
      </c>
      <c r="D1676" t="s">
        <v>2251</v>
      </c>
      <c r="E1676">
        <v>720818673</v>
      </c>
      <c r="F1676">
        <v>654704998</v>
      </c>
      <c r="G1676">
        <v>528372692</v>
      </c>
      <c r="H1676">
        <v>650324502</v>
      </c>
      <c r="I1676">
        <v>633122204</v>
      </c>
      <c r="J1676">
        <v>622447082</v>
      </c>
      <c r="K1676">
        <v>515708780</v>
      </c>
      <c r="P1676">
        <v>218</v>
      </c>
      <c r="Q1676" t="s">
        <v>3668</v>
      </c>
    </row>
    <row r="1677" spans="1:17" x14ac:dyDescent="0.3">
      <c r="A1677" t="s">
        <v>17</v>
      </c>
      <c r="B1677" t="str">
        <f>"600313"</f>
        <v>600313</v>
      </c>
      <c r="C1677" t="s">
        <v>3669</v>
      </c>
      <c r="D1677" t="s">
        <v>3670</v>
      </c>
      <c r="E1677">
        <v>720610717</v>
      </c>
      <c r="F1677">
        <v>895889527</v>
      </c>
      <c r="G1677">
        <v>376385836</v>
      </c>
      <c r="H1677">
        <v>949865999</v>
      </c>
      <c r="I1677">
        <v>922615227</v>
      </c>
      <c r="J1677">
        <v>1079005389</v>
      </c>
      <c r="K1677">
        <v>1340950854</v>
      </c>
      <c r="L1677">
        <v>479052084</v>
      </c>
      <c r="M1677">
        <v>404136218</v>
      </c>
      <c r="N1677">
        <v>379678972</v>
      </c>
      <c r="O1677">
        <v>116620429</v>
      </c>
      <c r="P1677">
        <v>173</v>
      </c>
      <c r="Q1677" t="s">
        <v>3671</v>
      </c>
    </row>
    <row r="1678" spans="1:17" x14ac:dyDescent="0.3">
      <c r="A1678" t="s">
        <v>17</v>
      </c>
      <c r="B1678" t="str">
        <f>"600182"</f>
        <v>600182</v>
      </c>
      <c r="C1678" t="s">
        <v>3672</v>
      </c>
      <c r="D1678" t="s">
        <v>904</v>
      </c>
      <c r="E1678">
        <v>720427334</v>
      </c>
      <c r="F1678">
        <v>711929935</v>
      </c>
      <c r="G1678">
        <v>313458955</v>
      </c>
      <c r="H1678">
        <v>721441981</v>
      </c>
      <c r="I1678">
        <v>598530258</v>
      </c>
      <c r="J1678">
        <v>960298766</v>
      </c>
      <c r="K1678">
        <v>779138762</v>
      </c>
      <c r="L1678">
        <v>781407291</v>
      </c>
      <c r="M1678">
        <v>960071209</v>
      </c>
      <c r="N1678">
        <v>1125876095</v>
      </c>
      <c r="O1678">
        <v>1137474392</v>
      </c>
      <c r="P1678">
        <v>77</v>
      </c>
      <c r="Q1678" t="s">
        <v>3673</v>
      </c>
    </row>
    <row r="1679" spans="1:17" x14ac:dyDescent="0.3">
      <c r="A1679" t="s">
        <v>17</v>
      </c>
      <c r="B1679" t="str">
        <f>"603103"</f>
        <v>603103</v>
      </c>
      <c r="C1679" t="s">
        <v>3674</v>
      </c>
      <c r="D1679" t="s">
        <v>1155</v>
      </c>
      <c r="E1679">
        <v>719567783</v>
      </c>
      <c r="F1679">
        <v>892611173</v>
      </c>
      <c r="G1679">
        <v>196851333</v>
      </c>
      <c r="H1679">
        <v>947721768</v>
      </c>
      <c r="I1679">
        <v>1041719987</v>
      </c>
      <c r="J1679">
        <v>735594264</v>
      </c>
      <c r="P1679">
        <v>240</v>
      </c>
      <c r="Q1679" t="s">
        <v>3675</v>
      </c>
    </row>
    <row r="1680" spans="1:17" x14ac:dyDescent="0.3">
      <c r="A1680" t="s">
        <v>17</v>
      </c>
      <c r="B1680" t="str">
        <f>"603300"</f>
        <v>603300</v>
      </c>
      <c r="C1680" t="s">
        <v>3676</v>
      </c>
      <c r="D1680" t="s">
        <v>897</v>
      </c>
      <c r="E1680">
        <v>719275571</v>
      </c>
      <c r="F1680">
        <v>577441049</v>
      </c>
      <c r="G1680">
        <v>321757616</v>
      </c>
      <c r="H1680">
        <v>232712108</v>
      </c>
      <c r="I1680">
        <v>129577760</v>
      </c>
      <c r="J1680">
        <v>251666551</v>
      </c>
      <c r="K1680">
        <v>92936582</v>
      </c>
      <c r="L1680">
        <v>78354578</v>
      </c>
      <c r="M1680">
        <v>80918775</v>
      </c>
      <c r="P1680">
        <v>123</v>
      </c>
      <c r="Q1680" t="s">
        <v>3677</v>
      </c>
    </row>
    <row r="1681" spans="1:17" x14ac:dyDescent="0.3">
      <c r="A1681" t="s">
        <v>17</v>
      </c>
      <c r="B1681" t="str">
        <f>"600993"</f>
        <v>600993</v>
      </c>
      <c r="C1681" t="s">
        <v>3678</v>
      </c>
      <c r="D1681" t="s">
        <v>321</v>
      </c>
      <c r="E1681">
        <v>717978705</v>
      </c>
      <c r="F1681">
        <v>751530828</v>
      </c>
      <c r="G1681">
        <v>376611469</v>
      </c>
      <c r="H1681">
        <v>690224666</v>
      </c>
      <c r="I1681">
        <v>470785927</v>
      </c>
      <c r="J1681">
        <v>459402287</v>
      </c>
      <c r="K1681">
        <v>467628781</v>
      </c>
      <c r="L1681">
        <v>459655639</v>
      </c>
      <c r="M1681">
        <v>392760425</v>
      </c>
      <c r="N1681">
        <v>378074353</v>
      </c>
      <c r="O1681">
        <v>319193459</v>
      </c>
      <c r="P1681">
        <v>942</v>
      </c>
      <c r="Q1681" t="s">
        <v>3679</v>
      </c>
    </row>
    <row r="1682" spans="1:17" x14ac:dyDescent="0.3">
      <c r="A1682" t="s">
        <v>75</v>
      </c>
      <c r="B1682" t="str">
        <f>"002891"</f>
        <v>002891</v>
      </c>
      <c r="C1682" t="s">
        <v>3680</v>
      </c>
      <c r="D1682" t="s">
        <v>3681</v>
      </c>
      <c r="E1682">
        <v>717310984</v>
      </c>
      <c r="F1682">
        <v>499453754</v>
      </c>
      <c r="G1682">
        <v>438328432</v>
      </c>
      <c r="H1682">
        <v>337292362</v>
      </c>
      <c r="I1682">
        <v>243918127</v>
      </c>
      <c r="J1682">
        <v>212960067</v>
      </c>
      <c r="P1682">
        <v>649</v>
      </c>
      <c r="Q1682" t="s">
        <v>3682</v>
      </c>
    </row>
    <row r="1683" spans="1:17" x14ac:dyDescent="0.3">
      <c r="A1683" t="s">
        <v>75</v>
      </c>
      <c r="B1683" t="str">
        <f>"300729"</f>
        <v>300729</v>
      </c>
      <c r="C1683" t="s">
        <v>3683</v>
      </c>
      <c r="D1683" t="s">
        <v>1192</v>
      </c>
      <c r="E1683">
        <v>715673330</v>
      </c>
      <c r="F1683">
        <v>645231587</v>
      </c>
      <c r="G1683">
        <v>225423950</v>
      </c>
      <c r="H1683">
        <v>221996078</v>
      </c>
      <c r="I1683">
        <v>200627092</v>
      </c>
      <c r="J1683">
        <v>148483634</v>
      </c>
      <c r="P1683">
        <v>219</v>
      </c>
      <c r="Q1683" t="s">
        <v>3684</v>
      </c>
    </row>
    <row r="1684" spans="1:17" x14ac:dyDescent="0.3">
      <c r="A1684" t="s">
        <v>17</v>
      </c>
      <c r="B1684" t="str">
        <f>"605555"</f>
        <v>605555</v>
      </c>
      <c r="C1684" t="s">
        <v>3685</v>
      </c>
      <c r="D1684" t="s">
        <v>1138</v>
      </c>
      <c r="E1684">
        <v>715042545</v>
      </c>
      <c r="P1684">
        <v>34</v>
      </c>
      <c r="Q1684" t="s">
        <v>3686</v>
      </c>
    </row>
    <row r="1685" spans="1:17" x14ac:dyDescent="0.3">
      <c r="A1685" t="s">
        <v>75</v>
      </c>
      <c r="B1685" t="str">
        <f>"002132"</f>
        <v>002132</v>
      </c>
      <c r="C1685" t="s">
        <v>3687</v>
      </c>
      <c r="D1685" t="s">
        <v>153</v>
      </c>
      <c r="E1685">
        <v>714246534</v>
      </c>
      <c r="F1685">
        <v>541140117</v>
      </c>
      <c r="G1685">
        <v>365761106</v>
      </c>
      <c r="H1685">
        <v>523520741</v>
      </c>
      <c r="I1685">
        <v>585154147</v>
      </c>
      <c r="J1685">
        <v>725244356</v>
      </c>
      <c r="K1685">
        <v>526869321</v>
      </c>
      <c r="L1685">
        <v>471962908</v>
      </c>
      <c r="M1685">
        <v>416831500</v>
      </c>
      <c r="N1685">
        <v>427716182</v>
      </c>
      <c r="O1685">
        <v>442827082</v>
      </c>
      <c r="P1685">
        <v>127</v>
      </c>
      <c r="Q1685" t="s">
        <v>3688</v>
      </c>
    </row>
    <row r="1686" spans="1:17" x14ac:dyDescent="0.3">
      <c r="A1686" t="s">
        <v>75</v>
      </c>
      <c r="B1686" t="str">
        <f>"002014"</f>
        <v>002014</v>
      </c>
      <c r="C1686" t="s">
        <v>3689</v>
      </c>
      <c r="D1686" t="s">
        <v>1603</v>
      </c>
      <c r="E1686">
        <v>713780777</v>
      </c>
      <c r="F1686">
        <v>620791267</v>
      </c>
      <c r="G1686">
        <v>542622077</v>
      </c>
      <c r="H1686">
        <v>606077865</v>
      </c>
      <c r="I1686">
        <v>537096258</v>
      </c>
      <c r="J1686">
        <v>458219772</v>
      </c>
      <c r="K1686">
        <v>435371301</v>
      </c>
      <c r="L1686">
        <v>387870661</v>
      </c>
      <c r="M1686">
        <v>387080869</v>
      </c>
      <c r="N1686">
        <v>331190238</v>
      </c>
      <c r="O1686">
        <v>300635352</v>
      </c>
      <c r="P1686">
        <v>467</v>
      </c>
      <c r="Q1686" t="s">
        <v>3690</v>
      </c>
    </row>
    <row r="1687" spans="1:17" x14ac:dyDescent="0.3">
      <c r="A1687" t="s">
        <v>17</v>
      </c>
      <c r="B1687" t="str">
        <f>"603219"</f>
        <v>603219</v>
      </c>
      <c r="C1687" t="s">
        <v>3691</v>
      </c>
      <c r="D1687" t="s">
        <v>1138</v>
      </c>
      <c r="E1687">
        <v>713255232</v>
      </c>
      <c r="P1687">
        <v>23</v>
      </c>
      <c r="Q1687" t="s">
        <v>3692</v>
      </c>
    </row>
    <row r="1688" spans="1:17" x14ac:dyDescent="0.3">
      <c r="A1688" t="s">
        <v>75</v>
      </c>
      <c r="B1688" t="str">
        <f>"300660"</f>
        <v>300660</v>
      </c>
      <c r="C1688" t="s">
        <v>3693</v>
      </c>
      <c r="D1688" t="s">
        <v>1487</v>
      </c>
      <c r="E1688">
        <v>713148294</v>
      </c>
      <c r="F1688">
        <v>768305360</v>
      </c>
      <c r="G1688">
        <v>667615698</v>
      </c>
      <c r="H1688">
        <v>604873061</v>
      </c>
      <c r="I1688">
        <v>474552143</v>
      </c>
      <c r="J1688">
        <v>402322642</v>
      </c>
      <c r="K1688">
        <v>369408191</v>
      </c>
      <c r="P1688">
        <v>108</v>
      </c>
      <c r="Q1688" t="s">
        <v>3694</v>
      </c>
    </row>
    <row r="1689" spans="1:17" x14ac:dyDescent="0.3">
      <c r="A1689" t="s">
        <v>17</v>
      </c>
      <c r="B1689" t="str">
        <f>"603367"</f>
        <v>603367</v>
      </c>
      <c r="C1689" t="s">
        <v>3695</v>
      </c>
      <c r="D1689" t="s">
        <v>543</v>
      </c>
      <c r="E1689">
        <v>712736374</v>
      </c>
      <c r="F1689">
        <v>722375908</v>
      </c>
      <c r="G1689">
        <v>619748612</v>
      </c>
      <c r="H1689">
        <v>760697985</v>
      </c>
      <c r="I1689">
        <v>714118890</v>
      </c>
      <c r="J1689">
        <v>425576503</v>
      </c>
      <c r="P1689">
        <v>245</v>
      </c>
      <c r="Q1689" t="s">
        <v>3696</v>
      </c>
    </row>
    <row r="1690" spans="1:17" x14ac:dyDescent="0.3">
      <c r="A1690" t="s">
        <v>75</v>
      </c>
      <c r="B1690" t="str">
        <f>"300031"</f>
        <v>300031</v>
      </c>
      <c r="C1690" t="s">
        <v>3697</v>
      </c>
      <c r="D1690" t="s">
        <v>1165</v>
      </c>
      <c r="E1690">
        <v>711072369</v>
      </c>
      <c r="F1690">
        <v>661450092</v>
      </c>
      <c r="G1690">
        <v>550005181</v>
      </c>
      <c r="H1690">
        <v>552916100</v>
      </c>
      <c r="I1690">
        <v>349091267</v>
      </c>
      <c r="J1690">
        <v>318062549</v>
      </c>
      <c r="K1690">
        <v>197669203</v>
      </c>
      <c r="L1690">
        <v>147304986</v>
      </c>
      <c r="M1690">
        <v>112198717</v>
      </c>
      <c r="N1690">
        <v>74936301</v>
      </c>
      <c r="O1690">
        <v>58599371</v>
      </c>
      <c r="P1690">
        <v>259</v>
      </c>
      <c r="Q1690" t="s">
        <v>3698</v>
      </c>
    </row>
    <row r="1691" spans="1:17" x14ac:dyDescent="0.3">
      <c r="A1691" t="s">
        <v>17</v>
      </c>
      <c r="B1691" t="str">
        <f>"603619"</f>
        <v>603619</v>
      </c>
      <c r="C1691" t="s">
        <v>3699</v>
      </c>
      <c r="D1691" t="s">
        <v>462</v>
      </c>
      <c r="E1691">
        <v>710570627</v>
      </c>
      <c r="F1691">
        <v>378553068</v>
      </c>
      <c r="G1691">
        <v>728445313</v>
      </c>
      <c r="H1691">
        <v>352088988</v>
      </c>
      <c r="I1691">
        <v>443675016</v>
      </c>
      <c r="J1691">
        <v>0</v>
      </c>
      <c r="K1691">
        <v>0</v>
      </c>
      <c r="P1691">
        <v>74</v>
      </c>
      <c r="Q1691" t="s">
        <v>3700</v>
      </c>
    </row>
    <row r="1692" spans="1:17" x14ac:dyDescent="0.3">
      <c r="A1692" t="s">
        <v>75</v>
      </c>
      <c r="B1692" t="str">
        <f>"002240"</f>
        <v>002240</v>
      </c>
      <c r="C1692" t="s">
        <v>3701</v>
      </c>
      <c r="D1692" t="s">
        <v>876</v>
      </c>
      <c r="E1692">
        <v>710058439</v>
      </c>
      <c r="F1692">
        <v>184151530</v>
      </c>
      <c r="G1692">
        <v>208945564</v>
      </c>
      <c r="H1692">
        <v>532894409</v>
      </c>
      <c r="I1692">
        <v>510197991</v>
      </c>
      <c r="J1692">
        <v>327599747</v>
      </c>
      <c r="K1692">
        <v>259391466</v>
      </c>
      <c r="L1692">
        <v>285403706</v>
      </c>
      <c r="M1692">
        <v>344618307</v>
      </c>
      <c r="N1692">
        <v>388518762</v>
      </c>
      <c r="O1692">
        <v>435577736</v>
      </c>
      <c r="P1692">
        <v>389</v>
      </c>
      <c r="Q1692" t="s">
        <v>3702</v>
      </c>
    </row>
    <row r="1693" spans="1:17" x14ac:dyDescent="0.3">
      <c r="A1693" t="s">
        <v>75</v>
      </c>
      <c r="B1693" t="str">
        <f>"002286"</f>
        <v>002286</v>
      </c>
      <c r="C1693" t="s">
        <v>3703</v>
      </c>
      <c r="D1693" t="s">
        <v>831</v>
      </c>
      <c r="E1693">
        <v>709982575</v>
      </c>
      <c r="F1693">
        <v>598884456</v>
      </c>
      <c r="G1693">
        <v>437288562</v>
      </c>
      <c r="H1693">
        <v>423833155</v>
      </c>
      <c r="I1693">
        <v>445173069</v>
      </c>
      <c r="J1693">
        <v>390968007</v>
      </c>
      <c r="K1693">
        <v>290786253</v>
      </c>
      <c r="L1693">
        <v>298829250</v>
      </c>
      <c r="M1693">
        <v>258010094</v>
      </c>
      <c r="N1693">
        <v>254944090</v>
      </c>
      <c r="O1693">
        <v>261900302</v>
      </c>
      <c r="P1693">
        <v>179</v>
      </c>
      <c r="Q1693" t="s">
        <v>3704</v>
      </c>
    </row>
    <row r="1694" spans="1:17" x14ac:dyDescent="0.3">
      <c r="A1694" t="s">
        <v>75</v>
      </c>
      <c r="B1694" t="str">
        <f>"002521"</f>
        <v>002521</v>
      </c>
      <c r="C1694" t="s">
        <v>3705</v>
      </c>
      <c r="D1694" t="s">
        <v>2183</v>
      </c>
      <c r="E1694">
        <v>709281301</v>
      </c>
      <c r="F1694">
        <v>790398537</v>
      </c>
      <c r="G1694">
        <v>610587520</v>
      </c>
      <c r="H1694">
        <v>515509942</v>
      </c>
      <c r="I1694">
        <v>857711948</v>
      </c>
      <c r="J1694">
        <v>1182283415</v>
      </c>
      <c r="K1694">
        <v>795820674</v>
      </c>
      <c r="L1694">
        <v>704393671</v>
      </c>
      <c r="M1694">
        <v>609115585</v>
      </c>
      <c r="N1694">
        <v>596544823</v>
      </c>
      <c r="O1694">
        <v>434514615</v>
      </c>
      <c r="P1694">
        <v>132</v>
      </c>
      <c r="Q1694" t="s">
        <v>3706</v>
      </c>
    </row>
    <row r="1695" spans="1:17" x14ac:dyDescent="0.3">
      <c r="A1695" t="s">
        <v>75</v>
      </c>
      <c r="B1695" t="str">
        <f>"300252"</f>
        <v>300252</v>
      </c>
      <c r="C1695" t="s">
        <v>3707</v>
      </c>
      <c r="D1695" t="s">
        <v>1572</v>
      </c>
      <c r="E1695">
        <v>709057210</v>
      </c>
      <c r="F1695">
        <v>646788325</v>
      </c>
      <c r="G1695">
        <v>409003640</v>
      </c>
      <c r="H1695">
        <v>571931740</v>
      </c>
      <c r="I1695">
        <v>470702775</v>
      </c>
      <c r="J1695">
        <v>386637639</v>
      </c>
      <c r="K1695">
        <v>349493109</v>
      </c>
      <c r="L1695">
        <v>282964452</v>
      </c>
      <c r="M1695">
        <v>273194852</v>
      </c>
      <c r="N1695">
        <v>103518895</v>
      </c>
      <c r="O1695">
        <v>138136822</v>
      </c>
      <c r="P1695">
        <v>217</v>
      </c>
      <c r="Q1695" t="s">
        <v>3708</v>
      </c>
    </row>
    <row r="1696" spans="1:17" x14ac:dyDescent="0.3">
      <c r="A1696" t="s">
        <v>17</v>
      </c>
      <c r="B1696" t="str">
        <f>"600611"</f>
        <v>600611</v>
      </c>
      <c r="C1696" t="s">
        <v>3709</v>
      </c>
      <c r="D1696" t="s">
        <v>1195</v>
      </c>
      <c r="E1696">
        <v>709052019</v>
      </c>
      <c r="F1696">
        <v>1064350536</v>
      </c>
      <c r="G1696">
        <v>657262840</v>
      </c>
      <c r="H1696">
        <v>755505434</v>
      </c>
      <c r="I1696">
        <v>851900431</v>
      </c>
      <c r="J1696">
        <v>559539768</v>
      </c>
      <c r="K1696">
        <v>753106615</v>
      </c>
      <c r="L1696">
        <v>796617880</v>
      </c>
      <c r="M1696">
        <v>826363454</v>
      </c>
      <c r="N1696">
        <v>737762211</v>
      </c>
      <c r="O1696">
        <v>681071596</v>
      </c>
      <c r="P1696">
        <v>243</v>
      </c>
      <c r="Q1696" t="s">
        <v>3710</v>
      </c>
    </row>
    <row r="1697" spans="1:17" x14ac:dyDescent="0.3">
      <c r="A1697" t="s">
        <v>75</v>
      </c>
      <c r="B1697" t="str">
        <f>"000821"</f>
        <v>000821</v>
      </c>
      <c r="C1697" t="s">
        <v>3711</v>
      </c>
      <c r="D1697" t="s">
        <v>3158</v>
      </c>
      <c r="E1697">
        <v>708308038</v>
      </c>
      <c r="F1697">
        <v>713545555</v>
      </c>
      <c r="G1697">
        <v>363969155</v>
      </c>
      <c r="H1697">
        <v>307577124</v>
      </c>
      <c r="I1697">
        <v>419197212</v>
      </c>
      <c r="J1697">
        <v>332160651</v>
      </c>
      <c r="K1697">
        <v>260952383</v>
      </c>
      <c r="L1697">
        <v>201121478</v>
      </c>
      <c r="M1697">
        <v>222212054</v>
      </c>
      <c r="N1697">
        <v>146685136</v>
      </c>
      <c r="O1697">
        <v>144903728</v>
      </c>
      <c r="P1697">
        <v>166</v>
      </c>
      <c r="Q1697" t="s">
        <v>3712</v>
      </c>
    </row>
    <row r="1698" spans="1:17" x14ac:dyDescent="0.3">
      <c r="A1698" t="s">
        <v>17</v>
      </c>
      <c r="B1698" t="str">
        <f>"603489"</f>
        <v>603489</v>
      </c>
      <c r="C1698" t="s">
        <v>3713</v>
      </c>
      <c r="D1698" t="s">
        <v>1487</v>
      </c>
      <c r="E1698">
        <v>707910894</v>
      </c>
      <c r="F1698">
        <v>443533971</v>
      </c>
      <c r="G1698">
        <v>249916705</v>
      </c>
      <c r="H1698">
        <v>297182075</v>
      </c>
      <c r="P1698">
        <v>490</v>
      </c>
      <c r="Q1698" t="s">
        <v>3714</v>
      </c>
    </row>
    <row r="1699" spans="1:17" x14ac:dyDescent="0.3">
      <c r="A1699" t="s">
        <v>75</v>
      </c>
      <c r="B1699" t="str">
        <f>"002111"</f>
        <v>002111</v>
      </c>
      <c r="C1699" t="s">
        <v>3715</v>
      </c>
      <c r="D1699" t="s">
        <v>1624</v>
      </c>
      <c r="E1699">
        <v>707715678</v>
      </c>
      <c r="F1699">
        <v>468352425</v>
      </c>
      <c r="G1699">
        <v>336066572</v>
      </c>
      <c r="H1699">
        <v>414580636</v>
      </c>
      <c r="I1699">
        <v>395651204</v>
      </c>
      <c r="J1699">
        <v>391712356</v>
      </c>
      <c r="K1699">
        <v>382056564</v>
      </c>
      <c r="L1699">
        <v>283616828</v>
      </c>
      <c r="M1699">
        <v>215456893</v>
      </c>
      <c r="N1699">
        <v>199026624</v>
      </c>
      <c r="O1699">
        <v>151810571</v>
      </c>
      <c r="P1699">
        <v>214</v>
      </c>
      <c r="Q1699" t="s">
        <v>3716</v>
      </c>
    </row>
    <row r="1700" spans="1:17" x14ac:dyDescent="0.3">
      <c r="A1700" t="s">
        <v>17</v>
      </c>
      <c r="B1700" t="str">
        <f>"600114"</f>
        <v>600114</v>
      </c>
      <c r="C1700" t="s">
        <v>3717</v>
      </c>
      <c r="D1700" t="s">
        <v>153</v>
      </c>
      <c r="E1700">
        <v>707598344</v>
      </c>
      <c r="F1700">
        <v>770763797</v>
      </c>
      <c r="G1700">
        <v>481466176</v>
      </c>
      <c r="H1700">
        <v>367245419</v>
      </c>
      <c r="I1700">
        <v>361214370</v>
      </c>
      <c r="J1700">
        <v>332607104</v>
      </c>
      <c r="K1700">
        <v>329483550</v>
      </c>
      <c r="L1700">
        <v>295586637</v>
      </c>
      <c r="M1700">
        <v>258062815</v>
      </c>
      <c r="N1700">
        <v>234639997</v>
      </c>
      <c r="O1700">
        <v>217019129</v>
      </c>
      <c r="P1700">
        <v>302</v>
      </c>
      <c r="Q1700" t="s">
        <v>3718</v>
      </c>
    </row>
    <row r="1701" spans="1:17" x14ac:dyDescent="0.3">
      <c r="A1701" t="s">
        <v>75</v>
      </c>
      <c r="B1701" t="str">
        <f>"000715"</f>
        <v>000715</v>
      </c>
      <c r="C1701" t="s">
        <v>3719</v>
      </c>
      <c r="D1701" t="s">
        <v>582</v>
      </c>
      <c r="E1701">
        <v>706621982</v>
      </c>
      <c r="F1701">
        <v>748779471</v>
      </c>
      <c r="G1701">
        <v>588549883</v>
      </c>
      <c r="H1701">
        <v>836914481</v>
      </c>
      <c r="I1701">
        <v>799468437</v>
      </c>
      <c r="J1701">
        <v>759987446</v>
      </c>
      <c r="K1701">
        <v>779634946</v>
      </c>
      <c r="L1701">
        <v>946791247</v>
      </c>
      <c r="M1701">
        <v>989508596</v>
      </c>
      <c r="N1701">
        <v>1244952875</v>
      </c>
      <c r="O1701">
        <v>1176819999</v>
      </c>
      <c r="P1701">
        <v>103</v>
      </c>
      <c r="Q1701" t="s">
        <v>3720</v>
      </c>
    </row>
    <row r="1702" spans="1:17" x14ac:dyDescent="0.3">
      <c r="A1702" t="s">
        <v>75</v>
      </c>
      <c r="B1702" t="str">
        <f>"000601"</f>
        <v>000601</v>
      </c>
      <c r="C1702" t="s">
        <v>3721</v>
      </c>
      <c r="D1702" t="s">
        <v>528</v>
      </c>
      <c r="E1702">
        <v>706538030</v>
      </c>
      <c r="F1702">
        <v>963693575</v>
      </c>
      <c r="G1702">
        <v>851341716</v>
      </c>
      <c r="H1702">
        <v>703844734</v>
      </c>
      <c r="I1702">
        <v>741744524</v>
      </c>
      <c r="J1702">
        <v>840889054</v>
      </c>
      <c r="K1702">
        <v>788765963</v>
      </c>
      <c r="L1702">
        <v>723451215</v>
      </c>
      <c r="M1702">
        <v>622724289</v>
      </c>
      <c r="N1702">
        <v>583790713</v>
      </c>
      <c r="O1702">
        <v>485705459</v>
      </c>
      <c r="P1702">
        <v>215</v>
      </c>
      <c r="Q1702" t="s">
        <v>3722</v>
      </c>
    </row>
    <row r="1703" spans="1:17" x14ac:dyDescent="0.3">
      <c r="A1703" t="s">
        <v>75</v>
      </c>
      <c r="B1703" t="str">
        <f>"002953"</f>
        <v>002953</v>
      </c>
      <c r="C1703" t="s">
        <v>3723</v>
      </c>
      <c r="D1703" t="s">
        <v>562</v>
      </c>
      <c r="E1703">
        <v>704222843</v>
      </c>
      <c r="F1703">
        <v>498364198</v>
      </c>
      <c r="G1703">
        <v>231258736</v>
      </c>
      <c r="H1703">
        <v>279069791</v>
      </c>
      <c r="I1703">
        <v>269131054</v>
      </c>
      <c r="P1703">
        <v>99</v>
      </c>
      <c r="Q1703" t="s">
        <v>3724</v>
      </c>
    </row>
    <row r="1704" spans="1:17" x14ac:dyDescent="0.3">
      <c r="A1704" t="s">
        <v>17</v>
      </c>
      <c r="B1704" t="str">
        <f>"603045"</f>
        <v>603045</v>
      </c>
      <c r="C1704" t="s">
        <v>3725</v>
      </c>
      <c r="D1704" t="s">
        <v>1526</v>
      </c>
      <c r="E1704">
        <v>703977004</v>
      </c>
      <c r="F1704">
        <v>620970935</v>
      </c>
      <c r="G1704">
        <v>292441930</v>
      </c>
      <c r="H1704">
        <v>230019721</v>
      </c>
      <c r="I1704">
        <v>230244789</v>
      </c>
      <c r="J1704">
        <v>234441900</v>
      </c>
      <c r="P1704">
        <v>54</v>
      </c>
      <c r="Q1704" t="s">
        <v>3726</v>
      </c>
    </row>
    <row r="1705" spans="1:17" x14ac:dyDescent="0.3">
      <c r="A1705" t="s">
        <v>75</v>
      </c>
      <c r="B1705" t="str">
        <f>"300219"</f>
        <v>300219</v>
      </c>
      <c r="C1705" t="s">
        <v>3727</v>
      </c>
      <c r="D1705" t="s">
        <v>1044</v>
      </c>
      <c r="E1705">
        <v>703827539</v>
      </c>
      <c r="F1705">
        <v>646900533</v>
      </c>
      <c r="G1705">
        <v>674175621</v>
      </c>
      <c r="H1705">
        <v>744532988</v>
      </c>
      <c r="I1705">
        <v>829234189</v>
      </c>
      <c r="J1705">
        <v>614943042</v>
      </c>
      <c r="K1705">
        <v>354359029</v>
      </c>
      <c r="L1705">
        <v>292298289</v>
      </c>
      <c r="M1705">
        <v>164493961</v>
      </c>
      <c r="N1705">
        <v>140734965</v>
      </c>
      <c r="O1705">
        <v>117072356</v>
      </c>
      <c r="P1705">
        <v>135</v>
      </c>
      <c r="Q1705" t="s">
        <v>3728</v>
      </c>
    </row>
    <row r="1706" spans="1:17" x14ac:dyDescent="0.3">
      <c r="A1706" t="s">
        <v>75</v>
      </c>
      <c r="B1706" t="str">
        <f>"001218"</f>
        <v>001218</v>
      </c>
      <c r="C1706" t="s">
        <v>3729</v>
      </c>
      <c r="D1706" t="s">
        <v>292</v>
      </c>
      <c r="E1706">
        <v>703802573</v>
      </c>
      <c r="F1706">
        <v>588507986</v>
      </c>
      <c r="P1706">
        <v>15</v>
      </c>
      <c r="Q1706" t="s">
        <v>3730</v>
      </c>
    </row>
    <row r="1707" spans="1:17" x14ac:dyDescent="0.3">
      <c r="A1707" t="s">
        <v>17</v>
      </c>
      <c r="B1707" t="str">
        <f>"600843"</f>
        <v>600843</v>
      </c>
      <c r="C1707" t="s">
        <v>3731</v>
      </c>
      <c r="D1707" t="s">
        <v>2265</v>
      </c>
      <c r="E1707">
        <v>703711631</v>
      </c>
      <c r="F1707">
        <v>784228794</v>
      </c>
      <c r="G1707">
        <v>712109076</v>
      </c>
      <c r="H1707">
        <v>802423494</v>
      </c>
      <c r="I1707">
        <v>720424568</v>
      </c>
      <c r="J1707">
        <v>732005285</v>
      </c>
      <c r="K1707">
        <v>656876447</v>
      </c>
      <c r="L1707">
        <v>521370960</v>
      </c>
      <c r="M1707">
        <v>463083130</v>
      </c>
      <c r="N1707">
        <v>384555277</v>
      </c>
      <c r="O1707">
        <v>425299094</v>
      </c>
      <c r="P1707">
        <v>78</v>
      </c>
      <c r="Q1707" t="s">
        <v>3732</v>
      </c>
    </row>
    <row r="1708" spans="1:17" x14ac:dyDescent="0.3">
      <c r="A1708" t="s">
        <v>17</v>
      </c>
      <c r="B1708" t="str">
        <f>"603317"</f>
        <v>603317</v>
      </c>
      <c r="C1708" t="s">
        <v>3733</v>
      </c>
      <c r="D1708" t="s">
        <v>774</v>
      </c>
      <c r="E1708">
        <v>703642820</v>
      </c>
      <c r="F1708">
        <v>620623574</v>
      </c>
      <c r="G1708">
        <v>468157113</v>
      </c>
      <c r="H1708">
        <v>358630805</v>
      </c>
      <c r="I1708">
        <v>271076869</v>
      </c>
      <c r="P1708">
        <v>1436</v>
      </c>
      <c r="Q1708" t="s">
        <v>3734</v>
      </c>
    </row>
    <row r="1709" spans="1:17" x14ac:dyDescent="0.3">
      <c r="A1709" t="s">
        <v>17</v>
      </c>
      <c r="B1709" t="str">
        <f>"600239"</f>
        <v>600239</v>
      </c>
      <c r="C1709" t="s">
        <v>3735</v>
      </c>
      <c r="D1709" t="s">
        <v>65</v>
      </c>
      <c r="E1709">
        <v>703587561</v>
      </c>
      <c r="F1709">
        <v>921885347</v>
      </c>
      <c r="G1709">
        <v>847490954</v>
      </c>
      <c r="H1709">
        <v>1538019103</v>
      </c>
      <c r="I1709">
        <v>1972361473</v>
      </c>
      <c r="J1709">
        <v>1712516556</v>
      </c>
      <c r="K1709">
        <v>835258972</v>
      </c>
      <c r="L1709">
        <v>1093162620</v>
      </c>
      <c r="M1709">
        <v>377410307</v>
      </c>
      <c r="N1709">
        <v>2313457331</v>
      </c>
      <c r="O1709">
        <v>77373254</v>
      </c>
      <c r="P1709">
        <v>128</v>
      </c>
      <c r="Q1709" t="s">
        <v>3736</v>
      </c>
    </row>
    <row r="1710" spans="1:17" x14ac:dyDescent="0.3">
      <c r="A1710" t="s">
        <v>17</v>
      </c>
      <c r="B1710" t="str">
        <f>"600976"</f>
        <v>600976</v>
      </c>
      <c r="C1710" t="s">
        <v>3737</v>
      </c>
      <c r="D1710" t="s">
        <v>321</v>
      </c>
      <c r="E1710">
        <v>703495803</v>
      </c>
      <c r="F1710">
        <v>684257838</v>
      </c>
      <c r="G1710">
        <v>432840758</v>
      </c>
      <c r="H1710">
        <v>569224363</v>
      </c>
      <c r="I1710">
        <v>501276926</v>
      </c>
      <c r="J1710">
        <v>524370931</v>
      </c>
      <c r="K1710">
        <v>630093290</v>
      </c>
      <c r="L1710">
        <v>465052340</v>
      </c>
      <c r="M1710">
        <v>380523731</v>
      </c>
      <c r="N1710">
        <v>349640911</v>
      </c>
      <c r="O1710">
        <v>254912790</v>
      </c>
      <c r="P1710">
        <v>249</v>
      </c>
      <c r="Q1710" t="s">
        <v>3738</v>
      </c>
    </row>
    <row r="1711" spans="1:17" x14ac:dyDescent="0.3">
      <c r="A1711" t="s">
        <v>17</v>
      </c>
      <c r="B1711" t="str">
        <f>"603929"</f>
        <v>603929</v>
      </c>
      <c r="C1711" t="s">
        <v>3739</v>
      </c>
      <c r="D1711" t="s">
        <v>52</v>
      </c>
      <c r="E1711">
        <v>702687287</v>
      </c>
      <c r="F1711">
        <v>425941731</v>
      </c>
      <c r="G1711">
        <v>255930035</v>
      </c>
      <c r="H1711">
        <v>464052323</v>
      </c>
      <c r="I1711">
        <v>720981358</v>
      </c>
      <c r="J1711">
        <v>293870480</v>
      </c>
      <c r="K1711">
        <v>873121387</v>
      </c>
      <c r="P1711">
        <v>109</v>
      </c>
      <c r="Q1711" t="s">
        <v>3740</v>
      </c>
    </row>
    <row r="1712" spans="1:17" x14ac:dyDescent="0.3">
      <c r="A1712" t="s">
        <v>75</v>
      </c>
      <c r="B1712" t="str">
        <f>"000985"</f>
        <v>000985</v>
      </c>
      <c r="C1712" t="s">
        <v>3741</v>
      </c>
      <c r="D1712" t="s">
        <v>422</v>
      </c>
      <c r="E1712">
        <v>701519168</v>
      </c>
      <c r="F1712">
        <v>522070849</v>
      </c>
      <c r="G1712">
        <v>473718329</v>
      </c>
      <c r="H1712">
        <v>612883926</v>
      </c>
      <c r="I1712">
        <v>533854893</v>
      </c>
      <c r="J1712">
        <v>393899086</v>
      </c>
      <c r="K1712">
        <v>183407360</v>
      </c>
      <c r="L1712">
        <v>289043004</v>
      </c>
      <c r="M1712">
        <v>395570509</v>
      </c>
      <c r="N1712">
        <v>224684521</v>
      </c>
      <c r="O1712">
        <v>282544724</v>
      </c>
      <c r="P1712">
        <v>82</v>
      </c>
      <c r="Q1712" t="s">
        <v>3742</v>
      </c>
    </row>
    <row r="1713" spans="1:17" x14ac:dyDescent="0.3">
      <c r="A1713" t="s">
        <v>17</v>
      </c>
      <c r="B1713" t="str">
        <f>"688798"</f>
        <v>688798</v>
      </c>
      <c r="C1713" t="s">
        <v>3743</v>
      </c>
      <c r="D1713" t="s">
        <v>2580</v>
      </c>
      <c r="E1713">
        <v>700814118</v>
      </c>
      <c r="F1713">
        <v>576894367</v>
      </c>
      <c r="G1713">
        <v>283414083</v>
      </c>
      <c r="P1713">
        <v>67</v>
      </c>
      <c r="Q1713" t="s">
        <v>3744</v>
      </c>
    </row>
    <row r="1714" spans="1:17" x14ac:dyDescent="0.3">
      <c r="A1714" t="s">
        <v>75</v>
      </c>
      <c r="B1714" t="str">
        <f>"002292"</f>
        <v>002292</v>
      </c>
      <c r="C1714" t="s">
        <v>3745</v>
      </c>
      <c r="D1714" t="s">
        <v>2532</v>
      </c>
      <c r="E1714">
        <v>700283366</v>
      </c>
      <c r="F1714">
        <v>693743545</v>
      </c>
      <c r="G1714">
        <v>607404975</v>
      </c>
      <c r="H1714">
        <v>796019743</v>
      </c>
      <c r="I1714">
        <v>841613711</v>
      </c>
      <c r="J1714">
        <v>1001011407</v>
      </c>
      <c r="K1714">
        <v>762174093</v>
      </c>
      <c r="L1714">
        <v>589061118</v>
      </c>
      <c r="M1714">
        <v>446675527</v>
      </c>
      <c r="N1714">
        <v>376806011</v>
      </c>
      <c r="O1714">
        <v>191820181</v>
      </c>
      <c r="P1714">
        <v>291</v>
      </c>
      <c r="Q1714" t="s">
        <v>3746</v>
      </c>
    </row>
    <row r="1715" spans="1:17" x14ac:dyDescent="0.3">
      <c r="A1715" t="s">
        <v>75</v>
      </c>
      <c r="B1715" t="str">
        <f>"300180"</f>
        <v>300180</v>
      </c>
      <c r="C1715" t="s">
        <v>3747</v>
      </c>
      <c r="D1715" t="s">
        <v>3251</v>
      </c>
      <c r="E1715">
        <v>700155433</v>
      </c>
      <c r="F1715">
        <v>843169344</v>
      </c>
      <c r="G1715">
        <v>647403159</v>
      </c>
      <c r="H1715">
        <v>472311112</v>
      </c>
      <c r="I1715">
        <v>328704123</v>
      </c>
      <c r="J1715">
        <v>245469497</v>
      </c>
      <c r="K1715">
        <v>223811556</v>
      </c>
      <c r="L1715">
        <v>182971402</v>
      </c>
      <c r="M1715">
        <v>151816250</v>
      </c>
      <c r="N1715">
        <v>114602638</v>
      </c>
      <c r="O1715">
        <v>95748873</v>
      </c>
      <c r="P1715">
        <v>141</v>
      </c>
      <c r="Q1715" t="s">
        <v>3748</v>
      </c>
    </row>
    <row r="1716" spans="1:17" x14ac:dyDescent="0.3">
      <c r="A1716" t="s">
        <v>75</v>
      </c>
      <c r="B1716" t="str">
        <f>"002855"</f>
        <v>002855</v>
      </c>
      <c r="C1716" t="s">
        <v>3749</v>
      </c>
      <c r="D1716" t="s">
        <v>55</v>
      </c>
      <c r="E1716">
        <v>699975530</v>
      </c>
      <c r="F1716">
        <v>714726441</v>
      </c>
      <c r="G1716">
        <v>577309579</v>
      </c>
      <c r="H1716">
        <v>556287763</v>
      </c>
      <c r="I1716">
        <v>470987894</v>
      </c>
      <c r="J1716">
        <v>520683185</v>
      </c>
      <c r="K1716">
        <v>738049677</v>
      </c>
      <c r="P1716">
        <v>138</v>
      </c>
      <c r="Q1716" t="s">
        <v>3750</v>
      </c>
    </row>
    <row r="1717" spans="1:17" x14ac:dyDescent="0.3">
      <c r="A1717" t="s">
        <v>17</v>
      </c>
      <c r="B1717" t="str">
        <f>"600072"</f>
        <v>600072</v>
      </c>
      <c r="C1717" t="s">
        <v>3751</v>
      </c>
      <c r="D1717" t="s">
        <v>465</v>
      </c>
      <c r="E1717">
        <v>699898176</v>
      </c>
      <c r="F1717">
        <v>1159917364</v>
      </c>
      <c r="G1717">
        <v>758727342</v>
      </c>
      <c r="H1717">
        <v>957614697</v>
      </c>
      <c r="I1717">
        <v>915924650</v>
      </c>
      <c r="J1717">
        <v>604698860</v>
      </c>
      <c r="K1717">
        <v>197886352</v>
      </c>
      <c r="L1717">
        <v>274763107</v>
      </c>
      <c r="M1717">
        <v>232716655</v>
      </c>
      <c r="N1717">
        <v>288300302</v>
      </c>
      <c r="O1717">
        <v>257994872</v>
      </c>
      <c r="P1717">
        <v>181</v>
      </c>
      <c r="Q1717" t="s">
        <v>3752</v>
      </c>
    </row>
    <row r="1718" spans="1:17" x14ac:dyDescent="0.3">
      <c r="A1718" t="s">
        <v>75</v>
      </c>
      <c r="B1718" t="str">
        <f>"002617"</f>
        <v>002617</v>
      </c>
      <c r="C1718" t="s">
        <v>3753</v>
      </c>
      <c r="D1718" t="s">
        <v>3126</v>
      </c>
      <c r="E1718">
        <v>699775882</v>
      </c>
      <c r="F1718">
        <v>657872422</v>
      </c>
      <c r="G1718">
        <v>447229453</v>
      </c>
      <c r="H1718">
        <v>679874884</v>
      </c>
      <c r="I1718">
        <v>768665157</v>
      </c>
      <c r="J1718">
        <v>404153167</v>
      </c>
      <c r="K1718">
        <v>247331124</v>
      </c>
      <c r="L1718">
        <v>571307280</v>
      </c>
      <c r="M1718">
        <v>418116120</v>
      </c>
      <c r="N1718">
        <v>449120082</v>
      </c>
      <c r="O1718">
        <v>389878263</v>
      </c>
      <c r="P1718">
        <v>321</v>
      </c>
      <c r="Q1718" t="s">
        <v>3754</v>
      </c>
    </row>
    <row r="1719" spans="1:17" x14ac:dyDescent="0.3">
      <c r="A1719" t="s">
        <v>75</v>
      </c>
      <c r="B1719" t="str">
        <f>"300423"</f>
        <v>300423</v>
      </c>
      <c r="C1719" t="s">
        <v>3755</v>
      </c>
      <c r="D1719" t="s">
        <v>347</v>
      </c>
      <c r="E1719">
        <v>698574526</v>
      </c>
      <c r="F1719">
        <v>595423612</v>
      </c>
      <c r="G1719">
        <v>548896548</v>
      </c>
      <c r="H1719">
        <v>388248089</v>
      </c>
      <c r="I1719">
        <v>503233427</v>
      </c>
      <c r="J1719">
        <v>43964878</v>
      </c>
      <c r="K1719">
        <v>39406969</v>
      </c>
      <c r="L1719">
        <v>34274537</v>
      </c>
      <c r="M1719">
        <v>28113898</v>
      </c>
      <c r="P1719">
        <v>156</v>
      </c>
      <c r="Q1719" t="s">
        <v>3756</v>
      </c>
    </row>
    <row r="1720" spans="1:17" x14ac:dyDescent="0.3">
      <c r="A1720" t="s">
        <v>17</v>
      </c>
      <c r="B1720" t="str">
        <f>"605179"</f>
        <v>605179</v>
      </c>
      <c r="C1720" t="s">
        <v>3757</v>
      </c>
      <c r="D1720" t="s">
        <v>215</v>
      </c>
      <c r="E1720">
        <v>697278990</v>
      </c>
      <c r="F1720">
        <v>577132420</v>
      </c>
      <c r="G1720">
        <v>330180801</v>
      </c>
      <c r="P1720">
        <v>84</v>
      </c>
      <c r="Q1720" t="s">
        <v>3758</v>
      </c>
    </row>
    <row r="1721" spans="1:17" x14ac:dyDescent="0.3">
      <c r="A1721" t="s">
        <v>75</v>
      </c>
      <c r="B1721" t="str">
        <f>"300839"</f>
        <v>300839</v>
      </c>
      <c r="C1721" t="s">
        <v>3759</v>
      </c>
      <c r="D1721" t="s">
        <v>422</v>
      </c>
      <c r="E1721">
        <v>697041799</v>
      </c>
      <c r="F1721">
        <v>282793304</v>
      </c>
      <c r="G1721">
        <v>189745462</v>
      </c>
      <c r="H1721">
        <v>218781248</v>
      </c>
      <c r="P1721">
        <v>58</v>
      </c>
      <c r="Q1721" t="s">
        <v>3760</v>
      </c>
    </row>
    <row r="1722" spans="1:17" x14ac:dyDescent="0.3">
      <c r="A1722" t="s">
        <v>75</v>
      </c>
      <c r="B1722" t="str">
        <f>"002170"</f>
        <v>002170</v>
      </c>
      <c r="C1722" t="s">
        <v>3761</v>
      </c>
      <c r="D1722" t="s">
        <v>1047</v>
      </c>
      <c r="E1722">
        <v>696839138</v>
      </c>
      <c r="F1722">
        <v>591935319</v>
      </c>
      <c r="G1722">
        <v>476295569</v>
      </c>
      <c r="H1722">
        <v>497310417</v>
      </c>
      <c r="I1722">
        <v>437483032</v>
      </c>
      <c r="J1722">
        <v>384960201</v>
      </c>
      <c r="K1722">
        <v>349902359</v>
      </c>
      <c r="L1722">
        <v>521084964</v>
      </c>
      <c r="M1722">
        <v>514607267</v>
      </c>
      <c r="N1722">
        <v>501968633</v>
      </c>
      <c r="O1722">
        <v>519047403</v>
      </c>
      <c r="P1722">
        <v>103</v>
      </c>
      <c r="Q1722" t="s">
        <v>3762</v>
      </c>
    </row>
    <row r="1723" spans="1:17" x14ac:dyDescent="0.3">
      <c r="A1723" t="s">
        <v>17</v>
      </c>
      <c r="B1723" t="str">
        <f>"600995"</f>
        <v>600995</v>
      </c>
      <c r="C1723" t="s">
        <v>3763</v>
      </c>
      <c r="D1723" t="s">
        <v>457</v>
      </c>
      <c r="E1723">
        <v>695637201</v>
      </c>
      <c r="F1723">
        <v>509765269</v>
      </c>
      <c r="G1723">
        <v>530821694</v>
      </c>
      <c r="H1723">
        <v>646787991</v>
      </c>
      <c r="I1723">
        <v>677711388</v>
      </c>
      <c r="J1723">
        <v>655054048</v>
      </c>
      <c r="K1723">
        <v>595447389</v>
      </c>
      <c r="L1723">
        <v>636707438</v>
      </c>
      <c r="M1723">
        <v>519023169</v>
      </c>
      <c r="N1723">
        <v>428626022</v>
      </c>
      <c r="O1723">
        <v>303827861</v>
      </c>
      <c r="P1723">
        <v>267</v>
      </c>
      <c r="Q1723" t="s">
        <v>3764</v>
      </c>
    </row>
    <row r="1724" spans="1:17" x14ac:dyDescent="0.3">
      <c r="A1724" t="s">
        <v>75</v>
      </c>
      <c r="B1724" t="str">
        <f>"301048"</f>
        <v>301048</v>
      </c>
      <c r="C1724" t="s">
        <v>3765</v>
      </c>
      <c r="D1724" t="s">
        <v>156</v>
      </c>
      <c r="E1724">
        <v>694846403</v>
      </c>
      <c r="F1724">
        <v>498543836</v>
      </c>
      <c r="G1724">
        <v>441845930</v>
      </c>
      <c r="P1724">
        <v>16</v>
      </c>
      <c r="Q1724" t="s">
        <v>3766</v>
      </c>
    </row>
    <row r="1725" spans="1:17" x14ac:dyDescent="0.3">
      <c r="A1725" t="s">
        <v>17</v>
      </c>
      <c r="B1725" t="str">
        <f>"605507"</f>
        <v>605507</v>
      </c>
      <c r="C1725" t="s">
        <v>3767</v>
      </c>
      <c r="D1725" t="s">
        <v>1242</v>
      </c>
      <c r="E1725">
        <v>694819047</v>
      </c>
      <c r="F1725">
        <v>560424747</v>
      </c>
      <c r="G1725">
        <v>507970941</v>
      </c>
      <c r="P1725">
        <v>25</v>
      </c>
      <c r="Q1725" t="s">
        <v>3768</v>
      </c>
    </row>
    <row r="1726" spans="1:17" x14ac:dyDescent="0.3">
      <c r="A1726" t="s">
        <v>75</v>
      </c>
      <c r="B1726" t="str">
        <f>"000419"</f>
        <v>000419</v>
      </c>
      <c r="C1726" t="s">
        <v>3769</v>
      </c>
      <c r="D1726" t="s">
        <v>359</v>
      </c>
      <c r="E1726">
        <v>694805366</v>
      </c>
      <c r="F1726">
        <v>765456163</v>
      </c>
      <c r="G1726">
        <v>540404380</v>
      </c>
      <c r="H1726">
        <v>1035674833</v>
      </c>
      <c r="I1726">
        <v>1185211205</v>
      </c>
      <c r="J1726">
        <v>1161493714</v>
      </c>
      <c r="K1726">
        <v>1128946553</v>
      </c>
      <c r="L1726">
        <v>1303928681</v>
      </c>
      <c r="M1726">
        <v>1287102749</v>
      </c>
      <c r="N1726">
        <v>1216295587</v>
      </c>
      <c r="O1726">
        <v>1085895540</v>
      </c>
      <c r="P1726">
        <v>115</v>
      </c>
      <c r="Q1726" t="s">
        <v>3770</v>
      </c>
    </row>
    <row r="1727" spans="1:17" x14ac:dyDescent="0.3">
      <c r="A1727" t="s">
        <v>75</v>
      </c>
      <c r="B1727" t="str">
        <f>"002616"</f>
        <v>002616</v>
      </c>
      <c r="C1727" t="s">
        <v>3771</v>
      </c>
      <c r="D1727" t="s">
        <v>3772</v>
      </c>
      <c r="E1727">
        <v>693996444</v>
      </c>
      <c r="F1727">
        <v>576193814</v>
      </c>
      <c r="G1727">
        <v>455245651</v>
      </c>
      <c r="H1727">
        <v>382795717</v>
      </c>
      <c r="I1727">
        <v>388727817</v>
      </c>
      <c r="J1727">
        <v>365932246</v>
      </c>
      <c r="K1727">
        <v>405430592</v>
      </c>
      <c r="L1727">
        <v>355858903</v>
      </c>
      <c r="M1727">
        <v>250529096</v>
      </c>
      <c r="N1727">
        <v>256434301</v>
      </c>
      <c r="O1727">
        <v>199295117</v>
      </c>
      <c r="P1727">
        <v>202</v>
      </c>
      <c r="Q1727" t="s">
        <v>3773</v>
      </c>
    </row>
    <row r="1728" spans="1:17" x14ac:dyDescent="0.3">
      <c r="A1728" t="s">
        <v>75</v>
      </c>
      <c r="B1728" t="str">
        <f>"300805"</f>
        <v>300805</v>
      </c>
      <c r="C1728" t="s">
        <v>3774</v>
      </c>
      <c r="D1728" t="s">
        <v>622</v>
      </c>
      <c r="E1728">
        <v>693538938</v>
      </c>
      <c r="F1728">
        <v>928980106</v>
      </c>
      <c r="G1728">
        <v>815123735</v>
      </c>
      <c r="H1728">
        <v>681349178</v>
      </c>
      <c r="P1728">
        <v>71</v>
      </c>
      <c r="Q1728" t="s">
        <v>3775</v>
      </c>
    </row>
    <row r="1729" spans="1:17" x14ac:dyDescent="0.3">
      <c r="A1729" t="s">
        <v>75</v>
      </c>
      <c r="B1729" t="str">
        <f>"002330"</f>
        <v>002330</v>
      </c>
      <c r="C1729" t="s">
        <v>3776</v>
      </c>
      <c r="D1729" t="s">
        <v>399</v>
      </c>
      <c r="E1729">
        <v>692246170</v>
      </c>
      <c r="F1729">
        <v>829918334</v>
      </c>
      <c r="G1729">
        <v>942669947</v>
      </c>
      <c r="H1729">
        <v>692596907</v>
      </c>
      <c r="I1729">
        <v>611397534</v>
      </c>
      <c r="J1729">
        <v>446198414</v>
      </c>
      <c r="K1729">
        <v>487843348</v>
      </c>
      <c r="L1729">
        <v>400722744</v>
      </c>
      <c r="M1729">
        <v>479893814</v>
      </c>
      <c r="N1729">
        <v>557016623</v>
      </c>
      <c r="O1729">
        <v>526400784</v>
      </c>
      <c r="P1729">
        <v>540</v>
      </c>
      <c r="Q1729" t="s">
        <v>3777</v>
      </c>
    </row>
    <row r="1730" spans="1:17" x14ac:dyDescent="0.3">
      <c r="A1730" t="s">
        <v>17</v>
      </c>
      <c r="B1730" t="str">
        <f>"603421"</f>
        <v>603421</v>
      </c>
      <c r="C1730" t="s">
        <v>3778</v>
      </c>
      <c r="D1730" t="s">
        <v>169</v>
      </c>
      <c r="E1730">
        <v>691008360</v>
      </c>
      <c r="F1730">
        <v>536578093</v>
      </c>
      <c r="G1730">
        <v>381747587</v>
      </c>
      <c r="H1730">
        <v>489743440</v>
      </c>
      <c r="I1730">
        <v>385827751</v>
      </c>
      <c r="J1730">
        <v>316486874</v>
      </c>
      <c r="K1730">
        <v>255118410</v>
      </c>
      <c r="P1730">
        <v>138</v>
      </c>
      <c r="Q1730" t="s">
        <v>3779</v>
      </c>
    </row>
    <row r="1731" spans="1:17" x14ac:dyDescent="0.3">
      <c r="A1731" t="s">
        <v>17</v>
      </c>
      <c r="B1731" t="str">
        <f>"688499"</f>
        <v>688499</v>
      </c>
      <c r="C1731" t="s">
        <v>3780</v>
      </c>
      <c r="D1731" t="s">
        <v>1464</v>
      </c>
      <c r="E1731">
        <v>689783135</v>
      </c>
      <c r="F1731">
        <v>558306834</v>
      </c>
      <c r="G1731">
        <v>230354819</v>
      </c>
      <c r="P1731">
        <v>65</v>
      </c>
      <c r="Q1731" t="s">
        <v>3781</v>
      </c>
    </row>
    <row r="1732" spans="1:17" x14ac:dyDescent="0.3">
      <c r="A1732" t="s">
        <v>17</v>
      </c>
      <c r="B1732" t="str">
        <f>"603098"</f>
        <v>603098</v>
      </c>
      <c r="C1732" t="s">
        <v>3782</v>
      </c>
      <c r="D1732" t="s">
        <v>1028</v>
      </c>
      <c r="E1732">
        <v>688993908</v>
      </c>
      <c r="F1732">
        <v>633161908</v>
      </c>
      <c r="G1732">
        <v>552847457</v>
      </c>
      <c r="H1732">
        <v>632160522</v>
      </c>
      <c r="I1732">
        <v>469225409</v>
      </c>
      <c r="J1732">
        <v>431344245</v>
      </c>
      <c r="K1732">
        <v>371492277</v>
      </c>
      <c r="P1732">
        <v>158</v>
      </c>
      <c r="Q1732" t="s">
        <v>3783</v>
      </c>
    </row>
    <row r="1733" spans="1:17" x14ac:dyDescent="0.3">
      <c r="A1733" t="s">
        <v>17</v>
      </c>
      <c r="B1733" t="str">
        <f>"600791"</f>
        <v>600791</v>
      </c>
      <c r="C1733" t="s">
        <v>3784</v>
      </c>
      <c r="D1733" t="s">
        <v>65</v>
      </c>
      <c r="E1733">
        <v>688789201</v>
      </c>
      <c r="F1733">
        <v>621342544</v>
      </c>
      <c r="G1733">
        <v>321746742</v>
      </c>
      <c r="H1733">
        <v>52415367</v>
      </c>
      <c r="I1733">
        <v>178053515</v>
      </c>
      <c r="J1733">
        <v>227847841</v>
      </c>
      <c r="K1733">
        <v>99228627</v>
      </c>
      <c r="L1733">
        <v>74466866</v>
      </c>
      <c r="M1733">
        <v>506050901</v>
      </c>
      <c r="N1733">
        <v>173927245</v>
      </c>
      <c r="O1733">
        <v>89694865</v>
      </c>
      <c r="P1733">
        <v>105</v>
      </c>
      <c r="Q1733" t="s">
        <v>3785</v>
      </c>
    </row>
    <row r="1734" spans="1:17" x14ac:dyDescent="0.3">
      <c r="A1734" t="s">
        <v>75</v>
      </c>
      <c r="B1734" t="str">
        <f>"002215"</f>
        <v>002215</v>
      </c>
      <c r="C1734" t="s">
        <v>3786</v>
      </c>
      <c r="D1734" t="s">
        <v>811</v>
      </c>
      <c r="E1734">
        <v>687868726</v>
      </c>
      <c r="F1734">
        <v>764013135</v>
      </c>
      <c r="G1734">
        <v>760654265</v>
      </c>
      <c r="H1734">
        <v>1006535314</v>
      </c>
      <c r="I1734">
        <v>694047649</v>
      </c>
      <c r="J1734">
        <v>380527606</v>
      </c>
      <c r="K1734">
        <v>318080404</v>
      </c>
      <c r="L1734">
        <v>322497416</v>
      </c>
      <c r="M1734">
        <v>273934796</v>
      </c>
      <c r="N1734">
        <v>245583753</v>
      </c>
      <c r="O1734">
        <v>242896226</v>
      </c>
      <c r="P1734">
        <v>175</v>
      </c>
      <c r="Q1734" t="s">
        <v>3787</v>
      </c>
    </row>
    <row r="1735" spans="1:17" x14ac:dyDescent="0.3">
      <c r="A1735" t="s">
        <v>75</v>
      </c>
      <c r="B1735" t="str">
        <f>"002696"</f>
        <v>002696</v>
      </c>
      <c r="C1735" t="s">
        <v>3788</v>
      </c>
      <c r="D1735" t="s">
        <v>2597</v>
      </c>
      <c r="E1735">
        <v>687780205</v>
      </c>
      <c r="F1735">
        <v>480436528</v>
      </c>
      <c r="G1735">
        <v>459006087</v>
      </c>
      <c r="H1735">
        <v>708979831</v>
      </c>
      <c r="I1735">
        <v>592930889</v>
      </c>
      <c r="J1735">
        <v>478078291</v>
      </c>
      <c r="K1735">
        <v>428102077</v>
      </c>
      <c r="L1735">
        <v>412120655</v>
      </c>
      <c r="M1735">
        <v>318360954</v>
      </c>
      <c r="N1735">
        <v>265945896</v>
      </c>
      <c r="O1735">
        <v>220378299</v>
      </c>
      <c r="P1735">
        <v>93</v>
      </c>
      <c r="Q1735" t="s">
        <v>3789</v>
      </c>
    </row>
    <row r="1736" spans="1:17" x14ac:dyDescent="0.3">
      <c r="A1736" t="s">
        <v>17</v>
      </c>
      <c r="B1736" t="str">
        <f>"600506"</f>
        <v>600506</v>
      </c>
      <c r="C1736" t="s">
        <v>3790</v>
      </c>
      <c r="D1736" t="s">
        <v>1334</v>
      </c>
      <c r="E1736">
        <v>687503175</v>
      </c>
      <c r="F1736">
        <v>17983103</v>
      </c>
      <c r="G1736">
        <v>7649050</v>
      </c>
      <c r="H1736">
        <v>1995294</v>
      </c>
      <c r="I1736">
        <v>8888533</v>
      </c>
      <c r="J1736">
        <v>7458247</v>
      </c>
      <c r="K1736">
        <v>3057335</v>
      </c>
      <c r="L1736">
        <v>14790681</v>
      </c>
      <c r="M1736">
        <v>25639231</v>
      </c>
      <c r="N1736">
        <v>14551906</v>
      </c>
      <c r="O1736">
        <v>11472681</v>
      </c>
      <c r="P1736">
        <v>67</v>
      </c>
      <c r="Q1736" t="s">
        <v>3791</v>
      </c>
    </row>
    <row r="1737" spans="1:17" x14ac:dyDescent="0.3">
      <c r="A1737" t="s">
        <v>75</v>
      </c>
      <c r="B1737" t="str">
        <f>"002626"</f>
        <v>002626</v>
      </c>
      <c r="C1737" t="s">
        <v>3792</v>
      </c>
      <c r="D1737" t="s">
        <v>2100</v>
      </c>
      <c r="E1737">
        <v>685688012</v>
      </c>
      <c r="F1737">
        <v>869269107</v>
      </c>
      <c r="G1737">
        <v>864279379</v>
      </c>
      <c r="H1737">
        <v>668030569</v>
      </c>
      <c r="I1737">
        <v>674244423</v>
      </c>
      <c r="J1737">
        <v>327263400</v>
      </c>
      <c r="K1737">
        <v>354465811</v>
      </c>
      <c r="L1737">
        <v>220132242</v>
      </c>
      <c r="M1737">
        <v>135851690</v>
      </c>
      <c r="N1737">
        <v>152112852</v>
      </c>
      <c r="O1737">
        <v>155683310</v>
      </c>
      <c r="P1737">
        <v>1113</v>
      </c>
      <c r="Q1737" t="s">
        <v>3793</v>
      </c>
    </row>
    <row r="1738" spans="1:17" x14ac:dyDescent="0.3">
      <c r="A1738" t="s">
        <v>17</v>
      </c>
      <c r="B1738" t="str">
        <f>"600169"</f>
        <v>600169</v>
      </c>
      <c r="C1738" t="s">
        <v>3794</v>
      </c>
      <c r="D1738" t="s">
        <v>786</v>
      </c>
      <c r="E1738">
        <v>684924883</v>
      </c>
      <c r="F1738">
        <v>1174498051</v>
      </c>
      <c r="G1738">
        <v>1901281699</v>
      </c>
      <c r="H1738">
        <v>1796626736</v>
      </c>
      <c r="I1738">
        <v>1014888385</v>
      </c>
      <c r="J1738">
        <v>995303240</v>
      </c>
      <c r="K1738">
        <v>766685715</v>
      </c>
      <c r="L1738">
        <v>1803679185</v>
      </c>
      <c r="M1738">
        <v>1452027113</v>
      </c>
      <c r="N1738">
        <v>1506419643</v>
      </c>
      <c r="O1738">
        <v>1606925342</v>
      </c>
      <c r="P1738">
        <v>133</v>
      </c>
      <c r="Q1738" t="s">
        <v>3795</v>
      </c>
    </row>
    <row r="1739" spans="1:17" x14ac:dyDescent="0.3">
      <c r="A1739" t="s">
        <v>75</v>
      </c>
      <c r="B1739" t="str">
        <f>"002765"</f>
        <v>002765</v>
      </c>
      <c r="C1739" t="s">
        <v>3796</v>
      </c>
      <c r="D1739" t="s">
        <v>128</v>
      </c>
      <c r="E1739">
        <v>684175563</v>
      </c>
      <c r="F1739">
        <v>734264104</v>
      </c>
      <c r="G1739">
        <v>406029337</v>
      </c>
      <c r="H1739">
        <v>155536981</v>
      </c>
      <c r="I1739">
        <v>230534179</v>
      </c>
      <c r="J1739">
        <v>192303697</v>
      </c>
      <c r="K1739">
        <v>68893783</v>
      </c>
      <c r="L1739">
        <v>0</v>
      </c>
      <c r="M1739">
        <v>0</v>
      </c>
      <c r="P1739">
        <v>118</v>
      </c>
      <c r="Q1739" t="s">
        <v>3797</v>
      </c>
    </row>
    <row r="1740" spans="1:17" x14ac:dyDescent="0.3">
      <c r="A1740" t="s">
        <v>75</v>
      </c>
      <c r="B1740" t="str">
        <f>"300639"</f>
        <v>300639</v>
      </c>
      <c r="C1740" t="s">
        <v>3798</v>
      </c>
      <c r="D1740" t="s">
        <v>967</v>
      </c>
      <c r="E1740">
        <v>683686973</v>
      </c>
      <c r="F1740">
        <v>353400161</v>
      </c>
      <c r="G1740">
        <v>133838633</v>
      </c>
      <c r="H1740">
        <v>134747286</v>
      </c>
      <c r="I1740">
        <v>96724978</v>
      </c>
      <c r="J1740">
        <v>88414903</v>
      </c>
      <c r="K1740">
        <v>81895071</v>
      </c>
      <c r="P1740">
        <v>535</v>
      </c>
      <c r="Q1740" t="s">
        <v>3799</v>
      </c>
    </row>
    <row r="1741" spans="1:17" x14ac:dyDescent="0.3">
      <c r="A1741" t="s">
        <v>17</v>
      </c>
      <c r="B1741" t="str">
        <f>"603808"</f>
        <v>603808</v>
      </c>
      <c r="C1741" t="s">
        <v>3800</v>
      </c>
      <c r="D1741" t="s">
        <v>814</v>
      </c>
      <c r="E1741">
        <v>682940747</v>
      </c>
      <c r="F1741">
        <v>545241565</v>
      </c>
      <c r="G1741">
        <v>545887778</v>
      </c>
      <c r="H1741">
        <v>724181160</v>
      </c>
      <c r="I1741">
        <v>704446055</v>
      </c>
      <c r="J1741">
        <v>402849253</v>
      </c>
      <c r="K1741">
        <v>186121978</v>
      </c>
      <c r="L1741">
        <v>230309851</v>
      </c>
      <c r="M1741">
        <v>207179690</v>
      </c>
      <c r="P1741">
        <v>479</v>
      </c>
      <c r="Q1741" t="s">
        <v>3801</v>
      </c>
    </row>
    <row r="1742" spans="1:17" x14ac:dyDescent="0.3">
      <c r="A1742" t="s">
        <v>75</v>
      </c>
      <c r="B1742" t="str">
        <f>"300324"</f>
        <v>300324</v>
      </c>
      <c r="C1742" t="s">
        <v>3802</v>
      </c>
      <c r="D1742" t="s">
        <v>508</v>
      </c>
      <c r="E1742">
        <v>682011168</v>
      </c>
      <c r="F1742">
        <v>789890883</v>
      </c>
      <c r="G1742">
        <v>581196166</v>
      </c>
      <c r="H1742">
        <v>686277192</v>
      </c>
      <c r="I1742">
        <v>605990701</v>
      </c>
      <c r="J1742">
        <v>649798773</v>
      </c>
      <c r="K1742">
        <v>280994340</v>
      </c>
      <c r="L1742">
        <v>111849965</v>
      </c>
      <c r="M1742">
        <v>49093003</v>
      </c>
      <c r="N1742">
        <v>47380316</v>
      </c>
      <c r="O1742">
        <v>34196270</v>
      </c>
      <c r="P1742">
        <v>235</v>
      </c>
      <c r="Q1742" t="s">
        <v>3803</v>
      </c>
    </row>
    <row r="1743" spans="1:17" x14ac:dyDescent="0.3">
      <c r="A1743" t="s">
        <v>75</v>
      </c>
      <c r="B1743" t="str">
        <f>"002528"</f>
        <v>002528</v>
      </c>
      <c r="C1743" t="s">
        <v>3804</v>
      </c>
      <c r="D1743" t="s">
        <v>337</v>
      </c>
      <c r="E1743">
        <v>681824790</v>
      </c>
      <c r="F1743">
        <v>1276232241</v>
      </c>
      <c r="G1743">
        <v>853572387</v>
      </c>
      <c r="H1743">
        <v>1003500597</v>
      </c>
      <c r="I1743">
        <v>742417090</v>
      </c>
      <c r="J1743">
        <v>597432531</v>
      </c>
      <c r="K1743">
        <v>411242617</v>
      </c>
      <c r="L1743">
        <v>397162504</v>
      </c>
      <c r="M1743">
        <v>215990759</v>
      </c>
      <c r="N1743">
        <v>253685505</v>
      </c>
      <c r="O1743">
        <v>72290579</v>
      </c>
      <c r="P1743">
        <v>169</v>
      </c>
      <c r="Q1743" t="s">
        <v>3805</v>
      </c>
    </row>
    <row r="1744" spans="1:17" x14ac:dyDescent="0.3">
      <c r="A1744" t="s">
        <v>75</v>
      </c>
      <c r="B1744" t="str">
        <f>"000155"</f>
        <v>000155</v>
      </c>
      <c r="C1744" t="s">
        <v>3806</v>
      </c>
      <c r="D1744" t="s">
        <v>869</v>
      </c>
      <c r="E1744">
        <v>681483006</v>
      </c>
      <c r="F1744">
        <v>1145751703</v>
      </c>
      <c r="G1744">
        <v>397939982</v>
      </c>
      <c r="H1744">
        <v>590890610</v>
      </c>
      <c r="I1744">
        <v>1583250353</v>
      </c>
      <c r="J1744">
        <v>1006644138</v>
      </c>
      <c r="K1744">
        <v>86470630</v>
      </c>
      <c r="L1744">
        <v>95003057</v>
      </c>
      <c r="M1744">
        <v>363263650</v>
      </c>
      <c r="N1744">
        <v>355838140</v>
      </c>
      <c r="O1744">
        <v>262431714</v>
      </c>
      <c r="P1744">
        <v>309</v>
      </c>
      <c r="Q1744" t="s">
        <v>3807</v>
      </c>
    </row>
    <row r="1745" spans="1:17" x14ac:dyDescent="0.3">
      <c r="A1745" t="s">
        <v>17</v>
      </c>
      <c r="B1745" t="str">
        <f>"603081"</f>
        <v>603081</v>
      </c>
      <c r="C1745" t="s">
        <v>3808</v>
      </c>
      <c r="D1745" t="s">
        <v>707</v>
      </c>
      <c r="E1745">
        <v>680724438</v>
      </c>
      <c r="F1745">
        <v>640695057</v>
      </c>
      <c r="G1745">
        <v>548702136</v>
      </c>
      <c r="H1745">
        <v>585858856</v>
      </c>
      <c r="I1745">
        <v>391337544</v>
      </c>
      <c r="J1745">
        <v>425719685</v>
      </c>
      <c r="K1745">
        <v>341077243</v>
      </c>
      <c r="P1745">
        <v>144</v>
      </c>
      <c r="Q1745" t="s">
        <v>3809</v>
      </c>
    </row>
    <row r="1746" spans="1:17" x14ac:dyDescent="0.3">
      <c r="A1746" t="s">
        <v>75</v>
      </c>
      <c r="B1746" t="str">
        <f>"002026"</f>
        <v>002026</v>
      </c>
      <c r="C1746" t="s">
        <v>3810</v>
      </c>
      <c r="D1746" t="s">
        <v>153</v>
      </c>
      <c r="E1746">
        <v>679572835</v>
      </c>
      <c r="F1746">
        <v>607671198</v>
      </c>
      <c r="G1746">
        <v>434400224</v>
      </c>
      <c r="H1746">
        <v>388500940</v>
      </c>
      <c r="I1746">
        <v>436787934</v>
      </c>
      <c r="J1746">
        <v>358298721</v>
      </c>
      <c r="K1746">
        <v>229364092</v>
      </c>
      <c r="L1746">
        <v>177325233</v>
      </c>
      <c r="M1746">
        <v>153531782</v>
      </c>
      <c r="N1746">
        <v>103906394</v>
      </c>
      <c r="O1746">
        <v>120439948</v>
      </c>
      <c r="P1746">
        <v>208</v>
      </c>
      <c r="Q1746" t="s">
        <v>3811</v>
      </c>
    </row>
    <row r="1747" spans="1:17" x14ac:dyDescent="0.3">
      <c r="A1747" t="s">
        <v>17</v>
      </c>
      <c r="B1747" t="str">
        <f>"603861"</f>
        <v>603861</v>
      </c>
      <c r="C1747" t="s">
        <v>3812</v>
      </c>
      <c r="D1747" t="s">
        <v>546</v>
      </c>
      <c r="E1747">
        <v>679155034</v>
      </c>
      <c r="F1747">
        <v>560991601</v>
      </c>
      <c r="G1747">
        <v>487234585</v>
      </c>
      <c r="H1747">
        <v>522874025</v>
      </c>
      <c r="I1747">
        <v>437194498</v>
      </c>
      <c r="J1747">
        <v>285220041</v>
      </c>
      <c r="K1747">
        <v>257045868</v>
      </c>
      <c r="L1747">
        <v>254636064</v>
      </c>
      <c r="P1747">
        <v>109</v>
      </c>
      <c r="Q1747" t="s">
        <v>3813</v>
      </c>
    </row>
    <row r="1748" spans="1:17" x14ac:dyDescent="0.3">
      <c r="A1748" t="s">
        <v>75</v>
      </c>
      <c r="B1748" t="str">
        <f>"300664"</f>
        <v>300664</v>
      </c>
      <c r="C1748" t="s">
        <v>3814</v>
      </c>
      <c r="D1748" t="s">
        <v>1107</v>
      </c>
      <c r="E1748">
        <v>678951982</v>
      </c>
      <c r="F1748">
        <v>405119352</v>
      </c>
      <c r="G1748">
        <v>359786180</v>
      </c>
      <c r="H1748">
        <v>259562302</v>
      </c>
      <c r="I1748">
        <v>148769948</v>
      </c>
      <c r="J1748">
        <v>167614902</v>
      </c>
      <c r="P1748">
        <v>118</v>
      </c>
      <c r="Q1748" t="s">
        <v>3815</v>
      </c>
    </row>
    <row r="1749" spans="1:17" x14ac:dyDescent="0.3">
      <c r="A1749" t="s">
        <v>75</v>
      </c>
      <c r="B1749" t="str">
        <f>"001228"</f>
        <v>001228</v>
      </c>
      <c r="C1749" t="s">
        <v>3816</v>
      </c>
      <c r="E1749">
        <v>678157317</v>
      </c>
      <c r="P1749">
        <v>2</v>
      </c>
      <c r="Q1749" t="s">
        <v>3817</v>
      </c>
    </row>
    <row r="1750" spans="1:17" x14ac:dyDescent="0.3">
      <c r="A1750" t="s">
        <v>75</v>
      </c>
      <c r="B1750" t="str">
        <f>"000599"</f>
        <v>000599</v>
      </c>
      <c r="C1750" t="s">
        <v>3818</v>
      </c>
      <c r="D1750" t="s">
        <v>904</v>
      </c>
      <c r="E1750">
        <v>677499903</v>
      </c>
      <c r="F1750">
        <v>841324049</v>
      </c>
      <c r="G1750">
        <v>921557858</v>
      </c>
      <c r="H1750">
        <v>1066293698</v>
      </c>
      <c r="I1750">
        <v>925552707</v>
      </c>
      <c r="J1750">
        <v>849280762</v>
      </c>
      <c r="K1750">
        <v>1011430765</v>
      </c>
      <c r="L1750">
        <v>695740186</v>
      </c>
      <c r="M1750">
        <v>1195347145</v>
      </c>
      <c r="N1750">
        <v>1213265378</v>
      </c>
      <c r="O1750">
        <v>1364148172</v>
      </c>
      <c r="P1750">
        <v>119</v>
      </c>
      <c r="Q1750" t="s">
        <v>3819</v>
      </c>
    </row>
    <row r="1751" spans="1:17" x14ac:dyDescent="0.3">
      <c r="A1751" t="s">
        <v>17</v>
      </c>
      <c r="B1751" t="str">
        <f>"600594"</f>
        <v>600594</v>
      </c>
      <c r="C1751" t="s">
        <v>3820</v>
      </c>
      <c r="D1751" t="s">
        <v>321</v>
      </c>
      <c r="E1751">
        <v>676479229</v>
      </c>
      <c r="F1751">
        <v>1185188274</v>
      </c>
      <c r="G1751">
        <v>802191468</v>
      </c>
      <c r="H1751">
        <v>962947876</v>
      </c>
      <c r="I1751">
        <v>828260740</v>
      </c>
      <c r="J1751">
        <v>1180235393</v>
      </c>
      <c r="K1751">
        <v>948462923</v>
      </c>
      <c r="L1751">
        <v>771215180</v>
      </c>
      <c r="M1751">
        <v>884679024</v>
      </c>
      <c r="N1751">
        <v>779882646</v>
      </c>
      <c r="O1751">
        <v>674200838</v>
      </c>
      <c r="P1751">
        <v>312</v>
      </c>
      <c r="Q1751" t="s">
        <v>3821</v>
      </c>
    </row>
    <row r="1752" spans="1:17" x14ac:dyDescent="0.3">
      <c r="A1752" t="s">
        <v>75</v>
      </c>
      <c r="B1752" t="str">
        <f>"000099"</f>
        <v>000099</v>
      </c>
      <c r="C1752" t="s">
        <v>3822</v>
      </c>
      <c r="D1752" t="s">
        <v>246</v>
      </c>
      <c r="E1752">
        <v>676139668</v>
      </c>
      <c r="F1752">
        <v>628902587</v>
      </c>
      <c r="G1752">
        <v>505701083</v>
      </c>
      <c r="H1752">
        <v>503793563</v>
      </c>
      <c r="I1752">
        <v>301930803</v>
      </c>
      <c r="J1752">
        <v>330614546</v>
      </c>
      <c r="K1752">
        <v>320878560</v>
      </c>
      <c r="L1752">
        <v>267170681</v>
      </c>
      <c r="M1752">
        <v>239281122</v>
      </c>
      <c r="N1752">
        <v>223979402</v>
      </c>
      <c r="O1752">
        <v>241666324</v>
      </c>
      <c r="P1752">
        <v>166</v>
      </c>
      <c r="Q1752" t="s">
        <v>3823</v>
      </c>
    </row>
    <row r="1753" spans="1:17" x14ac:dyDescent="0.3">
      <c r="A1753" t="s">
        <v>75</v>
      </c>
      <c r="B1753" t="str">
        <f>"000670"</f>
        <v>000670</v>
      </c>
      <c r="C1753" t="s">
        <v>3824</v>
      </c>
      <c r="D1753" t="s">
        <v>883</v>
      </c>
      <c r="E1753">
        <v>675820524</v>
      </c>
      <c r="F1753">
        <v>612202265</v>
      </c>
      <c r="G1753">
        <v>0</v>
      </c>
      <c r="H1753">
        <v>6265640</v>
      </c>
      <c r="I1753">
        <v>30788834</v>
      </c>
      <c r="J1753">
        <v>134111218</v>
      </c>
      <c r="K1753">
        <v>60819218</v>
      </c>
      <c r="L1753">
        <v>28660763</v>
      </c>
      <c r="M1753">
        <v>1563729</v>
      </c>
      <c r="N1753">
        <v>4984941</v>
      </c>
      <c r="O1753">
        <v>16675880</v>
      </c>
      <c r="P1753">
        <v>116</v>
      </c>
      <c r="Q1753" t="s">
        <v>3825</v>
      </c>
    </row>
    <row r="1754" spans="1:17" x14ac:dyDescent="0.3">
      <c r="A1754" t="s">
        <v>75</v>
      </c>
      <c r="B1754" t="str">
        <f>"300529"</f>
        <v>300529</v>
      </c>
      <c r="C1754" t="s">
        <v>3826</v>
      </c>
      <c r="D1754" t="s">
        <v>1538</v>
      </c>
      <c r="E1754">
        <v>675748459</v>
      </c>
      <c r="F1754">
        <v>583719907</v>
      </c>
      <c r="G1754">
        <v>371312743</v>
      </c>
      <c r="H1754">
        <v>342271685</v>
      </c>
      <c r="I1754">
        <v>226664974</v>
      </c>
      <c r="J1754">
        <v>161302236</v>
      </c>
      <c r="K1754">
        <v>135176750</v>
      </c>
      <c r="L1754">
        <v>112564122</v>
      </c>
      <c r="P1754">
        <v>5945</v>
      </c>
      <c r="Q1754" t="s">
        <v>3827</v>
      </c>
    </row>
    <row r="1755" spans="1:17" x14ac:dyDescent="0.3">
      <c r="A1755" t="s">
        <v>17</v>
      </c>
      <c r="B1755" t="str">
        <f>"600108"</f>
        <v>600108</v>
      </c>
      <c r="C1755" t="s">
        <v>3828</v>
      </c>
      <c r="D1755" t="s">
        <v>1334</v>
      </c>
      <c r="E1755">
        <v>675139598</v>
      </c>
      <c r="F1755">
        <v>596373091</v>
      </c>
      <c r="G1755">
        <v>353240874</v>
      </c>
      <c r="H1755">
        <v>587294495</v>
      </c>
      <c r="I1755">
        <v>511442244</v>
      </c>
      <c r="J1755">
        <v>353022855</v>
      </c>
      <c r="K1755">
        <v>382055696</v>
      </c>
      <c r="L1755">
        <v>373189543</v>
      </c>
      <c r="M1755">
        <v>432414665</v>
      </c>
      <c r="N1755">
        <v>437799750</v>
      </c>
      <c r="O1755">
        <v>362689356</v>
      </c>
      <c r="P1755">
        <v>120</v>
      </c>
      <c r="Q1755" t="s">
        <v>3829</v>
      </c>
    </row>
    <row r="1756" spans="1:17" x14ac:dyDescent="0.3">
      <c r="A1756" t="s">
        <v>17</v>
      </c>
      <c r="B1756" t="str">
        <f>"600252"</f>
        <v>600252</v>
      </c>
      <c r="C1756" t="s">
        <v>3830</v>
      </c>
      <c r="D1756" t="s">
        <v>321</v>
      </c>
      <c r="E1756">
        <v>674623231</v>
      </c>
      <c r="F1756">
        <v>979758250</v>
      </c>
      <c r="G1756">
        <v>1345813292</v>
      </c>
      <c r="H1756">
        <v>961277924</v>
      </c>
      <c r="I1756">
        <v>665484131</v>
      </c>
      <c r="J1756">
        <v>392622291</v>
      </c>
      <c r="K1756">
        <v>467106782</v>
      </c>
      <c r="L1756">
        <v>615738772</v>
      </c>
      <c r="M1756">
        <v>752897020</v>
      </c>
      <c r="N1756">
        <v>596276095</v>
      </c>
      <c r="O1756">
        <v>263936017</v>
      </c>
      <c r="P1756">
        <v>362</v>
      </c>
      <c r="Q1756" t="s">
        <v>3831</v>
      </c>
    </row>
    <row r="1757" spans="1:17" x14ac:dyDescent="0.3">
      <c r="A1757" t="s">
        <v>17</v>
      </c>
      <c r="B1757" t="str">
        <f>"603969"</f>
        <v>603969</v>
      </c>
      <c r="C1757" t="s">
        <v>3832</v>
      </c>
      <c r="D1757" t="s">
        <v>153</v>
      </c>
      <c r="E1757">
        <v>673420087</v>
      </c>
      <c r="F1757">
        <v>532338392</v>
      </c>
      <c r="G1757">
        <v>410582676</v>
      </c>
      <c r="H1757">
        <v>599048543</v>
      </c>
      <c r="I1757">
        <v>401733647</v>
      </c>
      <c r="J1757">
        <v>306836065</v>
      </c>
      <c r="K1757">
        <v>161698086</v>
      </c>
      <c r="L1757">
        <v>272279497</v>
      </c>
      <c r="M1757">
        <v>403193925</v>
      </c>
      <c r="P1757">
        <v>94</v>
      </c>
      <c r="Q1757" t="s">
        <v>3833</v>
      </c>
    </row>
    <row r="1758" spans="1:17" x14ac:dyDescent="0.3">
      <c r="A1758" t="s">
        <v>75</v>
      </c>
      <c r="B1758" t="str">
        <f>"000782"</f>
        <v>000782</v>
      </c>
      <c r="C1758" t="s">
        <v>3834</v>
      </c>
      <c r="D1758" t="s">
        <v>1239</v>
      </c>
      <c r="E1758">
        <v>673033121</v>
      </c>
      <c r="F1758">
        <v>598369647</v>
      </c>
      <c r="G1758">
        <v>537442079</v>
      </c>
      <c r="H1758">
        <v>915391600</v>
      </c>
      <c r="I1758">
        <v>1099576422</v>
      </c>
      <c r="J1758">
        <v>724438711</v>
      </c>
      <c r="K1758">
        <v>818474877</v>
      </c>
      <c r="L1758">
        <v>869775534</v>
      </c>
      <c r="M1758">
        <v>851319115</v>
      </c>
      <c r="N1758">
        <v>853195265</v>
      </c>
      <c r="O1758">
        <v>1072054261</v>
      </c>
      <c r="P1758">
        <v>64</v>
      </c>
      <c r="Q1758" t="s">
        <v>3835</v>
      </c>
    </row>
    <row r="1759" spans="1:17" x14ac:dyDescent="0.3">
      <c r="A1759" t="s">
        <v>75</v>
      </c>
      <c r="B1759" t="str">
        <f>"002174"</f>
        <v>002174</v>
      </c>
      <c r="C1759" t="s">
        <v>3836</v>
      </c>
      <c r="D1759" t="s">
        <v>1165</v>
      </c>
      <c r="E1759">
        <v>671986429</v>
      </c>
      <c r="F1759">
        <v>1254987125</v>
      </c>
      <c r="G1759">
        <v>1113395349</v>
      </c>
      <c r="H1759">
        <v>812488900</v>
      </c>
      <c r="I1759">
        <v>710438103</v>
      </c>
      <c r="J1759">
        <v>729822002</v>
      </c>
      <c r="K1759">
        <v>394665409</v>
      </c>
      <c r="L1759">
        <v>238540426</v>
      </c>
      <c r="M1759">
        <v>77780614</v>
      </c>
      <c r="N1759">
        <v>334097076</v>
      </c>
      <c r="O1759">
        <v>58292185</v>
      </c>
      <c r="P1759">
        <v>736</v>
      </c>
      <c r="Q1759" t="s">
        <v>3837</v>
      </c>
    </row>
    <row r="1760" spans="1:17" x14ac:dyDescent="0.3">
      <c r="A1760" t="s">
        <v>75</v>
      </c>
      <c r="B1760" t="str">
        <f>"000915"</f>
        <v>000915</v>
      </c>
      <c r="C1760" t="s">
        <v>3838</v>
      </c>
      <c r="D1760" t="s">
        <v>543</v>
      </c>
      <c r="E1760">
        <v>670887451</v>
      </c>
      <c r="F1760">
        <v>579666293</v>
      </c>
      <c r="G1760">
        <v>437902139</v>
      </c>
      <c r="H1760">
        <v>288857464</v>
      </c>
      <c r="I1760">
        <v>512300725</v>
      </c>
      <c r="J1760">
        <v>411452147</v>
      </c>
      <c r="K1760">
        <v>364689782</v>
      </c>
      <c r="L1760">
        <v>302437061</v>
      </c>
      <c r="M1760">
        <v>305654712</v>
      </c>
      <c r="N1760">
        <v>236654333</v>
      </c>
      <c r="O1760">
        <v>199630634</v>
      </c>
      <c r="P1760">
        <v>648</v>
      </c>
      <c r="Q1760" t="s">
        <v>3839</v>
      </c>
    </row>
    <row r="1761" spans="1:17" x14ac:dyDescent="0.3">
      <c r="A1761" t="s">
        <v>75</v>
      </c>
      <c r="B1761" t="str">
        <f>"300596"</f>
        <v>300596</v>
      </c>
      <c r="C1761" t="s">
        <v>3840</v>
      </c>
      <c r="D1761" t="s">
        <v>3251</v>
      </c>
      <c r="E1761">
        <v>670788886</v>
      </c>
      <c r="F1761">
        <v>590683187</v>
      </c>
      <c r="G1761">
        <v>388299075</v>
      </c>
      <c r="H1761">
        <v>273011138</v>
      </c>
      <c r="I1761">
        <v>233473546</v>
      </c>
      <c r="J1761">
        <v>181785611</v>
      </c>
      <c r="K1761">
        <v>134605614</v>
      </c>
      <c r="P1761">
        <v>391</v>
      </c>
      <c r="Q1761" t="s">
        <v>3841</v>
      </c>
    </row>
    <row r="1762" spans="1:17" x14ac:dyDescent="0.3">
      <c r="A1762" t="s">
        <v>75</v>
      </c>
      <c r="B1762" t="str">
        <f>"002755"</f>
        <v>002755</v>
      </c>
      <c r="C1762" t="s">
        <v>3842</v>
      </c>
      <c r="D1762" t="s">
        <v>543</v>
      </c>
      <c r="E1762">
        <v>670207196</v>
      </c>
      <c r="F1762">
        <v>1003501461</v>
      </c>
      <c r="G1762">
        <v>1038467261</v>
      </c>
      <c r="H1762">
        <v>1124362286</v>
      </c>
      <c r="I1762">
        <v>86311397</v>
      </c>
      <c r="J1762">
        <v>50712658</v>
      </c>
      <c r="K1762">
        <v>76681884</v>
      </c>
      <c r="L1762">
        <v>103273085</v>
      </c>
      <c r="M1762">
        <v>59174843</v>
      </c>
      <c r="P1762">
        <v>307</v>
      </c>
      <c r="Q1762" t="s">
        <v>3843</v>
      </c>
    </row>
    <row r="1763" spans="1:17" x14ac:dyDescent="0.3">
      <c r="A1763" t="s">
        <v>75</v>
      </c>
      <c r="B1763" t="str">
        <f>"002706"</f>
        <v>002706</v>
      </c>
      <c r="C1763" t="s">
        <v>3844</v>
      </c>
      <c r="D1763" t="s">
        <v>546</v>
      </c>
      <c r="E1763">
        <v>669284344</v>
      </c>
      <c r="F1763">
        <v>570538573</v>
      </c>
      <c r="G1763">
        <v>401026715</v>
      </c>
      <c r="H1763">
        <v>347155333</v>
      </c>
      <c r="I1763">
        <v>338474301</v>
      </c>
      <c r="J1763">
        <v>349219585</v>
      </c>
      <c r="K1763">
        <v>267058568</v>
      </c>
      <c r="L1763">
        <v>185760081</v>
      </c>
      <c r="M1763">
        <v>181839378</v>
      </c>
      <c r="N1763">
        <v>153272370</v>
      </c>
      <c r="P1763">
        <v>761</v>
      </c>
      <c r="Q1763" t="s">
        <v>3845</v>
      </c>
    </row>
    <row r="1764" spans="1:17" x14ac:dyDescent="0.3">
      <c r="A1764" t="s">
        <v>17</v>
      </c>
      <c r="B1764" t="str">
        <f>"600753"</f>
        <v>600753</v>
      </c>
      <c r="C1764" t="s">
        <v>3846</v>
      </c>
      <c r="D1764" t="s">
        <v>35</v>
      </c>
      <c r="E1764">
        <v>669175510</v>
      </c>
      <c r="F1764">
        <v>364536598</v>
      </c>
      <c r="G1764">
        <v>612011889</v>
      </c>
      <c r="H1764">
        <v>90033880</v>
      </c>
      <c r="I1764">
        <v>493345772</v>
      </c>
      <c r="J1764">
        <v>0</v>
      </c>
      <c r="K1764">
        <v>7529248</v>
      </c>
      <c r="L1764">
        <v>305000</v>
      </c>
      <c r="M1764">
        <v>1931895</v>
      </c>
      <c r="N1764">
        <v>448225</v>
      </c>
      <c r="O1764">
        <v>0</v>
      </c>
      <c r="P1764">
        <v>91</v>
      </c>
      <c r="Q1764" t="s">
        <v>3847</v>
      </c>
    </row>
    <row r="1765" spans="1:17" x14ac:dyDescent="0.3">
      <c r="A1765" t="s">
        <v>75</v>
      </c>
      <c r="B1765" t="str">
        <f>"300022"</f>
        <v>300022</v>
      </c>
      <c r="C1765" t="s">
        <v>3848</v>
      </c>
      <c r="D1765" t="s">
        <v>241</v>
      </c>
      <c r="E1765">
        <v>669124752</v>
      </c>
      <c r="F1765">
        <v>634112894</v>
      </c>
      <c r="G1765">
        <v>549523768</v>
      </c>
      <c r="H1765">
        <v>597473290</v>
      </c>
      <c r="I1765">
        <v>659024894</v>
      </c>
      <c r="J1765">
        <v>918697784</v>
      </c>
      <c r="K1765">
        <v>824221316</v>
      </c>
      <c r="L1765">
        <v>813695635</v>
      </c>
      <c r="M1765">
        <v>1013553171</v>
      </c>
      <c r="N1765">
        <v>816837412</v>
      </c>
      <c r="O1765">
        <v>959308258</v>
      </c>
      <c r="P1765">
        <v>63</v>
      </c>
      <c r="Q1765" t="s">
        <v>3849</v>
      </c>
    </row>
    <row r="1766" spans="1:17" x14ac:dyDescent="0.3">
      <c r="A1766" t="s">
        <v>17</v>
      </c>
      <c r="B1766" t="str">
        <f>"603728"</f>
        <v>603728</v>
      </c>
      <c r="C1766" t="s">
        <v>3850</v>
      </c>
      <c r="D1766" t="s">
        <v>1487</v>
      </c>
      <c r="E1766">
        <v>666845563</v>
      </c>
      <c r="F1766">
        <v>628426660</v>
      </c>
      <c r="G1766">
        <v>489037230</v>
      </c>
      <c r="H1766">
        <v>493676947</v>
      </c>
      <c r="I1766">
        <v>412849839</v>
      </c>
      <c r="J1766">
        <v>384990222</v>
      </c>
      <c r="K1766">
        <v>316831016</v>
      </c>
      <c r="P1766">
        <v>310</v>
      </c>
      <c r="Q1766" t="s">
        <v>3851</v>
      </c>
    </row>
    <row r="1767" spans="1:17" x14ac:dyDescent="0.3">
      <c r="A1767" t="s">
        <v>17</v>
      </c>
      <c r="B1767" t="str">
        <f>"688660"</f>
        <v>688660</v>
      </c>
      <c r="C1767" t="s">
        <v>3852</v>
      </c>
      <c r="D1767" t="s">
        <v>660</v>
      </c>
      <c r="E1767">
        <v>666211348</v>
      </c>
      <c r="F1767">
        <v>3024277800</v>
      </c>
      <c r="G1767">
        <v>3708678424</v>
      </c>
      <c r="P1767">
        <v>54</v>
      </c>
      <c r="Q1767" t="s">
        <v>3853</v>
      </c>
    </row>
    <row r="1768" spans="1:17" x14ac:dyDescent="0.3">
      <c r="A1768" t="s">
        <v>17</v>
      </c>
      <c r="B1768" t="str">
        <f>"688390"</f>
        <v>688390</v>
      </c>
      <c r="C1768" t="s">
        <v>3854</v>
      </c>
      <c r="D1768" t="s">
        <v>862</v>
      </c>
      <c r="E1768">
        <v>666164151</v>
      </c>
      <c r="F1768">
        <v>314378339</v>
      </c>
      <c r="G1768">
        <v>196446288</v>
      </c>
      <c r="P1768">
        <v>283</v>
      </c>
      <c r="Q1768" t="s">
        <v>3855</v>
      </c>
    </row>
    <row r="1769" spans="1:17" x14ac:dyDescent="0.3">
      <c r="A1769" t="s">
        <v>75</v>
      </c>
      <c r="B1769" t="str">
        <f>"002823"</f>
        <v>002823</v>
      </c>
      <c r="C1769" t="s">
        <v>3856</v>
      </c>
      <c r="D1769" t="s">
        <v>1487</v>
      </c>
      <c r="E1769">
        <v>665815774</v>
      </c>
      <c r="F1769">
        <v>637858789</v>
      </c>
      <c r="G1769">
        <v>460032640</v>
      </c>
      <c r="H1769">
        <v>0</v>
      </c>
      <c r="I1769">
        <v>373419189</v>
      </c>
      <c r="J1769">
        <v>356558297</v>
      </c>
      <c r="K1769">
        <v>242792613</v>
      </c>
      <c r="P1769">
        <v>158</v>
      </c>
      <c r="Q1769" t="s">
        <v>3857</v>
      </c>
    </row>
    <row r="1770" spans="1:17" x14ac:dyDescent="0.3">
      <c r="A1770" t="s">
        <v>75</v>
      </c>
      <c r="B1770" t="str">
        <f>"002757"</f>
        <v>002757</v>
      </c>
      <c r="C1770" t="s">
        <v>3858</v>
      </c>
      <c r="D1770" t="s">
        <v>1624</v>
      </c>
      <c r="E1770">
        <v>665806675</v>
      </c>
      <c r="F1770">
        <v>668646453</v>
      </c>
      <c r="G1770">
        <v>339856511</v>
      </c>
      <c r="H1770">
        <v>290149168</v>
      </c>
      <c r="I1770">
        <v>229366768</v>
      </c>
      <c r="J1770">
        <v>174438678</v>
      </c>
      <c r="K1770">
        <v>87197269</v>
      </c>
      <c r="L1770">
        <v>90962013</v>
      </c>
      <c r="M1770">
        <v>131450940</v>
      </c>
      <c r="P1770">
        <v>267</v>
      </c>
      <c r="Q1770" t="s">
        <v>3859</v>
      </c>
    </row>
    <row r="1771" spans="1:17" x14ac:dyDescent="0.3">
      <c r="A1771" t="s">
        <v>75</v>
      </c>
      <c r="B1771" t="str">
        <f>"300857"</f>
        <v>300857</v>
      </c>
      <c r="C1771" t="s">
        <v>3860</v>
      </c>
      <c r="D1771" t="s">
        <v>55</v>
      </c>
      <c r="E1771">
        <v>665419985</v>
      </c>
      <c r="F1771">
        <v>535444451</v>
      </c>
      <c r="G1771">
        <v>442744159</v>
      </c>
      <c r="H1771">
        <v>264058830</v>
      </c>
      <c r="P1771">
        <v>59</v>
      </c>
      <c r="Q1771" t="s">
        <v>3861</v>
      </c>
    </row>
    <row r="1772" spans="1:17" x14ac:dyDescent="0.3">
      <c r="A1772" t="s">
        <v>75</v>
      </c>
      <c r="B1772" t="str">
        <f>"002121"</f>
        <v>002121</v>
      </c>
      <c r="C1772" t="s">
        <v>3862</v>
      </c>
      <c r="D1772" t="s">
        <v>2251</v>
      </c>
      <c r="E1772">
        <v>664990224</v>
      </c>
      <c r="F1772">
        <v>666536403</v>
      </c>
      <c r="G1772">
        <v>727116790</v>
      </c>
      <c r="H1772">
        <v>821101677</v>
      </c>
      <c r="I1772">
        <v>1073266795</v>
      </c>
      <c r="J1772">
        <v>814338360</v>
      </c>
      <c r="K1772">
        <v>564714769</v>
      </c>
      <c r="L1772">
        <v>382601726</v>
      </c>
      <c r="M1772">
        <v>281001698</v>
      </c>
      <c r="N1772">
        <v>238707500</v>
      </c>
      <c r="O1772">
        <v>231607833</v>
      </c>
      <c r="P1772">
        <v>234</v>
      </c>
      <c r="Q1772" t="s">
        <v>3863</v>
      </c>
    </row>
    <row r="1773" spans="1:17" x14ac:dyDescent="0.3">
      <c r="A1773" t="s">
        <v>75</v>
      </c>
      <c r="B1773" t="str">
        <f>"300221"</f>
        <v>300221</v>
      </c>
      <c r="C1773" t="s">
        <v>3864</v>
      </c>
      <c r="D1773" t="s">
        <v>639</v>
      </c>
      <c r="E1773">
        <v>663932786</v>
      </c>
      <c r="F1773">
        <v>392875358</v>
      </c>
      <c r="G1773">
        <v>229781467</v>
      </c>
      <c r="H1773">
        <v>423059364</v>
      </c>
      <c r="I1773">
        <v>635019465</v>
      </c>
      <c r="J1773">
        <v>430302673</v>
      </c>
      <c r="K1773">
        <v>271058110</v>
      </c>
      <c r="L1773">
        <v>279938388</v>
      </c>
      <c r="M1773">
        <v>257414173</v>
      </c>
      <c r="N1773">
        <v>206005828</v>
      </c>
      <c r="O1773">
        <v>211964046</v>
      </c>
      <c r="P1773">
        <v>173</v>
      </c>
      <c r="Q1773" t="s">
        <v>3865</v>
      </c>
    </row>
    <row r="1774" spans="1:17" x14ac:dyDescent="0.3">
      <c r="A1774" t="s">
        <v>75</v>
      </c>
      <c r="B1774" t="str">
        <f>"002568"</f>
        <v>002568</v>
      </c>
      <c r="C1774" t="s">
        <v>3866</v>
      </c>
      <c r="D1774" t="s">
        <v>2575</v>
      </c>
      <c r="E1774">
        <v>662827526</v>
      </c>
      <c r="F1774">
        <v>719879018</v>
      </c>
      <c r="G1774">
        <v>452307261</v>
      </c>
      <c r="H1774">
        <v>346697381</v>
      </c>
      <c r="I1774">
        <v>356971721</v>
      </c>
      <c r="J1774">
        <v>339325995</v>
      </c>
      <c r="K1774">
        <v>242998900</v>
      </c>
      <c r="L1774">
        <v>47347070</v>
      </c>
      <c r="M1774">
        <v>42159892</v>
      </c>
      <c r="N1774">
        <v>31120852</v>
      </c>
      <c r="O1774">
        <v>40812593</v>
      </c>
      <c r="P1774">
        <v>1074</v>
      </c>
      <c r="Q1774" t="s">
        <v>3867</v>
      </c>
    </row>
    <row r="1775" spans="1:17" x14ac:dyDescent="0.3">
      <c r="A1775" t="s">
        <v>17</v>
      </c>
      <c r="B1775" t="str">
        <f>"603968"</f>
        <v>603968</v>
      </c>
      <c r="C1775" t="s">
        <v>3868</v>
      </c>
      <c r="D1775" t="s">
        <v>1291</v>
      </c>
      <c r="E1775">
        <v>662111276</v>
      </c>
      <c r="F1775">
        <v>398296113</v>
      </c>
      <c r="G1775">
        <v>377743940</v>
      </c>
      <c r="H1775">
        <v>339109636</v>
      </c>
      <c r="I1775">
        <v>326043331</v>
      </c>
      <c r="J1775">
        <v>251079288</v>
      </c>
      <c r="K1775">
        <v>219269539</v>
      </c>
      <c r="L1775">
        <v>0</v>
      </c>
      <c r="M1775">
        <v>0</v>
      </c>
      <c r="P1775">
        <v>244</v>
      </c>
      <c r="Q1775" t="s">
        <v>3869</v>
      </c>
    </row>
    <row r="1776" spans="1:17" x14ac:dyDescent="0.3">
      <c r="A1776" t="s">
        <v>75</v>
      </c>
      <c r="B1776" t="str">
        <f>"002786"</f>
        <v>002786</v>
      </c>
      <c r="C1776" t="s">
        <v>3870</v>
      </c>
      <c r="D1776" t="s">
        <v>1624</v>
      </c>
      <c r="E1776">
        <v>661218290</v>
      </c>
      <c r="F1776">
        <v>564790550</v>
      </c>
      <c r="G1776">
        <v>686517896</v>
      </c>
      <c r="H1776">
        <v>718721173</v>
      </c>
      <c r="I1776">
        <v>751891829</v>
      </c>
      <c r="J1776">
        <v>708842574</v>
      </c>
      <c r="K1776">
        <v>705677318</v>
      </c>
      <c r="L1776">
        <v>0</v>
      </c>
      <c r="M1776">
        <v>0</v>
      </c>
      <c r="P1776">
        <v>176</v>
      </c>
      <c r="Q1776" t="s">
        <v>3871</v>
      </c>
    </row>
    <row r="1777" spans="1:17" x14ac:dyDescent="0.3">
      <c r="A1777" t="s">
        <v>17</v>
      </c>
      <c r="B1777" t="str">
        <f>"688707"</f>
        <v>688707</v>
      </c>
      <c r="C1777" t="s">
        <v>3872</v>
      </c>
      <c r="D1777" t="s">
        <v>834</v>
      </c>
      <c r="E1777">
        <v>660985702</v>
      </c>
      <c r="F1777">
        <v>373873213</v>
      </c>
      <c r="P1777">
        <v>31</v>
      </c>
      <c r="Q1777" t="s">
        <v>3873</v>
      </c>
    </row>
    <row r="1778" spans="1:17" x14ac:dyDescent="0.3">
      <c r="A1778" t="s">
        <v>17</v>
      </c>
      <c r="B1778" t="str">
        <f>"600558"</f>
        <v>600558</v>
      </c>
      <c r="C1778" t="s">
        <v>3874</v>
      </c>
      <c r="D1778" t="s">
        <v>153</v>
      </c>
      <c r="E1778">
        <v>660977682</v>
      </c>
      <c r="F1778">
        <v>655946476</v>
      </c>
      <c r="G1778">
        <v>370491282</v>
      </c>
      <c r="H1778">
        <v>519947749</v>
      </c>
      <c r="I1778">
        <v>375429020</v>
      </c>
      <c r="J1778">
        <v>313239563</v>
      </c>
      <c r="K1778">
        <v>283675584</v>
      </c>
      <c r="L1778">
        <v>295597835</v>
      </c>
      <c r="M1778">
        <v>361258625</v>
      </c>
      <c r="N1778">
        <v>340938567</v>
      </c>
      <c r="O1778">
        <v>432113683</v>
      </c>
      <c r="P1778">
        <v>72</v>
      </c>
      <c r="Q1778" t="s">
        <v>3875</v>
      </c>
    </row>
    <row r="1779" spans="1:17" x14ac:dyDescent="0.3">
      <c r="A1779" t="s">
        <v>75</v>
      </c>
      <c r="B1779" t="str">
        <f>"000040"</f>
        <v>000040</v>
      </c>
      <c r="C1779" t="s">
        <v>3876</v>
      </c>
      <c r="D1779" t="s">
        <v>3126</v>
      </c>
      <c r="E1779">
        <v>660576210</v>
      </c>
      <c r="F1779">
        <v>474858598</v>
      </c>
      <c r="G1779">
        <v>601158737</v>
      </c>
      <c r="H1779">
        <v>2247117182</v>
      </c>
      <c r="I1779">
        <v>1019258954</v>
      </c>
      <c r="J1779">
        <v>817049392</v>
      </c>
      <c r="K1779">
        <v>217109718</v>
      </c>
      <c r="L1779">
        <v>271292432</v>
      </c>
      <c r="M1779">
        <v>177932949</v>
      </c>
      <c r="N1779">
        <v>179155491</v>
      </c>
      <c r="O1779">
        <v>260999121</v>
      </c>
      <c r="P1779">
        <v>220</v>
      </c>
      <c r="Q1779" t="s">
        <v>3877</v>
      </c>
    </row>
    <row r="1780" spans="1:17" x14ac:dyDescent="0.3">
      <c r="A1780" t="s">
        <v>17</v>
      </c>
      <c r="B1780" t="str">
        <f>"605286"</f>
        <v>605286</v>
      </c>
      <c r="C1780" t="s">
        <v>3878</v>
      </c>
      <c r="D1780" t="s">
        <v>892</v>
      </c>
      <c r="E1780">
        <v>660264950</v>
      </c>
      <c r="F1780">
        <v>465295171</v>
      </c>
      <c r="G1780">
        <v>349027428</v>
      </c>
      <c r="P1780">
        <v>27</v>
      </c>
      <c r="Q1780" t="s">
        <v>3879</v>
      </c>
    </row>
    <row r="1781" spans="1:17" x14ac:dyDescent="0.3">
      <c r="A1781" t="s">
        <v>75</v>
      </c>
      <c r="B1781" t="str">
        <f>"002627"</f>
        <v>002627</v>
      </c>
      <c r="C1781" t="s">
        <v>3880</v>
      </c>
      <c r="D1781" t="s">
        <v>1195</v>
      </c>
      <c r="E1781">
        <v>659876901</v>
      </c>
      <c r="F1781">
        <v>699117371</v>
      </c>
      <c r="G1781">
        <v>288143579</v>
      </c>
      <c r="H1781">
        <v>619025488</v>
      </c>
      <c r="I1781">
        <v>653142587</v>
      </c>
      <c r="J1781">
        <v>513869813</v>
      </c>
      <c r="K1781">
        <v>413364764</v>
      </c>
      <c r="L1781">
        <v>364127935</v>
      </c>
      <c r="M1781">
        <v>343127906</v>
      </c>
      <c r="N1781">
        <v>290978690</v>
      </c>
      <c r="O1781">
        <v>261650657</v>
      </c>
      <c r="P1781">
        <v>99</v>
      </c>
      <c r="Q1781" t="s">
        <v>3881</v>
      </c>
    </row>
    <row r="1782" spans="1:17" x14ac:dyDescent="0.3">
      <c r="A1782" t="s">
        <v>17</v>
      </c>
      <c r="B1782" t="str">
        <f>"603208"</f>
        <v>603208</v>
      </c>
      <c r="C1782" t="s">
        <v>3882</v>
      </c>
      <c r="D1782" t="s">
        <v>1004</v>
      </c>
      <c r="E1782">
        <v>659477276</v>
      </c>
      <c r="F1782">
        <v>539210010</v>
      </c>
      <c r="G1782">
        <v>286325978</v>
      </c>
      <c r="H1782">
        <v>277451898</v>
      </c>
      <c r="I1782">
        <v>265765475</v>
      </c>
      <c r="J1782">
        <v>177956081</v>
      </c>
      <c r="K1782">
        <v>119349078</v>
      </c>
      <c r="P1782">
        <v>493</v>
      </c>
      <c r="Q1782" t="s">
        <v>3883</v>
      </c>
    </row>
    <row r="1783" spans="1:17" x14ac:dyDescent="0.3">
      <c r="A1783" t="s">
        <v>17</v>
      </c>
      <c r="B1783" t="str">
        <f>"600105"</f>
        <v>600105</v>
      </c>
      <c r="C1783" t="s">
        <v>3884</v>
      </c>
      <c r="D1783" t="s">
        <v>549</v>
      </c>
      <c r="E1783">
        <v>659470708</v>
      </c>
      <c r="F1783">
        <v>828875165</v>
      </c>
      <c r="G1783">
        <v>571486458</v>
      </c>
      <c r="H1783">
        <v>771662377</v>
      </c>
      <c r="I1783">
        <v>1059586440</v>
      </c>
      <c r="J1783">
        <v>691893395</v>
      </c>
      <c r="K1783">
        <v>703948683</v>
      </c>
      <c r="L1783">
        <v>400568670</v>
      </c>
      <c r="M1783">
        <v>517164676</v>
      </c>
      <c r="N1783">
        <v>321489493</v>
      </c>
      <c r="O1783">
        <v>354440775</v>
      </c>
      <c r="P1783">
        <v>274</v>
      </c>
      <c r="Q1783" t="s">
        <v>3885</v>
      </c>
    </row>
    <row r="1784" spans="1:17" x14ac:dyDescent="0.3">
      <c r="A1784" t="s">
        <v>75</v>
      </c>
      <c r="B1784" t="str">
        <f>"300709"</f>
        <v>300709</v>
      </c>
      <c r="C1784" t="s">
        <v>3886</v>
      </c>
      <c r="D1784" t="s">
        <v>55</v>
      </c>
      <c r="E1784">
        <v>659462160</v>
      </c>
      <c r="F1784">
        <v>465502065</v>
      </c>
      <c r="G1784">
        <v>390377180</v>
      </c>
      <c r="H1784">
        <v>257998941</v>
      </c>
      <c r="I1784">
        <v>218618491</v>
      </c>
      <c r="J1784">
        <v>206217557</v>
      </c>
      <c r="P1784">
        <v>220</v>
      </c>
      <c r="Q1784" t="s">
        <v>3887</v>
      </c>
    </row>
    <row r="1785" spans="1:17" x14ac:dyDescent="0.3">
      <c r="A1785" t="s">
        <v>75</v>
      </c>
      <c r="B1785" t="str">
        <f>"002763"</f>
        <v>002763</v>
      </c>
      <c r="C1785" t="s">
        <v>3888</v>
      </c>
      <c r="D1785" t="s">
        <v>2921</v>
      </c>
      <c r="E1785">
        <v>659413249</v>
      </c>
      <c r="F1785">
        <v>679959964</v>
      </c>
      <c r="G1785">
        <v>487718637</v>
      </c>
      <c r="H1785">
        <v>650011866</v>
      </c>
      <c r="I1785">
        <v>560504848</v>
      </c>
      <c r="J1785">
        <v>556260024</v>
      </c>
      <c r="K1785">
        <v>526726295</v>
      </c>
      <c r="L1785">
        <v>483243863</v>
      </c>
      <c r="M1785">
        <v>432714281</v>
      </c>
      <c r="P1785">
        <v>293</v>
      </c>
      <c r="Q1785" t="s">
        <v>3889</v>
      </c>
    </row>
    <row r="1786" spans="1:17" x14ac:dyDescent="0.3">
      <c r="A1786" t="s">
        <v>17</v>
      </c>
      <c r="B1786" t="str">
        <f>"603856"</f>
        <v>603856</v>
      </c>
      <c r="C1786" t="s">
        <v>3890</v>
      </c>
      <c r="D1786" t="s">
        <v>1583</v>
      </c>
      <c r="E1786">
        <v>659353105</v>
      </c>
      <c r="F1786">
        <v>433855301</v>
      </c>
      <c r="G1786">
        <v>416881768</v>
      </c>
      <c r="H1786">
        <v>353424725</v>
      </c>
      <c r="I1786">
        <v>404237308</v>
      </c>
      <c r="J1786">
        <v>294933765</v>
      </c>
      <c r="P1786">
        <v>138</v>
      </c>
      <c r="Q1786" t="s">
        <v>3891</v>
      </c>
    </row>
    <row r="1787" spans="1:17" x14ac:dyDescent="0.3">
      <c r="A1787" t="s">
        <v>17</v>
      </c>
      <c r="B1787" t="str">
        <f>"605333"</f>
        <v>605333</v>
      </c>
      <c r="C1787" t="s">
        <v>3892</v>
      </c>
      <c r="D1787" t="s">
        <v>433</v>
      </c>
      <c r="E1787">
        <v>658638051</v>
      </c>
      <c r="F1787">
        <v>302908819</v>
      </c>
      <c r="G1787">
        <v>305346327</v>
      </c>
      <c r="P1787">
        <v>85</v>
      </c>
      <c r="Q1787" t="s">
        <v>3893</v>
      </c>
    </row>
    <row r="1788" spans="1:17" x14ac:dyDescent="0.3">
      <c r="A1788" t="s">
        <v>17</v>
      </c>
      <c r="B1788" t="str">
        <f>"688676"</f>
        <v>688676</v>
      </c>
      <c r="C1788" t="s">
        <v>3894</v>
      </c>
      <c r="D1788" t="s">
        <v>347</v>
      </c>
      <c r="E1788">
        <v>658556065</v>
      </c>
      <c r="F1788">
        <v>551640884</v>
      </c>
      <c r="G1788">
        <v>357642550</v>
      </c>
      <c r="P1788">
        <v>42</v>
      </c>
      <c r="Q1788" t="s">
        <v>3895</v>
      </c>
    </row>
    <row r="1789" spans="1:17" x14ac:dyDescent="0.3">
      <c r="A1789" t="s">
        <v>17</v>
      </c>
      <c r="B1789" t="str">
        <f>"600218"</f>
        <v>600218</v>
      </c>
      <c r="C1789" t="s">
        <v>3896</v>
      </c>
      <c r="D1789" t="s">
        <v>172</v>
      </c>
      <c r="E1789">
        <v>658289144</v>
      </c>
      <c r="F1789">
        <v>863489415</v>
      </c>
      <c r="G1789">
        <v>630930637</v>
      </c>
      <c r="H1789">
        <v>467418642</v>
      </c>
      <c r="I1789">
        <v>530779545</v>
      </c>
      <c r="J1789">
        <v>357646858</v>
      </c>
      <c r="K1789">
        <v>398309532</v>
      </c>
      <c r="L1789">
        <v>426026428</v>
      </c>
      <c r="M1789">
        <v>261716738</v>
      </c>
      <c r="N1789">
        <v>302456306</v>
      </c>
      <c r="O1789">
        <v>291817287</v>
      </c>
      <c r="P1789">
        <v>166</v>
      </c>
      <c r="Q1789" t="s">
        <v>3897</v>
      </c>
    </row>
    <row r="1790" spans="1:17" x14ac:dyDescent="0.3">
      <c r="A1790" t="s">
        <v>75</v>
      </c>
      <c r="B1790" t="str">
        <f>"000089"</f>
        <v>000089</v>
      </c>
      <c r="C1790" t="s">
        <v>3898</v>
      </c>
      <c r="D1790" t="s">
        <v>2262</v>
      </c>
      <c r="E1790">
        <v>657242449</v>
      </c>
      <c r="F1790">
        <v>741803503</v>
      </c>
      <c r="G1790">
        <v>668281752</v>
      </c>
      <c r="H1790">
        <v>615982298</v>
      </c>
      <c r="I1790">
        <v>641896875</v>
      </c>
      <c r="J1790">
        <v>605416791</v>
      </c>
      <c r="K1790">
        <v>590471683</v>
      </c>
      <c r="L1790">
        <v>604530726</v>
      </c>
      <c r="M1790">
        <v>537921416</v>
      </c>
      <c r="N1790">
        <v>484198470</v>
      </c>
      <c r="O1790">
        <v>441119536</v>
      </c>
      <c r="P1790">
        <v>665</v>
      </c>
      <c r="Q1790" t="s">
        <v>3899</v>
      </c>
    </row>
    <row r="1791" spans="1:17" x14ac:dyDescent="0.3">
      <c r="A1791" t="s">
        <v>17</v>
      </c>
      <c r="B1791" t="str">
        <f>"603507"</f>
        <v>603507</v>
      </c>
      <c r="C1791" t="s">
        <v>3900</v>
      </c>
      <c r="D1791" t="s">
        <v>1398</v>
      </c>
      <c r="E1791">
        <v>656642670</v>
      </c>
      <c r="F1791">
        <v>430496878</v>
      </c>
      <c r="G1791">
        <v>513976511</v>
      </c>
      <c r="H1791">
        <v>292708888</v>
      </c>
      <c r="I1791">
        <v>132779141</v>
      </c>
      <c r="J1791">
        <v>212523371</v>
      </c>
      <c r="P1791">
        <v>135</v>
      </c>
      <c r="Q1791" t="s">
        <v>3901</v>
      </c>
    </row>
    <row r="1792" spans="1:17" x14ac:dyDescent="0.3">
      <c r="A1792" t="s">
        <v>17</v>
      </c>
      <c r="B1792" t="str">
        <f>"688220"</f>
        <v>688220</v>
      </c>
      <c r="C1792" t="s">
        <v>3902</v>
      </c>
      <c r="D1792" t="s">
        <v>2580</v>
      </c>
      <c r="E1792">
        <v>656592897</v>
      </c>
      <c r="P1792">
        <v>19</v>
      </c>
      <c r="Q1792" t="s">
        <v>3903</v>
      </c>
    </row>
    <row r="1793" spans="1:17" x14ac:dyDescent="0.3">
      <c r="A1793" t="s">
        <v>17</v>
      </c>
      <c r="B1793" t="str">
        <f>"603901"</f>
        <v>603901</v>
      </c>
      <c r="C1793" t="s">
        <v>3904</v>
      </c>
      <c r="D1793" t="s">
        <v>3158</v>
      </c>
      <c r="E1793">
        <v>656387202</v>
      </c>
      <c r="F1793">
        <v>589518193</v>
      </c>
      <c r="G1793">
        <v>367489093</v>
      </c>
      <c r="H1793">
        <v>456879741</v>
      </c>
      <c r="I1793">
        <v>426370373</v>
      </c>
      <c r="J1793">
        <v>283035043</v>
      </c>
      <c r="K1793">
        <v>214113162</v>
      </c>
      <c r="L1793">
        <v>225657104</v>
      </c>
      <c r="M1793">
        <v>203243483</v>
      </c>
      <c r="P1793">
        <v>140</v>
      </c>
      <c r="Q1793" t="s">
        <v>3905</v>
      </c>
    </row>
    <row r="1794" spans="1:17" x14ac:dyDescent="0.3">
      <c r="A1794" t="s">
        <v>75</v>
      </c>
      <c r="B1794" t="str">
        <f>"300129"</f>
        <v>300129</v>
      </c>
      <c r="C1794" t="s">
        <v>3906</v>
      </c>
      <c r="D1794" t="s">
        <v>1398</v>
      </c>
      <c r="E1794">
        <v>656021238</v>
      </c>
      <c r="F1794">
        <v>852386324</v>
      </c>
      <c r="G1794">
        <v>641003977</v>
      </c>
      <c r="H1794">
        <v>408840337</v>
      </c>
      <c r="I1794">
        <v>339963507</v>
      </c>
      <c r="J1794">
        <v>235019014</v>
      </c>
      <c r="K1794">
        <v>308521800</v>
      </c>
      <c r="L1794">
        <v>430355185</v>
      </c>
      <c r="M1794">
        <v>317556549</v>
      </c>
      <c r="N1794">
        <v>183213400</v>
      </c>
      <c r="O1794">
        <v>84191702</v>
      </c>
      <c r="P1794">
        <v>183</v>
      </c>
      <c r="Q1794" t="s">
        <v>3907</v>
      </c>
    </row>
    <row r="1795" spans="1:17" x14ac:dyDescent="0.3">
      <c r="A1795" t="s">
        <v>17</v>
      </c>
      <c r="B1795" t="str">
        <f>"603109"</f>
        <v>603109</v>
      </c>
      <c r="C1795" t="s">
        <v>3908</v>
      </c>
      <c r="D1795" t="s">
        <v>1321</v>
      </c>
      <c r="E1795">
        <v>655672007</v>
      </c>
      <c r="F1795">
        <v>395964714</v>
      </c>
      <c r="G1795">
        <v>245734900</v>
      </c>
      <c r="H1795">
        <v>273340601</v>
      </c>
      <c r="P1795">
        <v>80</v>
      </c>
      <c r="Q1795" t="s">
        <v>3909</v>
      </c>
    </row>
    <row r="1796" spans="1:17" x14ac:dyDescent="0.3">
      <c r="A1796" t="s">
        <v>75</v>
      </c>
      <c r="B1796" t="str">
        <f>"300543"</f>
        <v>300543</v>
      </c>
      <c r="C1796" t="s">
        <v>3910</v>
      </c>
      <c r="D1796" t="s">
        <v>55</v>
      </c>
      <c r="E1796">
        <v>655480694</v>
      </c>
      <c r="F1796">
        <v>402845557</v>
      </c>
      <c r="G1796">
        <v>329726182</v>
      </c>
      <c r="H1796">
        <v>282794116</v>
      </c>
      <c r="I1796">
        <v>252800395</v>
      </c>
      <c r="J1796">
        <v>245473735</v>
      </c>
      <c r="K1796">
        <v>184758969</v>
      </c>
      <c r="P1796">
        <v>152</v>
      </c>
      <c r="Q1796" t="s">
        <v>3911</v>
      </c>
    </row>
    <row r="1797" spans="1:17" x14ac:dyDescent="0.3">
      <c r="A1797" t="s">
        <v>75</v>
      </c>
      <c r="B1797" t="str">
        <f>"002488"</f>
        <v>002488</v>
      </c>
      <c r="C1797" t="s">
        <v>3912</v>
      </c>
      <c r="D1797" t="s">
        <v>904</v>
      </c>
      <c r="E1797">
        <v>654405335</v>
      </c>
      <c r="F1797">
        <v>622920566</v>
      </c>
      <c r="G1797">
        <v>710564248</v>
      </c>
      <c r="H1797">
        <v>416436331</v>
      </c>
      <c r="I1797">
        <v>642751098</v>
      </c>
      <c r="J1797">
        <v>597936278</v>
      </c>
      <c r="K1797">
        <v>576780344</v>
      </c>
      <c r="L1797">
        <v>223317107</v>
      </c>
      <c r="M1797">
        <v>224546137</v>
      </c>
      <c r="N1797">
        <v>202308340</v>
      </c>
      <c r="O1797">
        <v>159989190</v>
      </c>
      <c r="P1797">
        <v>152</v>
      </c>
      <c r="Q1797" t="s">
        <v>3913</v>
      </c>
    </row>
    <row r="1798" spans="1:17" x14ac:dyDescent="0.3">
      <c r="A1798" t="s">
        <v>75</v>
      </c>
      <c r="B1798" t="str">
        <f>"000055"</f>
        <v>000055</v>
      </c>
      <c r="C1798" t="s">
        <v>3914</v>
      </c>
      <c r="D1798" t="s">
        <v>1257</v>
      </c>
      <c r="E1798">
        <v>653472297</v>
      </c>
      <c r="F1798">
        <v>841141839</v>
      </c>
      <c r="G1798">
        <v>552621802</v>
      </c>
      <c r="H1798">
        <v>598615291</v>
      </c>
      <c r="I1798">
        <v>663119561</v>
      </c>
      <c r="J1798">
        <v>854772826</v>
      </c>
      <c r="K1798">
        <v>636891800</v>
      </c>
      <c r="L1798">
        <v>457440375</v>
      </c>
      <c r="M1798">
        <v>327320310</v>
      </c>
      <c r="N1798">
        <v>356313688</v>
      </c>
      <c r="O1798">
        <v>236609873</v>
      </c>
      <c r="P1798">
        <v>318</v>
      </c>
      <c r="Q1798" t="s">
        <v>3915</v>
      </c>
    </row>
    <row r="1799" spans="1:17" x14ac:dyDescent="0.3">
      <c r="A1799" t="s">
        <v>75</v>
      </c>
      <c r="B1799" t="str">
        <f>"000838"</f>
        <v>000838</v>
      </c>
      <c r="C1799" t="s">
        <v>3916</v>
      </c>
      <c r="D1799" t="s">
        <v>65</v>
      </c>
      <c r="E1799">
        <v>652653345</v>
      </c>
      <c r="F1799">
        <v>2087827111</v>
      </c>
      <c r="G1799">
        <v>917617701</v>
      </c>
      <c r="H1799">
        <v>1139939613</v>
      </c>
      <c r="I1799">
        <v>1137606826</v>
      </c>
      <c r="J1799">
        <v>363224745</v>
      </c>
      <c r="K1799">
        <v>204759895</v>
      </c>
      <c r="L1799">
        <v>234063916</v>
      </c>
      <c r="M1799">
        <v>144033419</v>
      </c>
      <c r="N1799">
        <v>126699039</v>
      </c>
      <c r="O1799">
        <v>101803830</v>
      </c>
      <c r="P1799">
        <v>98</v>
      </c>
      <c r="Q1799" t="s">
        <v>3917</v>
      </c>
    </row>
    <row r="1800" spans="1:17" x14ac:dyDescent="0.3">
      <c r="A1800" t="s">
        <v>17</v>
      </c>
      <c r="B1800" t="str">
        <f>"600622"</f>
        <v>600622</v>
      </c>
      <c r="C1800" t="s">
        <v>3918</v>
      </c>
      <c r="D1800" t="s">
        <v>65</v>
      </c>
      <c r="E1800">
        <v>651944476</v>
      </c>
      <c r="F1800">
        <v>1739002724</v>
      </c>
      <c r="G1800">
        <v>405673564</v>
      </c>
      <c r="H1800">
        <v>1245510812</v>
      </c>
      <c r="I1800">
        <v>1005004051</v>
      </c>
      <c r="J1800">
        <v>249805289</v>
      </c>
      <c r="K1800">
        <v>1017021519</v>
      </c>
      <c r="L1800">
        <v>554466573</v>
      </c>
      <c r="M1800">
        <v>495727522</v>
      </c>
      <c r="N1800">
        <v>360329409</v>
      </c>
      <c r="O1800">
        <v>547300843</v>
      </c>
      <c r="P1800">
        <v>246</v>
      </c>
      <c r="Q1800" t="s">
        <v>3919</v>
      </c>
    </row>
    <row r="1801" spans="1:17" x14ac:dyDescent="0.3">
      <c r="A1801" t="s">
        <v>17</v>
      </c>
      <c r="B1801" t="str">
        <f>"600400"</f>
        <v>600400</v>
      </c>
      <c r="C1801" t="s">
        <v>3920</v>
      </c>
      <c r="D1801" t="s">
        <v>814</v>
      </c>
      <c r="E1801">
        <v>651667875</v>
      </c>
      <c r="F1801">
        <v>652388660</v>
      </c>
      <c r="G1801">
        <v>776815732</v>
      </c>
      <c r="H1801">
        <v>864806040</v>
      </c>
      <c r="I1801">
        <v>882710592</v>
      </c>
      <c r="J1801">
        <v>818394461</v>
      </c>
      <c r="K1801">
        <v>833166496</v>
      </c>
      <c r="L1801">
        <v>756562252</v>
      </c>
      <c r="M1801">
        <v>619071006</v>
      </c>
      <c r="N1801">
        <v>728932931</v>
      </c>
      <c r="O1801">
        <v>495104292</v>
      </c>
      <c r="P1801">
        <v>165</v>
      </c>
      <c r="Q1801" t="s">
        <v>3921</v>
      </c>
    </row>
    <row r="1802" spans="1:17" x14ac:dyDescent="0.3">
      <c r="A1802" t="s">
        <v>17</v>
      </c>
      <c r="B1802" t="str">
        <f>"688162"</f>
        <v>688162</v>
      </c>
      <c r="C1802" t="s">
        <v>3922</v>
      </c>
      <c r="D1802" t="s">
        <v>172</v>
      </c>
      <c r="E1802">
        <v>651164255</v>
      </c>
      <c r="F1802">
        <v>330601489</v>
      </c>
      <c r="P1802">
        <v>31</v>
      </c>
      <c r="Q1802" t="s">
        <v>3923</v>
      </c>
    </row>
    <row r="1803" spans="1:17" x14ac:dyDescent="0.3">
      <c r="A1803" t="s">
        <v>17</v>
      </c>
      <c r="B1803" t="str">
        <f>"600227"</f>
        <v>600227</v>
      </c>
      <c r="C1803" t="s">
        <v>3924</v>
      </c>
      <c r="D1803" t="s">
        <v>543</v>
      </c>
      <c r="E1803">
        <v>651084204</v>
      </c>
      <c r="F1803">
        <v>441872471</v>
      </c>
      <c r="G1803">
        <v>266595874</v>
      </c>
      <c r="H1803">
        <v>394347809</v>
      </c>
      <c r="I1803">
        <v>363889817</v>
      </c>
      <c r="J1803">
        <v>152854350</v>
      </c>
      <c r="K1803">
        <v>1079859533</v>
      </c>
      <c r="L1803">
        <v>717581555</v>
      </c>
      <c r="M1803">
        <v>511494764</v>
      </c>
      <c r="N1803">
        <v>1027226642</v>
      </c>
      <c r="O1803">
        <v>638100110</v>
      </c>
      <c r="P1803">
        <v>114</v>
      </c>
      <c r="Q1803" t="s">
        <v>3925</v>
      </c>
    </row>
    <row r="1804" spans="1:17" x14ac:dyDescent="0.3">
      <c r="A1804" t="s">
        <v>75</v>
      </c>
      <c r="B1804" t="str">
        <f>"002410"</f>
        <v>002410</v>
      </c>
      <c r="C1804" t="s">
        <v>3926</v>
      </c>
      <c r="D1804" t="s">
        <v>116</v>
      </c>
      <c r="E1804">
        <v>649569827</v>
      </c>
      <c r="F1804">
        <v>636580519</v>
      </c>
      <c r="G1804">
        <v>369890177</v>
      </c>
      <c r="H1804">
        <v>367399715</v>
      </c>
      <c r="I1804">
        <v>295768623</v>
      </c>
      <c r="J1804">
        <v>283801041</v>
      </c>
      <c r="K1804">
        <v>226416281</v>
      </c>
      <c r="L1804">
        <v>192627128</v>
      </c>
      <c r="M1804">
        <v>235446642</v>
      </c>
      <c r="N1804">
        <v>198829090</v>
      </c>
      <c r="O1804">
        <v>128376203</v>
      </c>
      <c r="P1804">
        <v>2190</v>
      </c>
      <c r="Q1804" t="s">
        <v>3927</v>
      </c>
    </row>
    <row r="1805" spans="1:17" x14ac:dyDescent="0.3">
      <c r="A1805" t="s">
        <v>75</v>
      </c>
      <c r="B1805" t="str">
        <f>"300055"</f>
        <v>300055</v>
      </c>
      <c r="C1805" t="s">
        <v>3928</v>
      </c>
      <c r="D1805" t="s">
        <v>1107</v>
      </c>
      <c r="E1805">
        <v>649290844</v>
      </c>
      <c r="F1805">
        <v>328914528</v>
      </c>
      <c r="G1805">
        <v>64539780</v>
      </c>
      <c r="H1805">
        <v>132869589</v>
      </c>
      <c r="I1805">
        <v>536935255</v>
      </c>
      <c r="J1805">
        <v>146823948</v>
      </c>
      <c r="K1805">
        <v>151536372</v>
      </c>
      <c r="L1805">
        <v>207511129</v>
      </c>
      <c r="M1805">
        <v>59835825</v>
      </c>
      <c r="N1805">
        <v>77991760</v>
      </c>
      <c r="O1805">
        <v>103866151</v>
      </c>
      <c r="P1805">
        <v>163</v>
      </c>
      <c r="Q1805" t="s">
        <v>3929</v>
      </c>
    </row>
    <row r="1806" spans="1:17" x14ac:dyDescent="0.3">
      <c r="A1806" t="s">
        <v>75</v>
      </c>
      <c r="B1806" t="str">
        <f>"300033"</f>
        <v>300033</v>
      </c>
      <c r="C1806" t="s">
        <v>3930</v>
      </c>
      <c r="D1806" t="s">
        <v>116</v>
      </c>
      <c r="E1806">
        <v>648329806</v>
      </c>
      <c r="F1806">
        <v>685590667</v>
      </c>
      <c r="G1806">
        <v>506213423</v>
      </c>
      <c r="H1806">
        <v>392363379</v>
      </c>
      <c r="I1806">
        <v>283270873</v>
      </c>
      <c r="J1806">
        <v>320592296</v>
      </c>
      <c r="K1806">
        <v>402781743</v>
      </c>
      <c r="L1806">
        <v>240813151</v>
      </c>
      <c r="M1806">
        <v>53533418</v>
      </c>
      <c r="N1806">
        <v>42980437</v>
      </c>
      <c r="O1806">
        <v>29333268</v>
      </c>
      <c r="P1806">
        <v>2726</v>
      </c>
      <c r="Q1806" t="s">
        <v>3931</v>
      </c>
    </row>
    <row r="1807" spans="1:17" x14ac:dyDescent="0.3">
      <c r="A1807" t="s">
        <v>17</v>
      </c>
      <c r="B1807" t="str">
        <f>"688680"</f>
        <v>688680</v>
      </c>
      <c r="C1807" t="s">
        <v>3932</v>
      </c>
      <c r="D1807" t="s">
        <v>1512</v>
      </c>
      <c r="E1807">
        <v>647524084</v>
      </c>
      <c r="F1807">
        <v>149600699</v>
      </c>
      <c r="G1807">
        <v>155223210</v>
      </c>
      <c r="H1807">
        <v>129443717</v>
      </c>
      <c r="I1807">
        <v>96631102</v>
      </c>
      <c r="P1807">
        <v>79</v>
      </c>
      <c r="Q1807" t="s">
        <v>3933</v>
      </c>
    </row>
    <row r="1808" spans="1:17" x14ac:dyDescent="0.3">
      <c r="A1808" t="s">
        <v>75</v>
      </c>
      <c r="B1808" t="str">
        <f>"002799"</f>
        <v>002799</v>
      </c>
      <c r="C1808" t="s">
        <v>3934</v>
      </c>
      <c r="D1808" t="s">
        <v>1176</v>
      </c>
      <c r="E1808">
        <v>647469986</v>
      </c>
      <c r="F1808">
        <v>691175879</v>
      </c>
      <c r="G1808">
        <v>425618722</v>
      </c>
      <c r="H1808">
        <v>232657280</v>
      </c>
      <c r="I1808">
        <v>135495999</v>
      </c>
      <c r="J1808">
        <v>101617732</v>
      </c>
      <c r="K1808">
        <v>104189398</v>
      </c>
      <c r="P1808">
        <v>109</v>
      </c>
      <c r="Q1808" t="s">
        <v>3935</v>
      </c>
    </row>
    <row r="1809" spans="1:17" x14ac:dyDescent="0.3">
      <c r="A1809" t="s">
        <v>75</v>
      </c>
      <c r="B1809" t="str">
        <f>"002721"</f>
        <v>002721</v>
      </c>
      <c r="C1809" t="s">
        <v>3936</v>
      </c>
      <c r="D1809" t="s">
        <v>314</v>
      </c>
      <c r="E1809">
        <v>647432866</v>
      </c>
      <c r="F1809">
        <v>916104388</v>
      </c>
      <c r="G1809">
        <v>1459463136</v>
      </c>
      <c r="H1809">
        <v>2691249913</v>
      </c>
      <c r="I1809">
        <v>7700550762</v>
      </c>
      <c r="J1809">
        <v>2962151822</v>
      </c>
      <c r="K1809">
        <v>2833783644</v>
      </c>
      <c r="L1809">
        <v>1438724950</v>
      </c>
      <c r="M1809">
        <v>607303585</v>
      </c>
      <c r="N1809">
        <v>998132494</v>
      </c>
      <c r="P1809">
        <v>89</v>
      </c>
      <c r="Q1809" t="s">
        <v>3937</v>
      </c>
    </row>
    <row r="1810" spans="1:17" x14ac:dyDescent="0.3">
      <c r="A1810" t="s">
        <v>75</v>
      </c>
      <c r="B1810" t="str">
        <f>"000833"</f>
        <v>000833</v>
      </c>
      <c r="C1810" t="s">
        <v>3938</v>
      </c>
      <c r="D1810" t="s">
        <v>1284</v>
      </c>
      <c r="E1810">
        <v>646657809</v>
      </c>
      <c r="F1810">
        <v>719085033</v>
      </c>
      <c r="G1810">
        <v>971244565</v>
      </c>
      <c r="H1810">
        <v>685599282</v>
      </c>
      <c r="I1810">
        <v>583878726</v>
      </c>
      <c r="J1810">
        <v>390727617</v>
      </c>
      <c r="K1810">
        <v>498511660</v>
      </c>
      <c r="L1810">
        <v>393252030</v>
      </c>
      <c r="M1810">
        <v>298748616</v>
      </c>
      <c r="N1810">
        <v>300336617</v>
      </c>
      <c r="O1810">
        <v>279726642</v>
      </c>
      <c r="P1810">
        <v>88</v>
      </c>
      <c r="Q1810" t="s">
        <v>3939</v>
      </c>
    </row>
    <row r="1811" spans="1:17" x14ac:dyDescent="0.3">
      <c r="A1811" t="s">
        <v>17</v>
      </c>
      <c r="B1811" t="str">
        <f>"603012"</f>
        <v>603012</v>
      </c>
      <c r="C1811" t="s">
        <v>3940</v>
      </c>
      <c r="D1811" t="s">
        <v>786</v>
      </c>
      <c r="E1811">
        <v>645078145</v>
      </c>
      <c r="F1811">
        <v>486727212</v>
      </c>
      <c r="G1811">
        <v>384730095</v>
      </c>
      <c r="H1811">
        <v>210801838</v>
      </c>
      <c r="I1811">
        <v>137358985</v>
      </c>
      <c r="J1811">
        <v>203628347</v>
      </c>
      <c r="K1811">
        <v>189187630</v>
      </c>
      <c r="L1811">
        <v>111034948</v>
      </c>
      <c r="M1811">
        <v>99458214</v>
      </c>
      <c r="P1811">
        <v>135</v>
      </c>
      <c r="Q1811" t="s">
        <v>3941</v>
      </c>
    </row>
    <row r="1812" spans="1:17" x14ac:dyDescent="0.3">
      <c r="A1812" t="s">
        <v>17</v>
      </c>
      <c r="B1812" t="str">
        <f>"688128"</f>
        <v>688128</v>
      </c>
      <c r="C1812" t="s">
        <v>3942</v>
      </c>
      <c r="D1812" t="s">
        <v>1624</v>
      </c>
      <c r="E1812">
        <v>645013700</v>
      </c>
      <c r="F1812">
        <v>567164000</v>
      </c>
      <c r="G1812">
        <v>500537600</v>
      </c>
      <c r="H1812">
        <v>575249793</v>
      </c>
      <c r="P1812">
        <v>68</v>
      </c>
      <c r="Q1812" t="s">
        <v>3943</v>
      </c>
    </row>
    <row r="1813" spans="1:17" x14ac:dyDescent="0.3">
      <c r="A1813" t="s">
        <v>17</v>
      </c>
      <c r="B1813" t="str">
        <f>"603067"</f>
        <v>603067</v>
      </c>
      <c r="C1813" t="s">
        <v>3944</v>
      </c>
      <c r="D1813" t="s">
        <v>1275</v>
      </c>
      <c r="E1813">
        <v>644473065</v>
      </c>
      <c r="F1813">
        <v>467894525</v>
      </c>
      <c r="G1813">
        <v>163479840</v>
      </c>
      <c r="H1813">
        <v>225265239</v>
      </c>
      <c r="I1813">
        <v>198959058</v>
      </c>
      <c r="J1813">
        <v>247220750</v>
      </c>
      <c r="K1813">
        <v>189848511</v>
      </c>
      <c r="P1813">
        <v>136</v>
      </c>
      <c r="Q1813" t="s">
        <v>3945</v>
      </c>
    </row>
    <row r="1814" spans="1:17" x14ac:dyDescent="0.3">
      <c r="A1814" t="s">
        <v>75</v>
      </c>
      <c r="B1814" t="str">
        <f>"002722"</f>
        <v>002722</v>
      </c>
      <c r="C1814" t="s">
        <v>3946</v>
      </c>
      <c r="D1814" t="s">
        <v>2832</v>
      </c>
      <c r="E1814">
        <v>644161365</v>
      </c>
      <c r="F1814">
        <v>700761319</v>
      </c>
      <c r="G1814">
        <v>489649172</v>
      </c>
      <c r="H1814">
        <v>738030604</v>
      </c>
      <c r="I1814">
        <v>879136322</v>
      </c>
      <c r="J1814">
        <v>560687083</v>
      </c>
      <c r="K1814">
        <v>406311762</v>
      </c>
      <c r="L1814">
        <v>96765013</v>
      </c>
      <c r="M1814">
        <v>99137409</v>
      </c>
      <c r="N1814">
        <v>81495536</v>
      </c>
      <c r="P1814">
        <v>102</v>
      </c>
      <c r="Q1814" t="s">
        <v>3947</v>
      </c>
    </row>
    <row r="1815" spans="1:17" x14ac:dyDescent="0.3">
      <c r="A1815" t="s">
        <v>17</v>
      </c>
      <c r="B1815" t="str">
        <f>"603898"</f>
        <v>603898</v>
      </c>
      <c r="C1815" t="s">
        <v>3948</v>
      </c>
      <c r="D1815" t="s">
        <v>1004</v>
      </c>
      <c r="E1815">
        <v>643495817</v>
      </c>
      <c r="F1815">
        <v>751947461</v>
      </c>
      <c r="G1815">
        <v>179466338</v>
      </c>
      <c r="H1815">
        <v>368340648</v>
      </c>
      <c r="I1815">
        <v>355314798</v>
      </c>
      <c r="J1815">
        <v>255963116</v>
      </c>
      <c r="K1815">
        <v>202146742</v>
      </c>
      <c r="L1815">
        <v>145389310</v>
      </c>
      <c r="M1815">
        <v>112284323</v>
      </c>
      <c r="P1815">
        <v>835</v>
      </c>
      <c r="Q1815" t="s">
        <v>3949</v>
      </c>
    </row>
    <row r="1816" spans="1:17" x14ac:dyDescent="0.3">
      <c r="A1816" t="s">
        <v>75</v>
      </c>
      <c r="B1816" t="str">
        <f>"002088"</f>
        <v>002088</v>
      </c>
      <c r="C1816" t="s">
        <v>3950</v>
      </c>
      <c r="D1816" t="s">
        <v>2703</v>
      </c>
      <c r="E1816">
        <v>643475025</v>
      </c>
      <c r="F1816">
        <v>600299854</v>
      </c>
      <c r="G1816">
        <v>333159657</v>
      </c>
      <c r="H1816">
        <v>347563924</v>
      </c>
      <c r="I1816">
        <v>357868860</v>
      </c>
      <c r="J1816">
        <v>334346283</v>
      </c>
      <c r="K1816">
        <v>322460271</v>
      </c>
      <c r="L1816">
        <v>312578596</v>
      </c>
      <c r="M1816">
        <v>300469510</v>
      </c>
      <c r="N1816">
        <v>241401342</v>
      </c>
      <c r="O1816">
        <v>224992444</v>
      </c>
      <c r="P1816">
        <v>407</v>
      </c>
      <c r="Q1816" t="s">
        <v>3951</v>
      </c>
    </row>
    <row r="1817" spans="1:17" x14ac:dyDescent="0.3">
      <c r="A1817" t="s">
        <v>17</v>
      </c>
      <c r="B1817" t="str">
        <f>"605300"</f>
        <v>605300</v>
      </c>
      <c r="C1817" t="s">
        <v>3952</v>
      </c>
      <c r="D1817" t="s">
        <v>215</v>
      </c>
      <c r="E1817">
        <v>643367711</v>
      </c>
      <c r="F1817">
        <v>682253027</v>
      </c>
      <c r="G1817">
        <v>374941460</v>
      </c>
      <c r="P1817">
        <v>56</v>
      </c>
      <c r="Q1817" t="s">
        <v>3953</v>
      </c>
    </row>
    <row r="1818" spans="1:17" x14ac:dyDescent="0.3">
      <c r="A1818" t="s">
        <v>75</v>
      </c>
      <c r="B1818" t="str">
        <f>"300577"</f>
        <v>300577</v>
      </c>
      <c r="C1818" t="s">
        <v>3954</v>
      </c>
      <c r="D1818" t="s">
        <v>2921</v>
      </c>
      <c r="E1818">
        <v>642809549</v>
      </c>
      <c r="F1818">
        <v>506234770</v>
      </c>
      <c r="G1818">
        <v>637495262</v>
      </c>
      <c r="H1818">
        <v>576433323</v>
      </c>
      <c r="I1818">
        <v>417943782</v>
      </c>
      <c r="J1818">
        <v>214247518</v>
      </c>
      <c r="K1818">
        <v>168125437</v>
      </c>
      <c r="P1818">
        <v>486</v>
      </c>
      <c r="Q1818" t="s">
        <v>3955</v>
      </c>
    </row>
    <row r="1819" spans="1:17" x14ac:dyDescent="0.3">
      <c r="A1819" t="s">
        <v>17</v>
      </c>
      <c r="B1819" t="str">
        <f>"600197"</f>
        <v>600197</v>
      </c>
      <c r="C1819" t="s">
        <v>3956</v>
      </c>
      <c r="D1819" t="s">
        <v>201</v>
      </c>
      <c r="E1819">
        <v>642323204</v>
      </c>
      <c r="F1819">
        <v>447721302</v>
      </c>
      <c r="G1819">
        <v>184708210</v>
      </c>
      <c r="H1819">
        <v>680780816</v>
      </c>
      <c r="I1819">
        <v>730605011</v>
      </c>
      <c r="J1819">
        <v>403507893</v>
      </c>
      <c r="K1819">
        <v>438965088</v>
      </c>
      <c r="L1819">
        <v>409870977</v>
      </c>
      <c r="M1819">
        <v>391634518</v>
      </c>
      <c r="N1819">
        <v>453402459</v>
      </c>
      <c r="O1819">
        <v>427545968</v>
      </c>
      <c r="P1819">
        <v>1080</v>
      </c>
      <c r="Q1819" t="s">
        <v>3957</v>
      </c>
    </row>
    <row r="1820" spans="1:17" x14ac:dyDescent="0.3">
      <c r="A1820" t="s">
        <v>75</v>
      </c>
      <c r="B1820" t="str">
        <f>"300323"</f>
        <v>300323</v>
      </c>
      <c r="C1820" t="s">
        <v>3958</v>
      </c>
      <c r="D1820" t="s">
        <v>1044</v>
      </c>
      <c r="E1820">
        <v>641686751</v>
      </c>
      <c r="F1820">
        <v>421920787</v>
      </c>
      <c r="G1820">
        <v>598692253</v>
      </c>
      <c r="H1820">
        <v>633349077</v>
      </c>
      <c r="I1820">
        <v>391330323</v>
      </c>
      <c r="J1820">
        <v>338330941</v>
      </c>
      <c r="K1820">
        <v>219410585</v>
      </c>
      <c r="L1820">
        <v>150562921</v>
      </c>
      <c r="M1820">
        <v>62837800</v>
      </c>
      <c r="N1820">
        <v>47103638</v>
      </c>
      <c r="O1820">
        <v>105553291</v>
      </c>
      <c r="P1820">
        <v>293</v>
      </c>
      <c r="Q1820" t="s">
        <v>3959</v>
      </c>
    </row>
    <row r="1821" spans="1:17" x14ac:dyDescent="0.3">
      <c r="A1821" t="s">
        <v>17</v>
      </c>
      <c r="B1821" t="str">
        <f>"603711"</f>
        <v>603711</v>
      </c>
      <c r="C1821" t="s">
        <v>3960</v>
      </c>
      <c r="D1821" t="s">
        <v>1708</v>
      </c>
      <c r="E1821">
        <v>640480766</v>
      </c>
      <c r="F1821">
        <v>814465041</v>
      </c>
      <c r="G1821">
        <v>478871151</v>
      </c>
      <c r="H1821">
        <v>971331526</v>
      </c>
      <c r="I1821">
        <v>776686435</v>
      </c>
      <c r="J1821">
        <v>292537534</v>
      </c>
      <c r="P1821">
        <v>392</v>
      </c>
      <c r="Q1821" t="s">
        <v>3961</v>
      </c>
    </row>
    <row r="1822" spans="1:17" x14ac:dyDescent="0.3">
      <c r="A1822" t="s">
        <v>75</v>
      </c>
      <c r="B1822" t="str">
        <f>"300233"</f>
        <v>300233</v>
      </c>
      <c r="C1822" t="s">
        <v>3962</v>
      </c>
      <c r="D1822" t="s">
        <v>543</v>
      </c>
      <c r="E1822">
        <v>637541967</v>
      </c>
      <c r="F1822">
        <v>609421177</v>
      </c>
      <c r="G1822">
        <v>530050437</v>
      </c>
      <c r="H1822">
        <v>539057824</v>
      </c>
      <c r="I1822">
        <v>497624549</v>
      </c>
      <c r="J1822">
        <v>271244983</v>
      </c>
      <c r="K1822">
        <v>279357362</v>
      </c>
      <c r="L1822">
        <v>301930081</v>
      </c>
      <c r="M1822">
        <v>263714203</v>
      </c>
      <c r="N1822">
        <v>195137424</v>
      </c>
      <c r="O1822">
        <v>157532619</v>
      </c>
      <c r="P1822">
        <v>202</v>
      </c>
      <c r="Q1822" t="s">
        <v>3963</v>
      </c>
    </row>
    <row r="1823" spans="1:17" x14ac:dyDescent="0.3">
      <c r="A1823" t="s">
        <v>17</v>
      </c>
      <c r="B1823" t="str">
        <f>"603587"</f>
        <v>603587</v>
      </c>
      <c r="C1823" t="s">
        <v>3964</v>
      </c>
      <c r="D1823" t="s">
        <v>814</v>
      </c>
      <c r="E1823">
        <v>637289707</v>
      </c>
      <c r="F1823">
        <v>696943260</v>
      </c>
      <c r="G1823">
        <v>500795859</v>
      </c>
      <c r="H1823">
        <v>665296184</v>
      </c>
      <c r="I1823">
        <v>579633511</v>
      </c>
      <c r="J1823">
        <v>527019332</v>
      </c>
      <c r="P1823">
        <v>1011</v>
      </c>
      <c r="Q1823" t="s">
        <v>3965</v>
      </c>
    </row>
    <row r="1824" spans="1:17" x14ac:dyDescent="0.3">
      <c r="A1824" t="s">
        <v>75</v>
      </c>
      <c r="B1824" t="str">
        <f>"000753"</f>
        <v>000753</v>
      </c>
      <c r="C1824" t="s">
        <v>3966</v>
      </c>
      <c r="D1824" t="s">
        <v>1284</v>
      </c>
      <c r="E1824">
        <v>635999127</v>
      </c>
      <c r="F1824">
        <v>613824640</v>
      </c>
      <c r="G1824">
        <v>653295244</v>
      </c>
      <c r="H1824">
        <v>734793103</v>
      </c>
      <c r="I1824">
        <v>781905159</v>
      </c>
      <c r="J1824">
        <v>829283351</v>
      </c>
      <c r="K1824">
        <v>1085417842</v>
      </c>
      <c r="L1824">
        <v>845087893</v>
      </c>
      <c r="M1824">
        <v>824138124</v>
      </c>
      <c r="N1824">
        <v>798491296</v>
      </c>
      <c r="O1824">
        <v>748861879</v>
      </c>
      <c r="P1824">
        <v>85</v>
      </c>
      <c r="Q1824" t="s">
        <v>3967</v>
      </c>
    </row>
    <row r="1825" spans="1:17" x14ac:dyDescent="0.3">
      <c r="A1825" t="s">
        <v>75</v>
      </c>
      <c r="B1825" t="str">
        <f>"002420"</f>
        <v>002420</v>
      </c>
      <c r="C1825" t="s">
        <v>3968</v>
      </c>
      <c r="D1825" t="s">
        <v>1063</v>
      </c>
      <c r="E1825">
        <v>635145194</v>
      </c>
      <c r="F1825">
        <v>863176151</v>
      </c>
      <c r="G1825">
        <v>483976486</v>
      </c>
      <c r="H1825">
        <v>1205771288</v>
      </c>
      <c r="I1825">
        <v>1984683131</v>
      </c>
      <c r="J1825">
        <v>1950768271</v>
      </c>
      <c r="K1825">
        <v>1462129658</v>
      </c>
      <c r="L1825">
        <v>1090471678</v>
      </c>
      <c r="M1825">
        <v>823574628</v>
      </c>
      <c r="N1825">
        <v>722071585</v>
      </c>
      <c r="O1825">
        <v>530668481</v>
      </c>
      <c r="P1825">
        <v>82</v>
      </c>
      <c r="Q1825" t="s">
        <v>3969</v>
      </c>
    </row>
    <row r="1826" spans="1:17" x14ac:dyDescent="0.3">
      <c r="A1826" t="s">
        <v>75</v>
      </c>
      <c r="B1826" t="str">
        <f>"000547"</f>
        <v>000547</v>
      </c>
      <c r="C1826" t="s">
        <v>3970</v>
      </c>
      <c r="D1826" t="s">
        <v>1572</v>
      </c>
      <c r="E1826">
        <v>634848449</v>
      </c>
      <c r="F1826">
        <v>523223366</v>
      </c>
      <c r="G1826">
        <v>566649342</v>
      </c>
      <c r="H1826">
        <v>394425683</v>
      </c>
      <c r="I1826">
        <v>167104724</v>
      </c>
      <c r="J1826">
        <v>120596512</v>
      </c>
      <c r="K1826">
        <v>262692938</v>
      </c>
      <c r="L1826">
        <v>224273769</v>
      </c>
      <c r="M1826">
        <v>315829906</v>
      </c>
      <c r="N1826">
        <v>174304116</v>
      </c>
      <c r="O1826">
        <v>79905017</v>
      </c>
      <c r="P1826">
        <v>612</v>
      </c>
      <c r="Q1826" t="s">
        <v>3971</v>
      </c>
    </row>
    <row r="1827" spans="1:17" x14ac:dyDescent="0.3">
      <c r="A1827" t="s">
        <v>75</v>
      </c>
      <c r="B1827" t="str">
        <f>"000010"</f>
        <v>000010</v>
      </c>
      <c r="C1827" t="s">
        <v>3972</v>
      </c>
      <c r="D1827" t="s">
        <v>1523</v>
      </c>
      <c r="E1827">
        <v>633980112</v>
      </c>
      <c r="F1827">
        <v>329313261</v>
      </c>
      <c r="G1827">
        <v>207710790</v>
      </c>
      <c r="H1827">
        <v>368100978</v>
      </c>
      <c r="I1827">
        <v>223262081</v>
      </c>
      <c r="J1827">
        <v>1152056785</v>
      </c>
      <c r="K1827">
        <v>191471676</v>
      </c>
      <c r="L1827">
        <v>50969519</v>
      </c>
      <c r="M1827">
        <v>67712716</v>
      </c>
      <c r="N1827">
        <v>44243078</v>
      </c>
      <c r="O1827">
        <v>47447565</v>
      </c>
      <c r="P1827">
        <v>93</v>
      </c>
      <c r="Q1827" t="s">
        <v>3973</v>
      </c>
    </row>
    <row r="1828" spans="1:17" x14ac:dyDescent="0.3">
      <c r="A1828" t="s">
        <v>75</v>
      </c>
      <c r="B1828" t="str">
        <f>"300672"</f>
        <v>300672</v>
      </c>
      <c r="C1828" t="s">
        <v>3974</v>
      </c>
      <c r="D1828" t="s">
        <v>883</v>
      </c>
      <c r="E1828">
        <v>633248329</v>
      </c>
      <c r="F1828">
        <v>470087177</v>
      </c>
      <c r="G1828">
        <v>129488570</v>
      </c>
      <c r="H1828">
        <v>41481776</v>
      </c>
      <c r="I1828">
        <v>20863756</v>
      </c>
      <c r="J1828">
        <v>68695609</v>
      </c>
      <c r="K1828">
        <v>92015733</v>
      </c>
      <c r="P1828">
        <v>305</v>
      </c>
      <c r="Q1828" t="s">
        <v>3975</v>
      </c>
    </row>
    <row r="1829" spans="1:17" x14ac:dyDescent="0.3">
      <c r="A1829" t="s">
        <v>75</v>
      </c>
      <c r="B1829" t="str">
        <f>"000591"</f>
        <v>000591</v>
      </c>
      <c r="C1829" t="s">
        <v>3976</v>
      </c>
      <c r="D1829" t="s">
        <v>3126</v>
      </c>
      <c r="E1829">
        <v>632775641</v>
      </c>
      <c r="F1829">
        <v>612283902</v>
      </c>
      <c r="G1829">
        <v>475766674</v>
      </c>
      <c r="H1829">
        <v>255916498</v>
      </c>
      <c r="I1829">
        <v>375999905</v>
      </c>
      <c r="J1829">
        <v>343452074</v>
      </c>
      <c r="K1829">
        <v>675983665</v>
      </c>
      <c r="L1829">
        <v>1444116739</v>
      </c>
      <c r="M1829">
        <v>1441035935</v>
      </c>
      <c r="N1829">
        <v>1371589797</v>
      </c>
      <c r="O1829">
        <v>1626190645</v>
      </c>
      <c r="P1829">
        <v>664</v>
      </c>
      <c r="Q1829" t="s">
        <v>3977</v>
      </c>
    </row>
    <row r="1830" spans="1:17" x14ac:dyDescent="0.3">
      <c r="A1830" t="s">
        <v>75</v>
      </c>
      <c r="B1830" t="str">
        <f>"002989"</f>
        <v>002989</v>
      </c>
      <c r="C1830" t="s">
        <v>3978</v>
      </c>
      <c r="D1830" t="s">
        <v>707</v>
      </c>
      <c r="E1830">
        <v>632451208</v>
      </c>
      <c r="F1830">
        <v>498708806</v>
      </c>
      <c r="G1830">
        <v>455575700</v>
      </c>
      <c r="H1830">
        <v>386141697</v>
      </c>
      <c r="P1830">
        <v>137</v>
      </c>
      <c r="Q1830" t="s">
        <v>3979</v>
      </c>
    </row>
    <row r="1831" spans="1:17" x14ac:dyDescent="0.3">
      <c r="A1831" t="s">
        <v>75</v>
      </c>
      <c r="B1831" t="str">
        <f>"000718"</f>
        <v>000718</v>
      </c>
      <c r="C1831" t="s">
        <v>3980</v>
      </c>
      <c r="D1831" t="s">
        <v>65</v>
      </c>
      <c r="E1831">
        <v>631593579</v>
      </c>
      <c r="F1831">
        <v>848058110</v>
      </c>
      <c r="G1831">
        <v>305377131</v>
      </c>
      <c r="H1831">
        <v>731222555</v>
      </c>
      <c r="I1831">
        <v>809533170</v>
      </c>
      <c r="J1831">
        <v>957754801</v>
      </c>
      <c r="K1831">
        <v>2085089982</v>
      </c>
      <c r="L1831">
        <v>1336711641</v>
      </c>
      <c r="M1831">
        <v>1421167168</v>
      </c>
      <c r="N1831">
        <v>1603707478</v>
      </c>
      <c r="O1831">
        <v>1384827876</v>
      </c>
      <c r="P1831">
        <v>659</v>
      </c>
      <c r="Q1831" t="s">
        <v>3981</v>
      </c>
    </row>
    <row r="1832" spans="1:17" x14ac:dyDescent="0.3">
      <c r="A1832" t="s">
        <v>75</v>
      </c>
      <c r="B1832" t="str">
        <f>"300054"</f>
        <v>300054</v>
      </c>
      <c r="C1832" t="s">
        <v>3982</v>
      </c>
      <c r="D1832" t="s">
        <v>1853</v>
      </c>
      <c r="E1832">
        <v>631332941</v>
      </c>
      <c r="F1832">
        <v>555142694</v>
      </c>
      <c r="G1832">
        <v>399476199</v>
      </c>
      <c r="H1832">
        <v>320259458</v>
      </c>
      <c r="I1832">
        <v>351942279</v>
      </c>
      <c r="J1832">
        <v>425953971</v>
      </c>
      <c r="K1832">
        <v>275990105</v>
      </c>
      <c r="L1832">
        <v>257040151</v>
      </c>
      <c r="M1832">
        <v>210855542</v>
      </c>
      <c r="N1832">
        <v>114696918</v>
      </c>
      <c r="O1832">
        <v>55496405</v>
      </c>
      <c r="P1832">
        <v>367</v>
      </c>
      <c r="Q1832" t="s">
        <v>3983</v>
      </c>
    </row>
    <row r="1833" spans="1:17" x14ac:dyDescent="0.3">
      <c r="A1833" t="s">
        <v>17</v>
      </c>
      <c r="B1833" t="str">
        <f>"605056"</f>
        <v>605056</v>
      </c>
      <c r="C1833" t="s">
        <v>3984</v>
      </c>
      <c r="D1833" t="s">
        <v>2549</v>
      </c>
      <c r="E1833">
        <v>631152504</v>
      </c>
      <c r="F1833">
        <v>561401106</v>
      </c>
      <c r="G1833">
        <v>476659892</v>
      </c>
      <c r="P1833">
        <v>21</v>
      </c>
      <c r="Q1833" t="s">
        <v>3985</v>
      </c>
    </row>
    <row r="1834" spans="1:17" x14ac:dyDescent="0.3">
      <c r="A1834" t="s">
        <v>17</v>
      </c>
      <c r="B1834" t="str">
        <f>"600101"</f>
        <v>600101</v>
      </c>
      <c r="C1834" t="s">
        <v>3986</v>
      </c>
      <c r="D1834" t="s">
        <v>457</v>
      </c>
      <c r="E1834">
        <v>630689158</v>
      </c>
      <c r="F1834">
        <v>444147661</v>
      </c>
      <c r="G1834">
        <v>401329051</v>
      </c>
      <c r="H1834">
        <v>493783639</v>
      </c>
      <c r="I1834">
        <v>469179329</v>
      </c>
      <c r="J1834">
        <v>398591872</v>
      </c>
      <c r="K1834">
        <v>407057780</v>
      </c>
      <c r="L1834">
        <v>416580028</v>
      </c>
      <c r="M1834">
        <v>392303216</v>
      </c>
      <c r="N1834">
        <v>309341037</v>
      </c>
      <c r="O1834">
        <v>275553896</v>
      </c>
      <c r="P1834">
        <v>123</v>
      </c>
      <c r="Q1834" t="s">
        <v>3987</v>
      </c>
    </row>
    <row r="1835" spans="1:17" x14ac:dyDescent="0.3">
      <c r="A1835" t="s">
        <v>75</v>
      </c>
      <c r="B1835" t="str">
        <f>"002518"</f>
        <v>002518</v>
      </c>
      <c r="C1835" t="s">
        <v>3988</v>
      </c>
      <c r="D1835" t="s">
        <v>2692</v>
      </c>
      <c r="E1835">
        <v>630664981</v>
      </c>
      <c r="F1835">
        <v>555185101</v>
      </c>
      <c r="G1835">
        <v>473976704</v>
      </c>
      <c r="H1835">
        <v>505367081</v>
      </c>
      <c r="I1835">
        <v>441454173</v>
      </c>
      <c r="J1835">
        <v>392397421</v>
      </c>
      <c r="K1835">
        <v>305298144</v>
      </c>
      <c r="L1835">
        <v>289347539</v>
      </c>
      <c r="M1835">
        <v>237679415</v>
      </c>
      <c r="N1835">
        <v>203283831</v>
      </c>
      <c r="O1835">
        <v>176457783</v>
      </c>
      <c r="P1835">
        <v>401</v>
      </c>
      <c r="Q1835" t="s">
        <v>3989</v>
      </c>
    </row>
    <row r="1836" spans="1:17" x14ac:dyDescent="0.3">
      <c r="A1836" t="s">
        <v>75</v>
      </c>
      <c r="B1836" t="str">
        <f>"300925"</f>
        <v>300925</v>
      </c>
      <c r="C1836" t="s">
        <v>3990</v>
      </c>
      <c r="D1836" t="s">
        <v>116</v>
      </c>
      <c r="E1836">
        <v>630550875</v>
      </c>
      <c r="F1836">
        <v>510764272</v>
      </c>
      <c r="G1836">
        <v>259439469</v>
      </c>
      <c r="P1836">
        <v>72</v>
      </c>
      <c r="Q1836" t="s">
        <v>3991</v>
      </c>
    </row>
    <row r="1837" spans="1:17" x14ac:dyDescent="0.3">
      <c r="A1837" t="s">
        <v>75</v>
      </c>
      <c r="B1837" t="str">
        <f>"002653"</f>
        <v>002653</v>
      </c>
      <c r="C1837" t="s">
        <v>3992</v>
      </c>
      <c r="D1837" t="s">
        <v>543</v>
      </c>
      <c r="E1837">
        <v>630369402</v>
      </c>
      <c r="F1837">
        <v>809661118</v>
      </c>
      <c r="G1837">
        <v>756251731</v>
      </c>
      <c r="H1837">
        <v>1053559483</v>
      </c>
      <c r="I1837">
        <v>578285908</v>
      </c>
      <c r="J1837">
        <v>353938627</v>
      </c>
      <c r="K1837">
        <v>215581963</v>
      </c>
      <c r="L1837">
        <v>274319438</v>
      </c>
      <c r="M1837">
        <v>246635599</v>
      </c>
      <c r="N1837">
        <v>205091633</v>
      </c>
      <c r="O1837">
        <v>127840948</v>
      </c>
      <c r="P1837">
        <v>549</v>
      </c>
      <c r="Q1837" t="s">
        <v>3993</v>
      </c>
    </row>
    <row r="1838" spans="1:17" x14ac:dyDescent="0.3">
      <c r="A1838" t="s">
        <v>17</v>
      </c>
      <c r="B1838" t="str">
        <f>"600285"</f>
        <v>600285</v>
      </c>
      <c r="C1838" t="s">
        <v>3994</v>
      </c>
      <c r="D1838" t="s">
        <v>321</v>
      </c>
      <c r="E1838">
        <v>629898482</v>
      </c>
      <c r="F1838">
        <v>642998524</v>
      </c>
      <c r="G1838">
        <v>522410332</v>
      </c>
      <c r="H1838">
        <v>542370683</v>
      </c>
      <c r="I1838">
        <v>559055031</v>
      </c>
      <c r="J1838">
        <v>416039387</v>
      </c>
      <c r="K1838">
        <v>334459810</v>
      </c>
      <c r="L1838">
        <v>279742530</v>
      </c>
      <c r="M1838">
        <v>200270157</v>
      </c>
      <c r="N1838">
        <v>125675906</v>
      </c>
      <c r="O1838">
        <v>95523227</v>
      </c>
      <c r="P1838">
        <v>606</v>
      </c>
      <c r="Q1838" t="s">
        <v>3995</v>
      </c>
    </row>
    <row r="1839" spans="1:17" x14ac:dyDescent="0.3">
      <c r="A1839" t="s">
        <v>75</v>
      </c>
      <c r="B1839" t="str">
        <f>"002165"</f>
        <v>002165</v>
      </c>
      <c r="C1839" t="s">
        <v>3996</v>
      </c>
      <c r="D1839" t="s">
        <v>134</v>
      </c>
      <c r="E1839">
        <v>629785513</v>
      </c>
      <c r="F1839">
        <v>715225769</v>
      </c>
      <c r="G1839">
        <v>384260053</v>
      </c>
      <c r="H1839">
        <v>494528702</v>
      </c>
      <c r="I1839">
        <v>514444676</v>
      </c>
      <c r="J1839">
        <v>333337705</v>
      </c>
      <c r="K1839">
        <v>355603075</v>
      </c>
      <c r="L1839">
        <v>438523321</v>
      </c>
      <c r="M1839">
        <v>417919456</v>
      </c>
      <c r="N1839">
        <v>407411253</v>
      </c>
      <c r="O1839">
        <v>411586431</v>
      </c>
      <c r="P1839">
        <v>100</v>
      </c>
      <c r="Q1839" t="s">
        <v>3997</v>
      </c>
    </row>
    <row r="1840" spans="1:17" x14ac:dyDescent="0.3">
      <c r="A1840" t="s">
        <v>75</v>
      </c>
      <c r="B1840" t="str">
        <f>"300832"</f>
        <v>300832</v>
      </c>
      <c r="C1840" t="s">
        <v>3998</v>
      </c>
      <c r="D1840" t="s">
        <v>967</v>
      </c>
      <c r="E1840">
        <v>629634808</v>
      </c>
      <c r="F1840">
        <v>509311207</v>
      </c>
      <c r="G1840">
        <v>298981409</v>
      </c>
      <c r="H1840">
        <v>336740083</v>
      </c>
      <c r="P1840">
        <v>513</v>
      </c>
      <c r="Q1840" t="s">
        <v>3999</v>
      </c>
    </row>
    <row r="1841" spans="1:17" x14ac:dyDescent="0.3">
      <c r="A1841" t="s">
        <v>75</v>
      </c>
      <c r="B1841" t="str">
        <f>"300568"</f>
        <v>300568</v>
      </c>
      <c r="C1841" t="s">
        <v>4000</v>
      </c>
      <c r="D1841" t="s">
        <v>834</v>
      </c>
      <c r="E1841">
        <v>628521656</v>
      </c>
      <c r="F1841">
        <v>282234983</v>
      </c>
      <c r="G1841">
        <v>159666126</v>
      </c>
      <c r="H1841">
        <v>125084409</v>
      </c>
      <c r="I1841">
        <v>153010375</v>
      </c>
      <c r="J1841">
        <v>81049614</v>
      </c>
      <c r="K1841">
        <v>125378902</v>
      </c>
      <c r="P1841">
        <v>474</v>
      </c>
      <c r="Q1841" t="s">
        <v>4001</v>
      </c>
    </row>
    <row r="1842" spans="1:17" x14ac:dyDescent="0.3">
      <c r="A1842" t="s">
        <v>75</v>
      </c>
      <c r="B1842" t="str">
        <f>"300937"</f>
        <v>300937</v>
      </c>
      <c r="C1842" t="s">
        <v>4002</v>
      </c>
      <c r="D1842" t="s">
        <v>123</v>
      </c>
      <c r="E1842">
        <v>628484598</v>
      </c>
      <c r="F1842">
        <v>547910270</v>
      </c>
      <c r="G1842">
        <v>548514678</v>
      </c>
      <c r="P1842">
        <v>35</v>
      </c>
      <c r="Q1842" t="s">
        <v>4003</v>
      </c>
    </row>
    <row r="1843" spans="1:17" x14ac:dyDescent="0.3">
      <c r="A1843" t="s">
        <v>75</v>
      </c>
      <c r="B1843" t="str">
        <f>"002847"</f>
        <v>002847</v>
      </c>
      <c r="C1843" t="s">
        <v>4004</v>
      </c>
      <c r="D1843" t="s">
        <v>1268</v>
      </c>
      <c r="E1843">
        <v>628268100</v>
      </c>
      <c r="F1843">
        <v>559869443</v>
      </c>
      <c r="G1843">
        <v>491491742</v>
      </c>
      <c r="H1843">
        <v>356198598</v>
      </c>
      <c r="I1843">
        <v>225103568</v>
      </c>
      <c r="J1843">
        <v>208543124</v>
      </c>
      <c r="K1843">
        <v>201372312</v>
      </c>
      <c r="P1843">
        <v>742</v>
      </c>
      <c r="Q1843" t="s">
        <v>4005</v>
      </c>
    </row>
    <row r="1844" spans="1:17" x14ac:dyDescent="0.3">
      <c r="A1844" t="s">
        <v>17</v>
      </c>
      <c r="B1844" t="str">
        <f>"603839"</f>
        <v>603839</v>
      </c>
      <c r="C1844" t="s">
        <v>4006</v>
      </c>
      <c r="D1844" t="s">
        <v>814</v>
      </c>
      <c r="E1844">
        <v>627950985</v>
      </c>
      <c r="F1844">
        <v>850980725</v>
      </c>
      <c r="G1844">
        <v>602639583</v>
      </c>
      <c r="H1844">
        <v>640600421</v>
      </c>
      <c r="I1844">
        <v>449377772</v>
      </c>
      <c r="J1844">
        <v>376035806</v>
      </c>
      <c r="K1844">
        <v>301398877</v>
      </c>
      <c r="P1844">
        <v>136</v>
      </c>
      <c r="Q1844" t="s">
        <v>4007</v>
      </c>
    </row>
    <row r="1845" spans="1:17" x14ac:dyDescent="0.3">
      <c r="A1845" t="s">
        <v>17</v>
      </c>
      <c r="B1845" t="str">
        <f>"605009"</f>
        <v>605009</v>
      </c>
      <c r="C1845" t="s">
        <v>4008</v>
      </c>
      <c r="D1845" t="s">
        <v>1636</v>
      </c>
      <c r="E1845">
        <v>627799035</v>
      </c>
      <c r="F1845">
        <v>506743774</v>
      </c>
      <c r="G1845">
        <v>524608604</v>
      </c>
      <c r="P1845">
        <v>355</v>
      </c>
      <c r="Q1845" t="s">
        <v>4009</v>
      </c>
    </row>
    <row r="1846" spans="1:17" x14ac:dyDescent="0.3">
      <c r="A1846" t="s">
        <v>75</v>
      </c>
      <c r="B1846" t="str">
        <f>"002531"</f>
        <v>002531</v>
      </c>
      <c r="C1846" t="s">
        <v>4010</v>
      </c>
      <c r="D1846" t="s">
        <v>1398</v>
      </c>
      <c r="E1846">
        <v>627754901</v>
      </c>
      <c r="F1846">
        <v>1065301844</v>
      </c>
      <c r="G1846">
        <v>1324784787</v>
      </c>
      <c r="H1846">
        <v>634291986</v>
      </c>
      <c r="I1846">
        <v>628729157</v>
      </c>
      <c r="J1846">
        <v>399586462</v>
      </c>
      <c r="K1846">
        <v>457211666</v>
      </c>
      <c r="L1846">
        <v>345042474</v>
      </c>
      <c r="M1846">
        <v>268559300</v>
      </c>
      <c r="N1846">
        <v>241427110</v>
      </c>
      <c r="O1846">
        <v>342068209</v>
      </c>
      <c r="P1846">
        <v>599</v>
      </c>
      <c r="Q1846" t="s">
        <v>4011</v>
      </c>
    </row>
    <row r="1847" spans="1:17" x14ac:dyDescent="0.3">
      <c r="A1847" t="s">
        <v>17</v>
      </c>
      <c r="B1847" t="str">
        <f>"600784"</f>
        <v>600784</v>
      </c>
      <c r="C1847" t="s">
        <v>4012</v>
      </c>
      <c r="D1847" t="s">
        <v>1284</v>
      </c>
      <c r="E1847">
        <v>626588498</v>
      </c>
      <c r="F1847">
        <v>541928117</v>
      </c>
      <c r="G1847">
        <v>525658181</v>
      </c>
      <c r="H1847">
        <v>392627129</v>
      </c>
      <c r="I1847">
        <v>449104477</v>
      </c>
      <c r="J1847">
        <v>476255396</v>
      </c>
      <c r="K1847">
        <v>584704748</v>
      </c>
      <c r="L1847">
        <v>613843885</v>
      </c>
      <c r="M1847">
        <v>753565503</v>
      </c>
      <c r="N1847">
        <v>1258360650</v>
      </c>
      <c r="O1847">
        <v>1266649112</v>
      </c>
      <c r="P1847">
        <v>75</v>
      </c>
      <c r="Q1847" t="s">
        <v>4013</v>
      </c>
    </row>
    <row r="1848" spans="1:17" x14ac:dyDescent="0.3">
      <c r="A1848" t="s">
        <v>75</v>
      </c>
      <c r="B1848" t="str">
        <f>"002692"</f>
        <v>002692</v>
      </c>
      <c r="C1848" t="s">
        <v>4014</v>
      </c>
      <c r="D1848" t="s">
        <v>562</v>
      </c>
      <c r="E1848">
        <v>625355986</v>
      </c>
      <c r="F1848">
        <v>656037269</v>
      </c>
      <c r="G1848">
        <v>472862073</v>
      </c>
      <c r="H1848">
        <v>684900883</v>
      </c>
      <c r="I1848">
        <v>718635221</v>
      </c>
      <c r="J1848">
        <v>470840531</v>
      </c>
      <c r="K1848">
        <v>599092135</v>
      </c>
      <c r="L1848">
        <v>779598088</v>
      </c>
      <c r="M1848">
        <v>455995803</v>
      </c>
      <c r="N1848">
        <v>285013020</v>
      </c>
      <c r="O1848">
        <v>338981626</v>
      </c>
      <c r="P1848">
        <v>53</v>
      </c>
      <c r="Q1848" t="s">
        <v>4015</v>
      </c>
    </row>
    <row r="1849" spans="1:17" x14ac:dyDescent="0.3">
      <c r="A1849" t="s">
        <v>17</v>
      </c>
      <c r="B1849" t="str">
        <f>"600570"</f>
        <v>600570</v>
      </c>
      <c r="C1849" t="s">
        <v>4016</v>
      </c>
      <c r="D1849" t="s">
        <v>116</v>
      </c>
      <c r="E1849">
        <v>624902062</v>
      </c>
      <c r="F1849">
        <v>494716114</v>
      </c>
      <c r="G1849">
        <v>309177755</v>
      </c>
      <c r="H1849">
        <v>369548001</v>
      </c>
      <c r="I1849">
        <v>356155500</v>
      </c>
      <c r="J1849">
        <v>314953676</v>
      </c>
      <c r="K1849">
        <v>263110488</v>
      </c>
      <c r="L1849">
        <v>196958545</v>
      </c>
      <c r="M1849">
        <v>130720537</v>
      </c>
      <c r="N1849">
        <v>117742222</v>
      </c>
      <c r="O1849">
        <v>110938723</v>
      </c>
      <c r="P1849">
        <v>2779</v>
      </c>
      <c r="Q1849" t="s">
        <v>4017</v>
      </c>
    </row>
    <row r="1850" spans="1:17" x14ac:dyDescent="0.3">
      <c r="A1850" t="s">
        <v>75</v>
      </c>
      <c r="B1850" t="str">
        <f>"300214"</f>
        <v>300214</v>
      </c>
      <c r="C1850" t="s">
        <v>4018</v>
      </c>
      <c r="D1850" t="s">
        <v>3251</v>
      </c>
      <c r="E1850">
        <v>623751159</v>
      </c>
      <c r="F1850">
        <v>511718348</v>
      </c>
      <c r="G1850">
        <v>445147353</v>
      </c>
      <c r="H1850">
        <v>444814051</v>
      </c>
      <c r="I1850">
        <v>261342833</v>
      </c>
      <c r="J1850">
        <v>461466440</v>
      </c>
      <c r="K1850">
        <v>284784619</v>
      </c>
      <c r="L1850">
        <v>260408042</v>
      </c>
      <c r="M1850">
        <v>206171898</v>
      </c>
      <c r="N1850">
        <v>236857732</v>
      </c>
      <c r="O1850">
        <v>185923005</v>
      </c>
      <c r="P1850">
        <v>107</v>
      </c>
      <c r="Q1850" t="s">
        <v>4019</v>
      </c>
    </row>
    <row r="1851" spans="1:17" x14ac:dyDescent="0.3">
      <c r="A1851" t="s">
        <v>75</v>
      </c>
      <c r="B1851" t="str">
        <f>"200011"</f>
        <v>200011</v>
      </c>
      <c r="C1851" t="s">
        <v>4020</v>
      </c>
      <c r="E1851">
        <v>623240107.24199998</v>
      </c>
      <c r="F1851">
        <v>1293044542.9419999</v>
      </c>
      <c r="G1851">
        <v>336896502.63090003</v>
      </c>
      <c r="H1851">
        <v>550362561.68429995</v>
      </c>
      <c r="I1851">
        <v>270847590.71799999</v>
      </c>
      <c r="J1851">
        <v>394520790.5104</v>
      </c>
      <c r="K1851">
        <v>1563637599.2158999</v>
      </c>
      <c r="L1851">
        <v>202693385</v>
      </c>
      <c r="M1851">
        <v>268045472.06720001</v>
      </c>
      <c r="N1851">
        <v>445512386.61119998</v>
      </c>
      <c r="O1851">
        <v>545621920.98300004</v>
      </c>
      <c r="P1851">
        <v>176</v>
      </c>
      <c r="Q1851" t="s">
        <v>4021</v>
      </c>
    </row>
    <row r="1852" spans="1:17" x14ac:dyDescent="0.3">
      <c r="A1852" t="s">
        <v>75</v>
      </c>
      <c r="B1852" t="str">
        <f>"300879"</f>
        <v>300879</v>
      </c>
      <c r="C1852" t="s">
        <v>4022</v>
      </c>
      <c r="D1852" t="s">
        <v>1624</v>
      </c>
      <c r="E1852">
        <v>623233780</v>
      </c>
      <c r="F1852">
        <v>271938537</v>
      </c>
      <c r="G1852">
        <v>385340781</v>
      </c>
      <c r="P1852">
        <v>52</v>
      </c>
      <c r="Q1852" t="s">
        <v>4023</v>
      </c>
    </row>
    <row r="1853" spans="1:17" x14ac:dyDescent="0.3">
      <c r="A1853" t="s">
        <v>17</v>
      </c>
      <c r="B1853" t="str">
        <f>"600033"</f>
        <v>600033</v>
      </c>
      <c r="C1853" t="s">
        <v>4024</v>
      </c>
      <c r="D1853" t="s">
        <v>1248</v>
      </c>
      <c r="E1853">
        <v>622675098</v>
      </c>
      <c r="F1853">
        <v>754829414</v>
      </c>
      <c r="G1853">
        <v>20031243</v>
      </c>
      <c r="H1853">
        <v>12362776</v>
      </c>
      <c r="I1853">
        <v>554519076</v>
      </c>
      <c r="J1853">
        <v>530292658</v>
      </c>
      <c r="K1853">
        <v>366496749</v>
      </c>
      <c r="L1853">
        <v>876235609</v>
      </c>
      <c r="M1853">
        <v>369511095</v>
      </c>
      <c r="N1853">
        <v>556344519</v>
      </c>
      <c r="O1853">
        <v>570823843</v>
      </c>
      <c r="P1853">
        <v>397</v>
      </c>
      <c r="Q1853" t="s">
        <v>4025</v>
      </c>
    </row>
    <row r="1854" spans="1:17" x14ac:dyDescent="0.3">
      <c r="A1854" t="s">
        <v>75</v>
      </c>
      <c r="B1854" t="str">
        <f>"002105"</f>
        <v>002105</v>
      </c>
      <c r="C1854" t="s">
        <v>4026</v>
      </c>
      <c r="D1854" t="s">
        <v>917</v>
      </c>
      <c r="E1854">
        <v>622256529</v>
      </c>
      <c r="F1854">
        <v>568091308</v>
      </c>
      <c r="G1854">
        <v>442844867</v>
      </c>
      <c r="H1854">
        <v>475795607</v>
      </c>
      <c r="I1854">
        <v>446476265</v>
      </c>
      <c r="J1854">
        <v>425205282</v>
      </c>
      <c r="K1854">
        <v>355591254</v>
      </c>
      <c r="L1854">
        <v>431016167</v>
      </c>
      <c r="M1854">
        <v>409746520</v>
      </c>
      <c r="N1854">
        <v>402274282</v>
      </c>
      <c r="O1854">
        <v>371326977</v>
      </c>
      <c r="P1854">
        <v>217</v>
      </c>
      <c r="Q1854" t="s">
        <v>4027</v>
      </c>
    </row>
    <row r="1855" spans="1:17" x14ac:dyDescent="0.3">
      <c r="A1855" t="s">
        <v>75</v>
      </c>
      <c r="B1855" t="str">
        <f>"300142"</f>
        <v>300142</v>
      </c>
      <c r="C1855" t="s">
        <v>4028</v>
      </c>
      <c r="D1855" t="s">
        <v>928</v>
      </c>
      <c r="E1855">
        <v>622167297</v>
      </c>
      <c r="F1855">
        <v>442407675</v>
      </c>
      <c r="G1855">
        <v>168486291</v>
      </c>
      <c r="H1855">
        <v>201835685</v>
      </c>
      <c r="I1855">
        <v>104450569</v>
      </c>
      <c r="J1855">
        <v>96729806</v>
      </c>
      <c r="K1855">
        <v>148938467</v>
      </c>
      <c r="L1855">
        <v>129780713</v>
      </c>
      <c r="M1855">
        <v>152199475</v>
      </c>
      <c r="N1855">
        <v>46124382</v>
      </c>
      <c r="O1855">
        <v>44614015</v>
      </c>
      <c r="P1855">
        <v>1230</v>
      </c>
      <c r="Q1855" t="s">
        <v>4029</v>
      </c>
    </row>
    <row r="1856" spans="1:17" x14ac:dyDescent="0.3">
      <c r="A1856" t="s">
        <v>75</v>
      </c>
      <c r="B1856" t="str">
        <f>"002079"</f>
        <v>002079</v>
      </c>
      <c r="C1856" t="s">
        <v>4030</v>
      </c>
      <c r="D1856" t="s">
        <v>2728</v>
      </c>
      <c r="E1856">
        <v>621757180</v>
      </c>
      <c r="F1856">
        <v>416139848</v>
      </c>
      <c r="G1856">
        <v>272983670</v>
      </c>
      <c r="H1856">
        <v>313009301</v>
      </c>
      <c r="I1856">
        <v>305508556</v>
      </c>
      <c r="J1856">
        <v>277049362</v>
      </c>
      <c r="K1856">
        <v>208978372</v>
      </c>
      <c r="L1856">
        <v>177989065</v>
      </c>
      <c r="M1856">
        <v>162856334</v>
      </c>
      <c r="N1856">
        <v>161350602</v>
      </c>
      <c r="O1856">
        <v>144786721</v>
      </c>
      <c r="P1856">
        <v>372</v>
      </c>
      <c r="Q1856" t="s">
        <v>4031</v>
      </c>
    </row>
    <row r="1857" spans="1:17" x14ac:dyDescent="0.3">
      <c r="A1857" t="s">
        <v>17</v>
      </c>
      <c r="B1857" t="str">
        <f>"603366"</f>
        <v>603366</v>
      </c>
      <c r="C1857" t="s">
        <v>4032</v>
      </c>
      <c r="D1857" t="s">
        <v>2292</v>
      </c>
      <c r="E1857">
        <v>620770296</v>
      </c>
      <c r="F1857">
        <v>809400407</v>
      </c>
      <c r="G1857">
        <v>620142475</v>
      </c>
      <c r="H1857">
        <v>724906347</v>
      </c>
      <c r="I1857">
        <v>624092176</v>
      </c>
      <c r="J1857">
        <v>372979198</v>
      </c>
      <c r="K1857">
        <v>486141162</v>
      </c>
      <c r="L1857">
        <v>557324140</v>
      </c>
      <c r="M1857">
        <v>487697800</v>
      </c>
      <c r="N1857">
        <v>626968453</v>
      </c>
      <c r="O1857">
        <v>547782141</v>
      </c>
      <c r="P1857">
        <v>121</v>
      </c>
      <c r="Q1857" t="s">
        <v>4033</v>
      </c>
    </row>
    <row r="1858" spans="1:17" x14ac:dyDescent="0.3">
      <c r="A1858" t="s">
        <v>17</v>
      </c>
      <c r="B1858" t="str">
        <f>"605167"</f>
        <v>605167</v>
      </c>
      <c r="C1858" t="s">
        <v>4034</v>
      </c>
      <c r="D1858" t="s">
        <v>184</v>
      </c>
      <c r="E1858">
        <v>620253176</v>
      </c>
      <c r="F1858">
        <v>476449577</v>
      </c>
      <c r="G1858">
        <v>412279296</v>
      </c>
      <c r="P1858">
        <v>22</v>
      </c>
      <c r="Q1858" t="s">
        <v>4035</v>
      </c>
    </row>
    <row r="1859" spans="1:17" x14ac:dyDescent="0.3">
      <c r="A1859" t="s">
        <v>75</v>
      </c>
      <c r="B1859" t="str">
        <f>"002163"</f>
        <v>002163</v>
      </c>
      <c r="C1859" t="s">
        <v>4036</v>
      </c>
      <c r="D1859" t="s">
        <v>1436</v>
      </c>
      <c r="E1859">
        <v>620108887</v>
      </c>
      <c r="F1859">
        <v>831866674</v>
      </c>
      <c r="G1859">
        <v>953339382</v>
      </c>
      <c r="H1859">
        <v>1187561364</v>
      </c>
      <c r="I1859">
        <v>1114143713</v>
      </c>
      <c r="J1859">
        <v>931605031</v>
      </c>
      <c r="K1859">
        <v>819012820</v>
      </c>
      <c r="L1859">
        <v>995945160</v>
      </c>
      <c r="M1859">
        <v>811902607</v>
      </c>
      <c r="N1859">
        <v>848383832</v>
      </c>
      <c r="O1859">
        <v>628533869</v>
      </c>
      <c r="P1859">
        <v>170</v>
      </c>
      <c r="Q1859" t="s">
        <v>4037</v>
      </c>
    </row>
    <row r="1860" spans="1:17" x14ac:dyDescent="0.3">
      <c r="A1860" t="s">
        <v>17</v>
      </c>
      <c r="B1860" t="str">
        <f>"603212"</f>
        <v>603212</v>
      </c>
      <c r="C1860" t="s">
        <v>4038</v>
      </c>
      <c r="D1860" t="s">
        <v>1512</v>
      </c>
      <c r="E1860">
        <v>619196767</v>
      </c>
      <c r="F1860">
        <v>335270489</v>
      </c>
      <c r="G1860">
        <v>434632602</v>
      </c>
      <c r="H1860">
        <v>277484762</v>
      </c>
      <c r="P1860">
        <v>129</v>
      </c>
      <c r="Q1860" t="s">
        <v>4039</v>
      </c>
    </row>
    <row r="1861" spans="1:17" x14ac:dyDescent="0.3">
      <c r="A1861" t="s">
        <v>17</v>
      </c>
      <c r="B1861" t="str">
        <f>"688122"</f>
        <v>688122</v>
      </c>
      <c r="C1861" t="s">
        <v>4040</v>
      </c>
      <c r="D1861" t="s">
        <v>1551</v>
      </c>
      <c r="E1861">
        <v>618423926</v>
      </c>
      <c r="F1861">
        <v>589776045</v>
      </c>
      <c r="G1861">
        <v>241090487</v>
      </c>
      <c r="H1861">
        <v>223349255</v>
      </c>
      <c r="I1861">
        <v>0</v>
      </c>
      <c r="P1861">
        <v>309</v>
      </c>
      <c r="Q1861" t="s">
        <v>4041</v>
      </c>
    </row>
    <row r="1862" spans="1:17" x14ac:dyDescent="0.3">
      <c r="A1862" t="s">
        <v>17</v>
      </c>
      <c r="B1862" t="str">
        <f>"603698"</f>
        <v>603698</v>
      </c>
      <c r="C1862" t="s">
        <v>4042</v>
      </c>
      <c r="D1862" t="s">
        <v>786</v>
      </c>
      <c r="E1862">
        <v>618266131</v>
      </c>
      <c r="F1862">
        <v>564334122</v>
      </c>
      <c r="G1862">
        <v>421800286</v>
      </c>
      <c r="H1862">
        <v>280758045</v>
      </c>
      <c r="I1862">
        <v>115156370</v>
      </c>
      <c r="J1862">
        <v>116162847</v>
      </c>
      <c r="K1862">
        <v>64029227</v>
      </c>
      <c r="L1862">
        <v>146873846</v>
      </c>
      <c r="M1862">
        <v>150105165</v>
      </c>
      <c r="P1862">
        <v>108</v>
      </c>
      <c r="Q1862" t="s">
        <v>4043</v>
      </c>
    </row>
    <row r="1863" spans="1:17" x14ac:dyDescent="0.3">
      <c r="A1863" t="s">
        <v>75</v>
      </c>
      <c r="B1863" t="str">
        <f>"002329"</f>
        <v>002329</v>
      </c>
      <c r="C1863" t="s">
        <v>4044</v>
      </c>
      <c r="D1863" t="s">
        <v>215</v>
      </c>
      <c r="E1863">
        <v>617799679</v>
      </c>
      <c r="F1863">
        <v>586863655</v>
      </c>
      <c r="G1863">
        <v>465753967</v>
      </c>
      <c r="H1863">
        <v>640620938</v>
      </c>
      <c r="I1863">
        <v>420793115</v>
      </c>
      <c r="J1863">
        <v>751696637</v>
      </c>
      <c r="K1863">
        <v>421791806</v>
      </c>
      <c r="L1863">
        <v>279275851</v>
      </c>
      <c r="M1863">
        <v>233886169</v>
      </c>
      <c r="N1863">
        <v>255846168</v>
      </c>
      <c r="O1863">
        <v>152586188</v>
      </c>
      <c r="P1863">
        <v>186</v>
      </c>
      <c r="Q1863" t="s">
        <v>4045</v>
      </c>
    </row>
    <row r="1864" spans="1:17" x14ac:dyDescent="0.3">
      <c r="A1864" t="s">
        <v>75</v>
      </c>
      <c r="B1864" t="str">
        <f>"002526"</f>
        <v>002526</v>
      </c>
      <c r="C1864" t="s">
        <v>4046</v>
      </c>
      <c r="D1864" t="s">
        <v>786</v>
      </c>
      <c r="E1864">
        <v>617445957</v>
      </c>
      <c r="F1864">
        <v>452167294</v>
      </c>
      <c r="G1864">
        <v>485060064</v>
      </c>
      <c r="H1864">
        <v>454635544</v>
      </c>
      <c r="I1864">
        <v>499106977</v>
      </c>
      <c r="J1864">
        <v>166559620</v>
      </c>
      <c r="K1864">
        <v>208520279</v>
      </c>
      <c r="L1864">
        <v>302482275</v>
      </c>
      <c r="M1864">
        <v>283669070</v>
      </c>
      <c r="N1864">
        <v>254696405</v>
      </c>
      <c r="O1864">
        <v>292791563</v>
      </c>
      <c r="P1864">
        <v>103</v>
      </c>
      <c r="Q1864" t="s">
        <v>4047</v>
      </c>
    </row>
    <row r="1865" spans="1:17" x14ac:dyDescent="0.3">
      <c r="A1865" t="s">
        <v>75</v>
      </c>
      <c r="B1865" t="str">
        <f>"200530"</f>
        <v>200530</v>
      </c>
      <c r="C1865" t="s">
        <v>4048</v>
      </c>
      <c r="E1865">
        <v>617445493.74399996</v>
      </c>
      <c r="F1865">
        <v>525656141.4005</v>
      </c>
      <c r="G1865">
        <v>281391726.94410002</v>
      </c>
      <c r="H1865">
        <v>332107049.52450001</v>
      </c>
      <c r="I1865">
        <v>293468455.44599998</v>
      </c>
      <c r="J1865">
        <v>316390222.67659998</v>
      </c>
      <c r="K1865">
        <v>311798148.99430001</v>
      </c>
      <c r="L1865">
        <v>211232601.25</v>
      </c>
      <c r="M1865">
        <v>322297545.41280001</v>
      </c>
      <c r="N1865">
        <v>341088218.40179998</v>
      </c>
      <c r="O1865">
        <v>371129614.18199998</v>
      </c>
      <c r="P1865">
        <v>25</v>
      </c>
      <c r="Q1865" t="s">
        <v>4049</v>
      </c>
    </row>
    <row r="1866" spans="1:17" x14ac:dyDescent="0.3">
      <c r="A1866" t="s">
        <v>75</v>
      </c>
      <c r="B1866" t="str">
        <f>"300203"</f>
        <v>300203</v>
      </c>
      <c r="C1866" t="s">
        <v>4050</v>
      </c>
      <c r="D1866" t="s">
        <v>2307</v>
      </c>
      <c r="E1866">
        <v>617144936</v>
      </c>
      <c r="F1866">
        <v>606543224</v>
      </c>
      <c r="G1866">
        <v>474144271</v>
      </c>
      <c r="H1866">
        <v>554655376</v>
      </c>
      <c r="I1866">
        <v>576680364</v>
      </c>
      <c r="J1866">
        <v>419960293</v>
      </c>
      <c r="K1866">
        <v>260268108</v>
      </c>
      <c r="L1866">
        <v>221227505</v>
      </c>
      <c r="M1866">
        <v>176712147</v>
      </c>
      <c r="N1866">
        <v>158175220</v>
      </c>
      <c r="O1866">
        <v>142332111</v>
      </c>
      <c r="P1866">
        <v>431</v>
      </c>
      <c r="Q1866" t="s">
        <v>4051</v>
      </c>
    </row>
    <row r="1867" spans="1:17" x14ac:dyDescent="0.3">
      <c r="A1867" t="s">
        <v>17</v>
      </c>
      <c r="B1867" t="str">
        <f>"603220"</f>
        <v>603220</v>
      </c>
      <c r="C1867" t="s">
        <v>4052</v>
      </c>
      <c r="D1867" t="s">
        <v>1647</v>
      </c>
      <c r="E1867">
        <v>617066054</v>
      </c>
      <c r="F1867">
        <v>673667717</v>
      </c>
      <c r="G1867">
        <v>277115632</v>
      </c>
      <c r="H1867">
        <v>406480296</v>
      </c>
      <c r="I1867">
        <v>418395252</v>
      </c>
      <c r="P1867">
        <v>146</v>
      </c>
      <c r="Q1867" t="s">
        <v>4053</v>
      </c>
    </row>
    <row r="1868" spans="1:17" x14ac:dyDescent="0.3">
      <c r="A1868" t="s">
        <v>75</v>
      </c>
      <c r="B1868" t="str">
        <f>"000919"</f>
        <v>000919</v>
      </c>
      <c r="C1868" t="s">
        <v>4054</v>
      </c>
      <c r="D1868" t="s">
        <v>321</v>
      </c>
      <c r="E1868">
        <v>616908858</v>
      </c>
      <c r="F1868">
        <v>660492819</v>
      </c>
      <c r="G1868">
        <v>481615342</v>
      </c>
      <c r="H1868">
        <v>615408682</v>
      </c>
      <c r="I1868">
        <v>786601015</v>
      </c>
      <c r="J1868">
        <v>859839626</v>
      </c>
      <c r="K1868">
        <v>838325276</v>
      </c>
      <c r="L1868">
        <v>679884134</v>
      </c>
      <c r="M1868">
        <v>643900243</v>
      </c>
      <c r="N1868">
        <v>534550255</v>
      </c>
      <c r="O1868">
        <v>494992668</v>
      </c>
      <c r="P1868">
        <v>179</v>
      </c>
      <c r="Q1868" t="s">
        <v>4055</v>
      </c>
    </row>
    <row r="1869" spans="1:17" x14ac:dyDescent="0.3">
      <c r="A1869" t="s">
        <v>17</v>
      </c>
      <c r="B1869" t="str">
        <f>"600103"</f>
        <v>600103</v>
      </c>
      <c r="C1869" t="s">
        <v>4056</v>
      </c>
      <c r="D1869" t="s">
        <v>2183</v>
      </c>
      <c r="E1869">
        <v>616208558</v>
      </c>
      <c r="F1869">
        <v>509333711</v>
      </c>
      <c r="G1869">
        <v>419390580</v>
      </c>
      <c r="H1869">
        <v>465751893</v>
      </c>
      <c r="I1869">
        <v>756510800</v>
      </c>
      <c r="J1869">
        <v>577344847</v>
      </c>
      <c r="K1869">
        <v>591828173</v>
      </c>
      <c r="L1869">
        <v>513659136</v>
      </c>
      <c r="M1869">
        <v>517031843</v>
      </c>
      <c r="N1869">
        <v>445306357</v>
      </c>
      <c r="O1869">
        <v>392729973</v>
      </c>
      <c r="P1869">
        <v>138</v>
      </c>
      <c r="Q1869" t="s">
        <v>4057</v>
      </c>
    </row>
    <row r="1870" spans="1:17" x14ac:dyDescent="0.3">
      <c r="A1870" t="s">
        <v>17</v>
      </c>
      <c r="B1870" t="str">
        <f>"603213"</f>
        <v>603213</v>
      </c>
      <c r="C1870" t="s">
        <v>4058</v>
      </c>
      <c r="D1870" t="s">
        <v>311</v>
      </c>
      <c r="E1870">
        <v>616082277</v>
      </c>
      <c r="G1870">
        <v>242658579</v>
      </c>
      <c r="P1870">
        <v>32</v>
      </c>
      <c r="Q1870" t="s">
        <v>4059</v>
      </c>
    </row>
    <row r="1871" spans="1:17" x14ac:dyDescent="0.3">
      <c r="A1871" t="s">
        <v>75</v>
      </c>
      <c r="B1871" t="str">
        <f>"002527"</f>
        <v>002527</v>
      </c>
      <c r="C1871" t="s">
        <v>4060</v>
      </c>
      <c r="D1871" t="s">
        <v>3105</v>
      </c>
      <c r="E1871">
        <v>615887234</v>
      </c>
      <c r="F1871">
        <v>692296294</v>
      </c>
      <c r="G1871">
        <v>650424625</v>
      </c>
      <c r="H1871">
        <v>593859735</v>
      </c>
      <c r="I1871">
        <v>604836618</v>
      </c>
      <c r="J1871">
        <v>483271960</v>
      </c>
      <c r="K1871">
        <v>347733949</v>
      </c>
      <c r="L1871">
        <v>218376815</v>
      </c>
      <c r="M1871">
        <v>180084060</v>
      </c>
      <c r="N1871">
        <v>147484974</v>
      </c>
      <c r="O1871">
        <v>130494940</v>
      </c>
      <c r="P1871">
        <v>161</v>
      </c>
      <c r="Q1871" t="s">
        <v>4061</v>
      </c>
    </row>
    <row r="1872" spans="1:17" x14ac:dyDescent="0.3">
      <c r="A1872" t="s">
        <v>17</v>
      </c>
      <c r="B1872" t="str">
        <f>"600391"</f>
        <v>600391</v>
      </c>
      <c r="C1872" t="s">
        <v>4062</v>
      </c>
      <c r="D1872" t="s">
        <v>1551</v>
      </c>
      <c r="E1872">
        <v>615601892</v>
      </c>
      <c r="F1872">
        <v>536429232</v>
      </c>
      <c r="G1872">
        <v>651918296</v>
      </c>
      <c r="H1872">
        <v>541176548</v>
      </c>
      <c r="I1872">
        <v>509086347</v>
      </c>
      <c r="J1872">
        <v>610662959</v>
      </c>
      <c r="K1872">
        <v>448403354</v>
      </c>
      <c r="L1872">
        <v>457541176</v>
      </c>
      <c r="M1872">
        <v>388968025</v>
      </c>
      <c r="N1872">
        <v>384979477</v>
      </c>
      <c r="O1872">
        <v>312075654</v>
      </c>
      <c r="P1872">
        <v>233</v>
      </c>
      <c r="Q1872" t="s">
        <v>4063</v>
      </c>
    </row>
    <row r="1873" spans="1:17" x14ac:dyDescent="0.3">
      <c r="A1873" t="s">
        <v>75</v>
      </c>
      <c r="B1873" t="str">
        <f>"002068"</f>
        <v>002068</v>
      </c>
      <c r="C1873" t="s">
        <v>4064</v>
      </c>
      <c r="D1873" t="s">
        <v>4065</v>
      </c>
      <c r="E1873">
        <v>615473865</v>
      </c>
      <c r="F1873">
        <v>713595566</v>
      </c>
      <c r="G1873">
        <v>584864184</v>
      </c>
      <c r="H1873">
        <v>663607608</v>
      </c>
      <c r="I1873">
        <v>776239740</v>
      </c>
      <c r="J1873">
        <v>403464658</v>
      </c>
      <c r="K1873">
        <v>659539564</v>
      </c>
      <c r="L1873">
        <v>1556137918</v>
      </c>
      <c r="M1873">
        <v>1857940840</v>
      </c>
      <c r="N1873">
        <v>1345203513</v>
      </c>
      <c r="O1873">
        <v>1021608751</v>
      </c>
      <c r="P1873">
        <v>300</v>
      </c>
      <c r="Q1873" t="s">
        <v>4066</v>
      </c>
    </row>
    <row r="1874" spans="1:17" x14ac:dyDescent="0.3">
      <c r="A1874" t="s">
        <v>17</v>
      </c>
      <c r="B1874" t="str">
        <f>"600172"</f>
        <v>600172</v>
      </c>
      <c r="C1874" t="s">
        <v>4067</v>
      </c>
      <c r="D1874" t="s">
        <v>3587</v>
      </c>
      <c r="E1874">
        <v>615433807</v>
      </c>
      <c r="F1874">
        <v>653324910</v>
      </c>
      <c r="G1874">
        <v>417666450</v>
      </c>
      <c r="H1874">
        <v>709039055</v>
      </c>
      <c r="I1874">
        <v>671546136</v>
      </c>
      <c r="J1874">
        <v>468908641</v>
      </c>
      <c r="K1874">
        <v>329640809</v>
      </c>
      <c r="L1874">
        <v>364881790</v>
      </c>
      <c r="M1874">
        <v>285936007</v>
      </c>
      <c r="N1874">
        <v>296883837</v>
      </c>
      <c r="O1874">
        <v>319076081</v>
      </c>
      <c r="P1874">
        <v>325</v>
      </c>
      <c r="Q1874" t="s">
        <v>4068</v>
      </c>
    </row>
    <row r="1875" spans="1:17" x14ac:dyDescent="0.3">
      <c r="A1875" t="s">
        <v>17</v>
      </c>
      <c r="B1875" t="str">
        <f>"600603"</f>
        <v>600603</v>
      </c>
      <c r="C1875" t="s">
        <v>4069</v>
      </c>
      <c r="D1875" t="s">
        <v>65</v>
      </c>
      <c r="E1875">
        <v>614865755</v>
      </c>
      <c r="F1875">
        <v>1080180625</v>
      </c>
      <c r="G1875">
        <v>391085370</v>
      </c>
      <c r="H1875">
        <v>1293877463</v>
      </c>
      <c r="I1875">
        <v>650362029</v>
      </c>
      <c r="J1875">
        <v>226411852</v>
      </c>
      <c r="K1875">
        <v>55467087</v>
      </c>
      <c r="L1875">
        <v>610000</v>
      </c>
      <c r="M1875">
        <v>6100000</v>
      </c>
      <c r="N1875">
        <v>2723234</v>
      </c>
      <c r="O1875">
        <v>0</v>
      </c>
      <c r="P1875">
        <v>510</v>
      </c>
      <c r="Q1875" t="s">
        <v>4070</v>
      </c>
    </row>
    <row r="1876" spans="1:17" x14ac:dyDescent="0.3">
      <c r="A1876" t="s">
        <v>17</v>
      </c>
      <c r="B1876" t="str">
        <f>"600800"</f>
        <v>600800</v>
      </c>
      <c r="C1876" t="s">
        <v>4071</v>
      </c>
      <c r="D1876" t="s">
        <v>422</v>
      </c>
      <c r="E1876">
        <v>614568054</v>
      </c>
      <c r="F1876">
        <v>1067007848</v>
      </c>
      <c r="G1876">
        <v>156236258</v>
      </c>
      <c r="H1876">
        <v>16569441</v>
      </c>
      <c r="I1876">
        <v>25850679</v>
      </c>
      <c r="J1876">
        <v>32136575</v>
      </c>
      <c r="K1876">
        <v>31949079</v>
      </c>
      <c r="L1876">
        <v>27116494</v>
      </c>
      <c r="M1876">
        <v>33232135</v>
      </c>
      <c r="N1876">
        <v>35359346</v>
      </c>
      <c r="O1876">
        <v>38604151</v>
      </c>
      <c r="P1876">
        <v>147</v>
      </c>
      <c r="Q1876" t="s">
        <v>4072</v>
      </c>
    </row>
    <row r="1877" spans="1:17" x14ac:dyDescent="0.3">
      <c r="A1877" t="s">
        <v>75</v>
      </c>
      <c r="B1877" t="str">
        <f>"002783"</f>
        <v>002783</v>
      </c>
      <c r="C1877" t="s">
        <v>4073</v>
      </c>
      <c r="D1877" t="s">
        <v>1830</v>
      </c>
      <c r="E1877">
        <v>614483687</v>
      </c>
      <c r="F1877">
        <v>467168200</v>
      </c>
      <c r="G1877">
        <v>231011717</v>
      </c>
      <c r="H1877">
        <v>330664122</v>
      </c>
      <c r="I1877">
        <v>300504626</v>
      </c>
      <c r="J1877">
        <v>165459251</v>
      </c>
      <c r="K1877">
        <v>120941915</v>
      </c>
      <c r="L1877">
        <v>0</v>
      </c>
      <c r="M1877">
        <v>0</v>
      </c>
      <c r="P1877">
        <v>112</v>
      </c>
      <c r="Q1877" t="s">
        <v>4074</v>
      </c>
    </row>
    <row r="1878" spans="1:17" x14ac:dyDescent="0.3">
      <c r="A1878" t="s">
        <v>17</v>
      </c>
      <c r="B1878" t="str">
        <f>"688065"</f>
        <v>688065</v>
      </c>
      <c r="C1878" t="s">
        <v>4075</v>
      </c>
      <c r="D1878" t="s">
        <v>292</v>
      </c>
      <c r="E1878">
        <v>614008292</v>
      </c>
      <c r="F1878">
        <v>411578437</v>
      </c>
      <c r="G1878">
        <v>356389748</v>
      </c>
      <c r="H1878">
        <v>555096937</v>
      </c>
      <c r="P1878">
        <v>107</v>
      </c>
      <c r="Q1878" t="s">
        <v>4076</v>
      </c>
    </row>
    <row r="1879" spans="1:17" x14ac:dyDescent="0.3">
      <c r="A1879" t="s">
        <v>17</v>
      </c>
      <c r="B1879" t="str">
        <f>"600217"</f>
        <v>600217</v>
      </c>
      <c r="C1879" t="s">
        <v>4077</v>
      </c>
      <c r="D1879" t="s">
        <v>1187</v>
      </c>
      <c r="E1879">
        <v>613750735</v>
      </c>
      <c r="F1879">
        <v>817817241</v>
      </c>
      <c r="G1879">
        <v>460232462</v>
      </c>
      <c r="H1879">
        <v>475922388</v>
      </c>
      <c r="I1879">
        <v>886923260</v>
      </c>
      <c r="J1879">
        <v>133214579</v>
      </c>
      <c r="K1879">
        <v>112578944</v>
      </c>
      <c r="L1879">
        <v>73047031</v>
      </c>
      <c r="M1879">
        <v>127944271</v>
      </c>
      <c r="N1879">
        <v>107112366</v>
      </c>
      <c r="O1879">
        <v>101889721</v>
      </c>
      <c r="P1879">
        <v>439</v>
      </c>
      <c r="Q1879" t="s">
        <v>4078</v>
      </c>
    </row>
    <row r="1880" spans="1:17" x14ac:dyDescent="0.3">
      <c r="A1880" t="s">
        <v>75</v>
      </c>
      <c r="B1880" t="str">
        <f>"300303"</f>
        <v>300303</v>
      </c>
      <c r="C1880" t="s">
        <v>4079</v>
      </c>
      <c r="D1880" t="s">
        <v>1044</v>
      </c>
      <c r="E1880">
        <v>612648134</v>
      </c>
      <c r="F1880">
        <v>632954576</v>
      </c>
      <c r="G1880">
        <v>689716445</v>
      </c>
      <c r="H1880">
        <v>533917020</v>
      </c>
      <c r="I1880">
        <v>318885490</v>
      </c>
      <c r="J1880">
        <v>381068932</v>
      </c>
      <c r="K1880">
        <v>284294117</v>
      </c>
      <c r="L1880">
        <v>234755879</v>
      </c>
      <c r="M1880">
        <v>251329286</v>
      </c>
      <c r="N1880">
        <v>150710562</v>
      </c>
      <c r="O1880">
        <v>91354306</v>
      </c>
      <c r="P1880">
        <v>256</v>
      </c>
      <c r="Q1880" t="s">
        <v>4080</v>
      </c>
    </row>
    <row r="1881" spans="1:17" x14ac:dyDescent="0.3">
      <c r="A1881" t="s">
        <v>75</v>
      </c>
      <c r="B1881" t="str">
        <f>"002487"</f>
        <v>002487</v>
      </c>
      <c r="C1881" t="s">
        <v>4081</v>
      </c>
      <c r="D1881" t="s">
        <v>1398</v>
      </c>
      <c r="E1881">
        <v>612642148</v>
      </c>
      <c r="F1881">
        <v>1195259181</v>
      </c>
      <c r="G1881">
        <v>535303891</v>
      </c>
      <c r="H1881">
        <v>138769579</v>
      </c>
      <c r="I1881">
        <v>153822612</v>
      </c>
      <c r="J1881">
        <v>141180434</v>
      </c>
      <c r="K1881">
        <v>146323829</v>
      </c>
      <c r="L1881">
        <v>141520595</v>
      </c>
      <c r="M1881">
        <v>85434351</v>
      </c>
      <c r="N1881">
        <v>64408009</v>
      </c>
      <c r="O1881">
        <v>26539961</v>
      </c>
      <c r="P1881">
        <v>248</v>
      </c>
      <c r="Q1881" t="s">
        <v>4082</v>
      </c>
    </row>
    <row r="1882" spans="1:17" x14ac:dyDescent="0.3">
      <c r="A1882" t="s">
        <v>17</v>
      </c>
      <c r="B1882" t="str">
        <f>"601599"</f>
        <v>601599</v>
      </c>
      <c r="C1882" t="s">
        <v>4083</v>
      </c>
      <c r="D1882" t="s">
        <v>2832</v>
      </c>
      <c r="E1882">
        <v>612573997</v>
      </c>
      <c r="F1882">
        <v>443485738</v>
      </c>
      <c r="G1882">
        <v>643100911</v>
      </c>
      <c r="H1882">
        <v>690923809</v>
      </c>
      <c r="I1882">
        <v>949543912</v>
      </c>
      <c r="J1882">
        <v>731282452</v>
      </c>
      <c r="K1882">
        <v>493338722</v>
      </c>
      <c r="L1882">
        <v>475393111</v>
      </c>
      <c r="M1882">
        <v>338154776</v>
      </c>
      <c r="N1882">
        <v>536633215</v>
      </c>
      <c r="O1882">
        <v>371501345</v>
      </c>
      <c r="P1882">
        <v>60</v>
      </c>
      <c r="Q1882" t="s">
        <v>4084</v>
      </c>
    </row>
    <row r="1883" spans="1:17" x14ac:dyDescent="0.3">
      <c r="A1883" t="s">
        <v>17</v>
      </c>
      <c r="B1883" t="str">
        <f>"603927"</f>
        <v>603927</v>
      </c>
      <c r="C1883" t="s">
        <v>4085</v>
      </c>
      <c r="D1883" t="s">
        <v>116</v>
      </c>
      <c r="E1883">
        <v>612511653</v>
      </c>
      <c r="F1883">
        <v>699840087</v>
      </c>
      <c r="G1883">
        <v>479727387</v>
      </c>
      <c r="H1883">
        <v>461536586</v>
      </c>
      <c r="I1883">
        <v>617008573</v>
      </c>
      <c r="P1883">
        <v>821</v>
      </c>
      <c r="Q1883" t="s">
        <v>4086</v>
      </c>
    </row>
    <row r="1884" spans="1:17" x14ac:dyDescent="0.3">
      <c r="A1884" t="s">
        <v>17</v>
      </c>
      <c r="B1884" t="str">
        <f>"603725"</f>
        <v>603725</v>
      </c>
      <c r="C1884" t="s">
        <v>4087</v>
      </c>
      <c r="D1884" t="s">
        <v>292</v>
      </c>
      <c r="E1884">
        <v>611388755</v>
      </c>
      <c r="F1884">
        <v>259521946</v>
      </c>
      <c r="G1884">
        <v>146322136</v>
      </c>
      <c r="H1884">
        <v>185323602</v>
      </c>
      <c r="I1884">
        <v>215344287</v>
      </c>
      <c r="J1884">
        <v>221095548</v>
      </c>
      <c r="P1884">
        <v>74</v>
      </c>
      <c r="Q1884" t="s">
        <v>4088</v>
      </c>
    </row>
    <row r="1885" spans="1:17" x14ac:dyDescent="0.3">
      <c r="A1885" t="s">
        <v>17</v>
      </c>
      <c r="B1885" t="str">
        <f>"600638"</f>
        <v>600638</v>
      </c>
      <c r="C1885" t="s">
        <v>4089</v>
      </c>
      <c r="D1885" t="s">
        <v>65</v>
      </c>
      <c r="E1885">
        <v>608808535</v>
      </c>
      <c r="F1885">
        <v>699865094</v>
      </c>
      <c r="G1885">
        <v>413442355</v>
      </c>
      <c r="H1885">
        <v>538389678</v>
      </c>
      <c r="I1885">
        <v>277900403</v>
      </c>
      <c r="J1885">
        <v>301643437</v>
      </c>
      <c r="K1885">
        <v>123631750</v>
      </c>
      <c r="L1885">
        <v>379606259</v>
      </c>
      <c r="M1885">
        <v>273986765</v>
      </c>
      <c r="N1885">
        <v>78010670</v>
      </c>
      <c r="O1885">
        <v>196035147</v>
      </c>
      <c r="P1885">
        <v>106</v>
      </c>
      <c r="Q1885" t="s">
        <v>4090</v>
      </c>
    </row>
    <row r="1886" spans="1:17" x14ac:dyDescent="0.3">
      <c r="A1886" t="s">
        <v>75</v>
      </c>
      <c r="B1886" t="str">
        <f>"002960"</f>
        <v>002960</v>
      </c>
      <c r="C1886" t="s">
        <v>4091</v>
      </c>
      <c r="D1886" t="s">
        <v>892</v>
      </c>
      <c r="E1886">
        <v>608518269</v>
      </c>
      <c r="F1886">
        <v>380377155</v>
      </c>
      <c r="G1886">
        <v>207936903</v>
      </c>
      <c r="H1886">
        <v>233479491</v>
      </c>
      <c r="I1886">
        <v>0</v>
      </c>
      <c r="P1886">
        <v>389</v>
      </c>
      <c r="Q1886" t="s">
        <v>4092</v>
      </c>
    </row>
    <row r="1887" spans="1:17" x14ac:dyDescent="0.3">
      <c r="A1887" t="s">
        <v>17</v>
      </c>
      <c r="B1887" t="str">
        <f>"603127"</f>
        <v>603127</v>
      </c>
      <c r="C1887" t="s">
        <v>4093</v>
      </c>
      <c r="D1887" t="s">
        <v>716</v>
      </c>
      <c r="E1887">
        <v>607592750</v>
      </c>
      <c r="F1887">
        <v>334525902</v>
      </c>
      <c r="G1887">
        <v>232670306</v>
      </c>
      <c r="H1887">
        <v>113699994</v>
      </c>
      <c r="I1887">
        <v>87750214</v>
      </c>
      <c r="J1887">
        <v>56877133</v>
      </c>
      <c r="P1887">
        <v>1812</v>
      </c>
      <c r="Q1887" t="s">
        <v>4094</v>
      </c>
    </row>
    <row r="1888" spans="1:17" x14ac:dyDescent="0.3">
      <c r="A1888" t="s">
        <v>17</v>
      </c>
      <c r="B1888" t="str">
        <f>"603318"</f>
        <v>603318</v>
      </c>
      <c r="C1888" t="s">
        <v>4095</v>
      </c>
      <c r="D1888" t="s">
        <v>147</v>
      </c>
      <c r="E1888">
        <v>607212046</v>
      </c>
      <c r="F1888">
        <v>466282330</v>
      </c>
      <c r="G1888">
        <v>115849537</v>
      </c>
      <c r="H1888">
        <v>44684440</v>
      </c>
      <c r="I1888">
        <v>124456666</v>
      </c>
      <c r="J1888">
        <v>108920600</v>
      </c>
      <c r="K1888">
        <v>37663541</v>
      </c>
      <c r="L1888">
        <v>16840585</v>
      </c>
      <c r="M1888">
        <v>39068078</v>
      </c>
      <c r="P1888">
        <v>63</v>
      </c>
      <c r="Q1888" t="s">
        <v>4096</v>
      </c>
    </row>
    <row r="1889" spans="1:17" x14ac:dyDescent="0.3">
      <c r="A1889" t="s">
        <v>75</v>
      </c>
      <c r="B1889" t="str">
        <f>"301058"</f>
        <v>301058</v>
      </c>
      <c r="C1889" t="s">
        <v>4097</v>
      </c>
      <c r="D1889" t="s">
        <v>2118</v>
      </c>
      <c r="E1889">
        <v>607210682</v>
      </c>
      <c r="F1889">
        <v>504478029</v>
      </c>
      <c r="P1889">
        <v>24</v>
      </c>
      <c r="Q1889" t="s">
        <v>4098</v>
      </c>
    </row>
    <row r="1890" spans="1:17" x14ac:dyDescent="0.3">
      <c r="A1890" t="s">
        <v>75</v>
      </c>
      <c r="B1890" t="str">
        <f>"300917"</f>
        <v>300917</v>
      </c>
      <c r="C1890" t="s">
        <v>4099</v>
      </c>
      <c r="D1890" t="s">
        <v>1742</v>
      </c>
      <c r="E1890">
        <v>607187369</v>
      </c>
      <c r="F1890">
        <v>406909312</v>
      </c>
      <c r="G1890">
        <v>207546833</v>
      </c>
      <c r="P1890">
        <v>80</v>
      </c>
      <c r="Q1890" t="s">
        <v>4100</v>
      </c>
    </row>
    <row r="1891" spans="1:17" x14ac:dyDescent="0.3">
      <c r="A1891" t="s">
        <v>75</v>
      </c>
      <c r="B1891" t="str">
        <f>"300791"</f>
        <v>300791</v>
      </c>
      <c r="C1891" t="s">
        <v>4101</v>
      </c>
      <c r="D1891" t="s">
        <v>2100</v>
      </c>
      <c r="E1891">
        <v>607010663</v>
      </c>
      <c r="F1891">
        <v>540511831</v>
      </c>
      <c r="G1891">
        <v>428066011</v>
      </c>
      <c r="H1891">
        <v>502853413</v>
      </c>
      <c r="P1891">
        <v>286</v>
      </c>
      <c r="Q1891" t="s">
        <v>4102</v>
      </c>
    </row>
    <row r="1892" spans="1:17" x14ac:dyDescent="0.3">
      <c r="A1892" t="s">
        <v>17</v>
      </c>
      <c r="B1892" t="str">
        <f>"603359"</f>
        <v>603359</v>
      </c>
      <c r="C1892" t="s">
        <v>4103</v>
      </c>
      <c r="D1892" t="s">
        <v>1523</v>
      </c>
      <c r="E1892">
        <v>605755037</v>
      </c>
      <c r="F1892">
        <v>302919683</v>
      </c>
      <c r="G1892">
        <v>148139103</v>
      </c>
      <c r="H1892">
        <v>156686604</v>
      </c>
      <c r="I1892">
        <v>173637548</v>
      </c>
      <c r="J1892">
        <v>295511558</v>
      </c>
      <c r="K1892">
        <v>187102201</v>
      </c>
      <c r="P1892">
        <v>187</v>
      </c>
      <c r="Q1892" t="s">
        <v>4104</v>
      </c>
    </row>
    <row r="1893" spans="1:17" x14ac:dyDescent="0.3">
      <c r="A1893" t="s">
        <v>75</v>
      </c>
      <c r="B1893" t="str">
        <f>"002620"</f>
        <v>002620</v>
      </c>
      <c r="C1893" t="s">
        <v>4105</v>
      </c>
      <c r="D1893" t="s">
        <v>707</v>
      </c>
      <c r="E1893">
        <v>605037987</v>
      </c>
      <c r="F1893">
        <v>996825764</v>
      </c>
      <c r="G1893">
        <v>775474714</v>
      </c>
      <c r="H1893">
        <v>959193038</v>
      </c>
      <c r="I1893">
        <v>828000502</v>
      </c>
      <c r="J1893">
        <v>637882010</v>
      </c>
      <c r="K1893">
        <v>406626367</v>
      </c>
      <c r="L1893">
        <v>397870968</v>
      </c>
      <c r="M1893">
        <v>304417558</v>
      </c>
      <c r="N1893">
        <v>210472875</v>
      </c>
      <c r="O1893">
        <v>201613271</v>
      </c>
      <c r="P1893">
        <v>90</v>
      </c>
      <c r="Q1893" t="s">
        <v>4106</v>
      </c>
    </row>
    <row r="1894" spans="1:17" x14ac:dyDescent="0.3">
      <c r="A1894" t="s">
        <v>75</v>
      </c>
      <c r="B1894" t="str">
        <f>"000045"</f>
        <v>000045</v>
      </c>
      <c r="C1894" t="s">
        <v>4107</v>
      </c>
      <c r="D1894" t="s">
        <v>128</v>
      </c>
      <c r="E1894">
        <v>604500102</v>
      </c>
      <c r="F1894">
        <v>497878724</v>
      </c>
      <c r="G1894">
        <v>347314378</v>
      </c>
      <c r="H1894">
        <v>537417923</v>
      </c>
      <c r="I1894">
        <v>255065639</v>
      </c>
      <c r="J1894">
        <v>332997898</v>
      </c>
      <c r="K1894">
        <v>282077184</v>
      </c>
      <c r="L1894">
        <v>296524203</v>
      </c>
      <c r="M1894">
        <v>287771663</v>
      </c>
      <c r="N1894">
        <v>265453575</v>
      </c>
      <c r="O1894">
        <v>159171655</v>
      </c>
      <c r="P1894">
        <v>86</v>
      </c>
      <c r="Q1894" t="s">
        <v>4108</v>
      </c>
    </row>
    <row r="1895" spans="1:17" x14ac:dyDescent="0.3">
      <c r="A1895" t="s">
        <v>17</v>
      </c>
      <c r="B1895" t="str">
        <f>"600804"</f>
        <v>600804</v>
      </c>
      <c r="C1895" t="s">
        <v>4109</v>
      </c>
      <c r="D1895" t="s">
        <v>32</v>
      </c>
      <c r="E1895">
        <v>604020711</v>
      </c>
      <c r="F1895">
        <v>975725993</v>
      </c>
      <c r="G1895">
        <v>839078425</v>
      </c>
      <c r="H1895">
        <v>1230995393</v>
      </c>
      <c r="I1895">
        <v>1540355435</v>
      </c>
      <c r="J1895">
        <v>2125077995</v>
      </c>
      <c r="K1895">
        <v>2332020519</v>
      </c>
      <c r="L1895">
        <v>2148674165</v>
      </c>
      <c r="M1895">
        <v>1692838756</v>
      </c>
      <c r="N1895">
        <v>1354787635</v>
      </c>
      <c r="O1895">
        <v>555417057</v>
      </c>
      <c r="P1895">
        <v>460</v>
      </c>
      <c r="Q1895" t="s">
        <v>4110</v>
      </c>
    </row>
    <row r="1896" spans="1:17" x14ac:dyDescent="0.3">
      <c r="A1896" t="s">
        <v>75</v>
      </c>
      <c r="B1896" t="str">
        <f>"300020"</f>
        <v>300020</v>
      </c>
      <c r="C1896" t="s">
        <v>4111</v>
      </c>
      <c r="D1896" t="s">
        <v>224</v>
      </c>
      <c r="E1896">
        <v>603666311</v>
      </c>
      <c r="F1896">
        <v>546354339</v>
      </c>
      <c r="G1896">
        <v>524742014</v>
      </c>
      <c r="H1896">
        <v>563058449</v>
      </c>
      <c r="I1896">
        <v>553807776</v>
      </c>
      <c r="J1896">
        <v>390820493</v>
      </c>
      <c r="K1896">
        <v>353377485</v>
      </c>
      <c r="L1896">
        <v>506268785</v>
      </c>
      <c r="M1896">
        <v>419695052</v>
      </c>
      <c r="N1896">
        <v>279990159</v>
      </c>
      <c r="O1896">
        <v>269306526</v>
      </c>
      <c r="P1896">
        <v>237</v>
      </c>
      <c r="Q1896" t="s">
        <v>4112</v>
      </c>
    </row>
    <row r="1897" spans="1:17" x14ac:dyDescent="0.3">
      <c r="A1897" t="s">
        <v>75</v>
      </c>
      <c r="B1897" t="str">
        <f>"002615"</f>
        <v>002615</v>
      </c>
      <c r="C1897" t="s">
        <v>4113</v>
      </c>
      <c r="D1897" t="s">
        <v>1192</v>
      </c>
      <c r="E1897">
        <v>601906095</v>
      </c>
      <c r="F1897">
        <v>439661757</v>
      </c>
      <c r="G1897">
        <v>295028923</v>
      </c>
      <c r="H1897">
        <v>391022527</v>
      </c>
      <c r="I1897">
        <v>400368227</v>
      </c>
      <c r="J1897">
        <v>308135089</v>
      </c>
      <c r="K1897">
        <v>195212769</v>
      </c>
      <c r="L1897">
        <v>138491007</v>
      </c>
      <c r="M1897">
        <v>136125160</v>
      </c>
      <c r="N1897">
        <v>120734130</v>
      </c>
      <c r="O1897">
        <v>93607924</v>
      </c>
      <c r="P1897">
        <v>178</v>
      </c>
      <c r="Q1897" t="s">
        <v>4114</v>
      </c>
    </row>
    <row r="1898" spans="1:17" x14ac:dyDescent="0.3">
      <c r="A1898" t="s">
        <v>75</v>
      </c>
      <c r="B1898" t="str">
        <f>"002039"</f>
        <v>002039</v>
      </c>
      <c r="C1898" t="s">
        <v>4115</v>
      </c>
      <c r="D1898" t="s">
        <v>528</v>
      </c>
      <c r="E1898">
        <v>600963602</v>
      </c>
      <c r="F1898">
        <v>386630051</v>
      </c>
      <c r="G1898">
        <v>397840309</v>
      </c>
      <c r="H1898">
        <v>645760276</v>
      </c>
      <c r="I1898">
        <v>687178075</v>
      </c>
      <c r="J1898">
        <v>304792604</v>
      </c>
      <c r="K1898">
        <v>706377986</v>
      </c>
      <c r="L1898">
        <v>663142449</v>
      </c>
      <c r="M1898">
        <v>68751813</v>
      </c>
      <c r="N1898">
        <v>246658932</v>
      </c>
      <c r="O1898">
        <v>97900000</v>
      </c>
      <c r="P1898">
        <v>431</v>
      </c>
      <c r="Q1898" t="s">
        <v>4116</v>
      </c>
    </row>
    <row r="1899" spans="1:17" x14ac:dyDescent="0.3">
      <c r="A1899" t="s">
        <v>75</v>
      </c>
      <c r="B1899" t="str">
        <f>"300793"</f>
        <v>300793</v>
      </c>
      <c r="C1899" t="s">
        <v>4117</v>
      </c>
      <c r="D1899" t="s">
        <v>55</v>
      </c>
      <c r="E1899">
        <v>600203966</v>
      </c>
      <c r="F1899">
        <v>881395855</v>
      </c>
      <c r="G1899">
        <v>540116355</v>
      </c>
      <c r="H1899">
        <v>335660190</v>
      </c>
      <c r="P1899">
        <v>144</v>
      </c>
      <c r="Q1899" t="s">
        <v>4118</v>
      </c>
    </row>
    <row r="1900" spans="1:17" x14ac:dyDescent="0.3">
      <c r="A1900" t="s">
        <v>75</v>
      </c>
      <c r="B1900" t="str">
        <f>"300294"</f>
        <v>300294</v>
      </c>
      <c r="C1900" t="s">
        <v>4119</v>
      </c>
      <c r="D1900" t="s">
        <v>2314</v>
      </c>
      <c r="E1900">
        <v>600067930</v>
      </c>
      <c r="F1900">
        <v>632086541</v>
      </c>
      <c r="G1900">
        <v>623291828</v>
      </c>
      <c r="H1900">
        <v>574367525</v>
      </c>
      <c r="I1900">
        <v>449702184</v>
      </c>
      <c r="J1900">
        <v>169885076</v>
      </c>
      <c r="K1900">
        <v>157915185</v>
      </c>
      <c r="L1900">
        <v>88898344</v>
      </c>
      <c r="M1900">
        <v>90438321</v>
      </c>
      <c r="N1900">
        <v>58690190</v>
      </c>
      <c r="O1900">
        <v>57897866</v>
      </c>
      <c r="P1900">
        <v>495</v>
      </c>
      <c r="Q1900" t="s">
        <v>4120</v>
      </c>
    </row>
    <row r="1901" spans="1:17" x14ac:dyDescent="0.3">
      <c r="A1901" t="s">
        <v>75</v>
      </c>
      <c r="B1901" t="str">
        <f>"300038"</f>
        <v>300038</v>
      </c>
      <c r="C1901" t="s">
        <v>4121</v>
      </c>
      <c r="D1901" t="s">
        <v>622</v>
      </c>
      <c r="E1901">
        <v>599522138</v>
      </c>
      <c r="F1901">
        <v>793817351</v>
      </c>
      <c r="G1901">
        <v>637997760</v>
      </c>
      <c r="H1901">
        <v>1486245659</v>
      </c>
      <c r="I1901">
        <v>1038806442</v>
      </c>
      <c r="J1901">
        <v>152385151</v>
      </c>
      <c r="K1901">
        <v>144890380</v>
      </c>
      <c r="L1901">
        <v>161644102</v>
      </c>
      <c r="M1901">
        <v>86137989</v>
      </c>
      <c r="N1901">
        <v>55421251</v>
      </c>
      <c r="O1901">
        <v>61067353</v>
      </c>
      <c r="P1901">
        <v>263</v>
      </c>
      <c r="Q1901" t="s">
        <v>4122</v>
      </c>
    </row>
    <row r="1902" spans="1:17" x14ac:dyDescent="0.3">
      <c r="A1902" t="s">
        <v>17</v>
      </c>
      <c r="B1902" t="str">
        <f>"600158"</f>
        <v>600158</v>
      </c>
      <c r="C1902" t="s">
        <v>4123</v>
      </c>
      <c r="D1902" t="s">
        <v>4124</v>
      </c>
      <c r="E1902">
        <v>599450867</v>
      </c>
      <c r="F1902">
        <v>180395650</v>
      </c>
      <c r="G1902">
        <v>96107013</v>
      </c>
      <c r="H1902">
        <v>179941617</v>
      </c>
      <c r="I1902">
        <v>381343635</v>
      </c>
      <c r="J1902">
        <v>231991498</v>
      </c>
      <c r="K1902">
        <v>192549228</v>
      </c>
      <c r="L1902">
        <v>134407156</v>
      </c>
      <c r="M1902">
        <v>165978848</v>
      </c>
      <c r="N1902">
        <v>135800493</v>
      </c>
      <c r="O1902">
        <v>142226620</v>
      </c>
      <c r="P1902">
        <v>166</v>
      </c>
      <c r="Q1902" t="s">
        <v>4125</v>
      </c>
    </row>
    <row r="1903" spans="1:17" x14ac:dyDescent="0.3">
      <c r="A1903" t="s">
        <v>17</v>
      </c>
      <c r="B1903" t="str">
        <f>"600488"</f>
        <v>600488</v>
      </c>
      <c r="C1903" t="s">
        <v>4126</v>
      </c>
      <c r="D1903" t="s">
        <v>543</v>
      </c>
      <c r="E1903">
        <v>599030177</v>
      </c>
      <c r="F1903">
        <v>684529399</v>
      </c>
      <c r="G1903">
        <v>444480257</v>
      </c>
      <c r="H1903">
        <v>475200705</v>
      </c>
      <c r="I1903">
        <v>477713841</v>
      </c>
      <c r="J1903">
        <v>169520528</v>
      </c>
      <c r="K1903">
        <v>145930104</v>
      </c>
      <c r="L1903">
        <v>210287691</v>
      </c>
      <c r="M1903">
        <v>227682125</v>
      </c>
      <c r="N1903">
        <v>243612555</v>
      </c>
      <c r="O1903">
        <v>210101608</v>
      </c>
      <c r="P1903">
        <v>98</v>
      </c>
      <c r="Q1903" t="s">
        <v>4127</v>
      </c>
    </row>
    <row r="1904" spans="1:17" x14ac:dyDescent="0.3">
      <c r="A1904" t="s">
        <v>75</v>
      </c>
      <c r="B1904" t="str">
        <f>"002378"</f>
        <v>002378</v>
      </c>
      <c r="C1904" t="s">
        <v>4128</v>
      </c>
      <c r="D1904" t="s">
        <v>783</v>
      </c>
      <c r="E1904">
        <v>598917407</v>
      </c>
      <c r="F1904">
        <v>392162466</v>
      </c>
      <c r="G1904">
        <v>400953916</v>
      </c>
      <c r="H1904">
        <v>284949515</v>
      </c>
      <c r="I1904">
        <v>305840132</v>
      </c>
      <c r="J1904">
        <v>265955762</v>
      </c>
      <c r="K1904">
        <v>251249870</v>
      </c>
      <c r="L1904">
        <v>463314727</v>
      </c>
      <c r="M1904">
        <v>330467344</v>
      </c>
      <c r="N1904">
        <v>453856709</v>
      </c>
      <c r="O1904">
        <v>373554431</v>
      </c>
      <c r="P1904">
        <v>128</v>
      </c>
      <c r="Q1904" t="s">
        <v>4129</v>
      </c>
    </row>
    <row r="1905" spans="1:17" x14ac:dyDescent="0.3">
      <c r="A1905" t="s">
        <v>75</v>
      </c>
      <c r="B1905" t="str">
        <f>"300134"</f>
        <v>300134</v>
      </c>
      <c r="C1905" t="s">
        <v>4130</v>
      </c>
      <c r="D1905" t="s">
        <v>169</v>
      </c>
      <c r="E1905">
        <v>598205668</v>
      </c>
      <c r="F1905">
        <v>573448889</v>
      </c>
      <c r="G1905">
        <v>509772511</v>
      </c>
      <c r="H1905">
        <v>664180294</v>
      </c>
      <c r="I1905">
        <v>464480157</v>
      </c>
      <c r="J1905">
        <v>533619231</v>
      </c>
      <c r="K1905">
        <v>567163831</v>
      </c>
      <c r="L1905">
        <v>623666858</v>
      </c>
      <c r="M1905">
        <v>564936011</v>
      </c>
      <c r="N1905">
        <v>501178733</v>
      </c>
      <c r="O1905">
        <v>305803626</v>
      </c>
      <c r="P1905">
        <v>342</v>
      </c>
      <c r="Q1905" t="s">
        <v>4131</v>
      </c>
    </row>
    <row r="1906" spans="1:17" x14ac:dyDescent="0.3">
      <c r="A1906" t="s">
        <v>75</v>
      </c>
      <c r="B1906" t="str">
        <f>"002769"</f>
        <v>002769</v>
      </c>
      <c r="C1906" t="s">
        <v>4132</v>
      </c>
      <c r="D1906" t="s">
        <v>367</v>
      </c>
      <c r="E1906">
        <v>596802553</v>
      </c>
      <c r="F1906">
        <v>1059061497</v>
      </c>
      <c r="G1906">
        <v>1546340928</v>
      </c>
      <c r="H1906">
        <v>1712916986</v>
      </c>
      <c r="I1906">
        <v>1412546271</v>
      </c>
      <c r="J1906">
        <v>918910401</v>
      </c>
      <c r="K1906">
        <v>866044607</v>
      </c>
      <c r="L1906">
        <v>0</v>
      </c>
      <c r="M1906">
        <v>0</v>
      </c>
      <c r="P1906">
        <v>96</v>
      </c>
      <c r="Q1906" t="s">
        <v>4133</v>
      </c>
    </row>
    <row r="1907" spans="1:17" x14ac:dyDescent="0.3">
      <c r="A1907" t="s">
        <v>75</v>
      </c>
      <c r="B1907" t="str">
        <f>"300170"</f>
        <v>300170</v>
      </c>
      <c r="C1907" t="s">
        <v>4134</v>
      </c>
      <c r="D1907" t="s">
        <v>224</v>
      </c>
      <c r="E1907">
        <v>596302385</v>
      </c>
      <c r="F1907">
        <v>578705872</v>
      </c>
      <c r="G1907">
        <v>484053634</v>
      </c>
      <c r="H1907">
        <v>508405896</v>
      </c>
      <c r="I1907">
        <v>442183100</v>
      </c>
      <c r="J1907">
        <v>337566622</v>
      </c>
      <c r="K1907">
        <v>172739958</v>
      </c>
      <c r="L1907">
        <v>203673768</v>
      </c>
      <c r="M1907">
        <v>158417128</v>
      </c>
      <c r="N1907">
        <v>141551922</v>
      </c>
      <c r="O1907">
        <v>102948484</v>
      </c>
      <c r="P1907">
        <v>3198</v>
      </c>
      <c r="Q1907" t="s">
        <v>4135</v>
      </c>
    </row>
    <row r="1908" spans="1:17" x14ac:dyDescent="0.3">
      <c r="A1908" t="s">
        <v>75</v>
      </c>
      <c r="B1908" t="str">
        <f>"002153"</f>
        <v>002153</v>
      </c>
      <c r="C1908" t="s">
        <v>4136</v>
      </c>
      <c r="D1908" t="s">
        <v>116</v>
      </c>
      <c r="E1908">
        <v>595781897</v>
      </c>
      <c r="F1908">
        <v>683342966</v>
      </c>
      <c r="G1908">
        <v>567336676</v>
      </c>
      <c r="H1908">
        <v>737350828</v>
      </c>
      <c r="I1908">
        <v>585815421</v>
      </c>
      <c r="J1908">
        <v>641685038</v>
      </c>
      <c r="K1908">
        <v>451896022</v>
      </c>
      <c r="L1908">
        <v>447824160</v>
      </c>
      <c r="M1908">
        <v>604289715</v>
      </c>
      <c r="N1908">
        <v>172656476</v>
      </c>
      <c r="O1908">
        <v>177826697</v>
      </c>
      <c r="P1908">
        <v>679</v>
      </c>
      <c r="Q1908" t="s">
        <v>4137</v>
      </c>
    </row>
    <row r="1909" spans="1:17" x14ac:dyDescent="0.3">
      <c r="A1909" t="s">
        <v>17</v>
      </c>
      <c r="B1909" t="str">
        <f>"603165"</f>
        <v>603165</v>
      </c>
      <c r="C1909" t="s">
        <v>4138</v>
      </c>
      <c r="D1909" t="s">
        <v>540</v>
      </c>
      <c r="E1909">
        <v>595663783</v>
      </c>
      <c r="F1909">
        <v>470959746</v>
      </c>
      <c r="G1909">
        <v>279531631</v>
      </c>
      <c r="H1909">
        <v>407794369</v>
      </c>
      <c r="I1909">
        <v>412073408</v>
      </c>
      <c r="J1909">
        <v>313987706</v>
      </c>
      <c r="K1909">
        <v>110982847</v>
      </c>
      <c r="P1909">
        <v>587</v>
      </c>
      <c r="Q1909" t="s">
        <v>4139</v>
      </c>
    </row>
    <row r="1910" spans="1:17" x14ac:dyDescent="0.3">
      <c r="A1910" t="s">
        <v>75</v>
      </c>
      <c r="B1910" t="str">
        <f>"300739"</f>
        <v>300739</v>
      </c>
      <c r="C1910" t="s">
        <v>4140</v>
      </c>
      <c r="D1910" t="s">
        <v>567</v>
      </c>
      <c r="E1910">
        <v>595131254</v>
      </c>
      <c r="F1910">
        <v>346633219</v>
      </c>
      <c r="G1910">
        <v>293394811</v>
      </c>
      <c r="H1910">
        <v>275985838</v>
      </c>
      <c r="I1910">
        <v>194973458</v>
      </c>
      <c r="J1910">
        <v>229225107</v>
      </c>
      <c r="P1910">
        <v>170</v>
      </c>
      <c r="Q1910" t="s">
        <v>4141</v>
      </c>
    </row>
    <row r="1911" spans="1:17" x14ac:dyDescent="0.3">
      <c r="A1911" t="s">
        <v>17</v>
      </c>
      <c r="B1911" t="str">
        <f>"688326"</f>
        <v>688326</v>
      </c>
      <c r="C1911" t="s">
        <v>4142</v>
      </c>
      <c r="E1911">
        <v>595128712</v>
      </c>
      <c r="F1911">
        <v>540548692</v>
      </c>
      <c r="P1911">
        <v>3</v>
      </c>
      <c r="Q1911" t="s">
        <v>4143</v>
      </c>
    </row>
    <row r="1912" spans="1:17" x14ac:dyDescent="0.3">
      <c r="A1912" t="s">
        <v>17</v>
      </c>
      <c r="B1912" t="str">
        <f>"601330"</f>
        <v>601330</v>
      </c>
      <c r="C1912" t="s">
        <v>4144</v>
      </c>
      <c r="D1912" t="s">
        <v>1187</v>
      </c>
      <c r="E1912">
        <v>594975042</v>
      </c>
      <c r="F1912">
        <v>576989369</v>
      </c>
      <c r="G1912">
        <v>466558815</v>
      </c>
      <c r="H1912">
        <v>293806719</v>
      </c>
      <c r="I1912">
        <v>331272868</v>
      </c>
      <c r="J1912">
        <v>185490583</v>
      </c>
      <c r="P1912">
        <v>234</v>
      </c>
      <c r="Q1912" t="s">
        <v>4145</v>
      </c>
    </row>
    <row r="1913" spans="1:17" x14ac:dyDescent="0.3">
      <c r="A1913" t="s">
        <v>75</v>
      </c>
      <c r="B1913" t="str">
        <f>"300355"</f>
        <v>300355</v>
      </c>
      <c r="C1913" t="s">
        <v>4146</v>
      </c>
      <c r="D1913" t="s">
        <v>1523</v>
      </c>
      <c r="E1913">
        <v>594907374</v>
      </c>
      <c r="F1913">
        <v>759217257</v>
      </c>
      <c r="G1913">
        <v>459008191</v>
      </c>
      <c r="H1913">
        <v>628540574</v>
      </c>
      <c r="I1913">
        <v>464205088</v>
      </c>
      <c r="J1913">
        <v>517268104</v>
      </c>
      <c r="K1913">
        <v>265171149</v>
      </c>
      <c r="L1913">
        <v>217327331</v>
      </c>
      <c r="M1913">
        <v>186638442</v>
      </c>
      <c r="N1913">
        <v>70887889</v>
      </c>
      <c r="O1913">
        <v>61757636</v>
      </c>
      <c r="P1913">
        <v>406</v>
      </c>
      <c r="Q1913" t="s">
        <v>4147</v>
      </c>
    </row>
    <row r="1914" spans="1:17" x14ac:dyDescent="0.3">
      <c r="A1914" t="s">
        <v>75</v>
      </c>
      <c r="B1914" t="str">
        <f>"200570"</f>
        <v>200570</v>
      </c>
      <c r="C1914" t="s">
        <v>4148</v>
      </c>
      <c r="E1914">
        <v>594772177.65199995</v>
      </c>
      <c r="F1914">
        <v>580036168.02100003</v>
      </c>
      <c r="G1914">
        <v>431188694.94749999</v>
      </c>
      <c r="H1914">
        <v>451264598.6796</v>
      </c>
      <c r="I1914">
        <v>549735091.11399996</v>
      </c>
      <c r="J1914">
        <v>631477202.86679995</v>
      </c>
      <c r="K1914">
        <v>685594671.40989995</v>
      </c>
      <c r="L1914">
        <v>782041923.75</v>
      </c>
      <c r="M1914">
        <v>790547371.222</v>
      </c>
      <c r="N1914">
        <v>1011672545.2398</v>
      </c>
      <c r="O1914">
        <v>1042163554.428</v>
      </c>
      <c r="P1914">
        <v>10</v>
      </c>
      <c r="Q1914" t="s">
        <v>4149</v>
      </c>
    </row>
    <row r="1915" spans="1:17" x14ac:dyDescent="0.3">
      <c r="A1915" t="s">
        <v>75</v>
      </c>
      <c r="B1915" t="str">
        <f>"300702"</f>
        <v>300702</v>
      </c>
      <c r="C1915" t="s">
        <v>4150</v>
      </c>
      <c r="D1915" t="s">
        <v>1242</v>
      </c>
      <c r="E1915">
        <v>594027846</v>
      </c>
      <c r="F1915">
        <v>594906298</v>
      </c>
      <c r="G1915">
        <v>480589621</v>
      </c>
      <c r="H1915">
        <v>418361858</v>
      </c>
      <c r="I1915">
        <v>242048278</v>
      </c>
      <c r="J1915">
        <v>231150109</v>
      </c>
      <c r="P1915">
        <v>411</v>
      </c>
      <c r="Q1915" t="s">
        <v>4151</v>
      </c>
    </row>
    <row r="1916" spans="1:17" x14ac:dyDescent="0.3">
      <c r="A1916" t="s">
        <v>17</v>
      </c>
      <c r="B1916" t="str">
        <f>"603290"</f>
        <v>603290</v>
      </c>
      <c r="C1916" t="s">
        <v>4152</v>
      </c>
      <c r="D1916" t="s">
        <v>2728</v>
      </c>
      <c r="E1916">
        <v>593578905</v>
      </c>
      <c r="F1916">
        <v>326340911</v>
      </c>
      <c r="G1916">
        <v>61463154</v>
      </c>
      <c r="H1916">
        <v>117263594</v>
      </c>
      <c r="P1916">
        <v>635</v>
      </c>
      <c r="Q1916" t="s">
        <v>4153</v>
      </c>
    </row>
    <row r="1917" spans="1:17" x14ac:dyDescent="0.3">
      <c r="A1917" t="s">
        <v>17</v>
      </c>
      <c r="B1917" t="str">
        <f>"688148"</f>
        <v>688148</v>
      </c>
      <c r="C1917" t="s">
        <v>4154</v>
      </c>
      <c r="D1917" t="s">
        <v>834</v>
      </c>
      <c r="E1917">
        <v>593508486</v>
      </c>
      <c r="F1917">
        <v>316684759</v>
      </c>
      <c r="G1917">
        <v>258879681</v>
      </c>
      <c r="P1917">
        <v>29</v>
      </c>
      <c r="Q1917" t="s">
        <v>4155</v>
      </c>
    </row>
    <row r="1918" spans="1:17" x14ac:dyDescent="0.3">
      <c r="A1918" t="s">
        <v>75</v>
      </c>
      <c r="B1918" t="str">
        <f>"002196"</f>
        <v>002196</v>
      </c>
      <c r="C1918" t="s">
        <v>4156</v>
      </c>
      <c r="D1918" t="s">
        <v>1487</v>
      </c>
      <c r="E1918">
        <v>593429566</v>
      </c>
      <c r="F1918">
        <v>347619887</v>
      </c>
      <c r="G1918">
        <v>295084299</v>
      </c>
      <c r="H1918">
        <v>338650030</v>
      </c>
      <c r="I1918">
        <v>263704525</v>
      </c>
      <c r="J1918">
        <v>261334670</v>
      </c>
      <c r="K1918">
        <v>213481086</v>
      </c>
      <c r="L1918">
        <v>184254684</v>
      </c>
      <c r="M1918">
        <v>131627292</v>
      </c>
      <c r="N1918">
        <v>103229554</v>
      </c>
      <c r="O1918">
        <v>103715152</v>
      </c>
      <c r="P1918">
        <v>163</v>
      </c>
      <c r="Q1918" t="s">
        <v>4157</v>
      </c>
    </row>
    <row r="1919" spans="1:17" x14ac:dyDescent="0.3">
      <c r="A1919" t="s">
        <v>75</v>
      </c>
      <c r="B1919" t="str">
        <f>"002824"</f>
        <v>002824</v>
      </c>
      <c r="C1919" t="s">
        <v>4158</v>
      </c>
      <c r="D1919" t="s">
        <v>96</v>
      </c>
      <c r="E1919">
        <v>593175815</v>
      </c>
      <c r="F1919">
        <v>397677912</v>
      </c>
      <c r="G1919">
        <v>355408720</v>
      </c>
      <c r="H1919">
        <v>321514896</v>
      </c>
      <c r="I1919">
        <v>246547974</v>
      </c>
      <c r="J1919">
        <v>220187186</v>
      </c>
      <c r="K1919">
        <v>172385687</v>
      </c>
      <c r="P1919">
        <v>167</v>
      </c>
      <c r="Q1919" t="s">
        <v>4159</v>
      </c>
    </row>
    <row r="1920" spans="1:17" x14ac:dyDescent="0.3">
      <c r="A1920" t="s">
        <v>75</v>
      </c>
      <c r="B1920" t="str">
        <f>"300032"</f>
        <v>300032</v>
      </c>
      <c r="C1920" t="s">
        <v>4160</v>
      </c>
      <c r="D1920" t="s">
        <v>55</v>
      </c>
      <c r="E1920">
        <v>592931907</v>
      </c>
      <c r="F1920">
        <v>508877207</v>
      </c>
      <c r="G1920">
        <v>377378835</v>
      </c>
      <c r="H1920">
        <v>488915619</v>
      </c>
      <c r="I1920">
        <v>850835739</v>
      </c>
      <c r="J1920">
        <v>662387204</v>
      </c>
      <c r="K1920">
        <v>723325119</v>
      </c>
      <c r="L1920">
        <v>658907877</v>
      </c>
      <c r="M1920">
        <v>123670920</v>
      </c>
      <c r="N1920">
        <v>85922385</v>
      </c>
      <c r="O1920">
        <v>70913496</v>
      </c>
      <c r="P1920">
        <v>152</v>
      </c>
      <c r="Q1920" t="s">
        <v>4161</v>
      </c>
    </row>
    <row r="1921" spans="1:17" x14ac:dyDescent="0.3">
      <c r="A1921" t="s">
        <v>17</v>
      </c>
      <c r="B1921" t="str">
        <f>"603585"</f>
        <v>603585</v>
      </c>
      <c r="C1921" t="s">
        <v>4162</v>
      </c>
      <c r="D1921" t="s">
        <v>811</v>
      </c>
      <c r="E1921">
        <v>592385768</v>
      </c>
      <c r="F1921">
        <v>256121279</v>
      </c>
      <c r="G1921">
        <v>249485216</v>
      </c>
      <c r="H1921">
        <v>365405694</v>
      </c>
      <c r="I1921">
        <v>361100581</v>
      </c>
      <c r="J1921">
        <v>332776552</v>
      </c>
      <c r="K1921">
        <v>327192472</v>
      </c>
      <c r="P1921">
        <v>546</v>
      </c>
      <c r="Q1921" t="s">
        <v>4163</v>
      </c>
    </row>
    <row r="1922" spans="1:17" x14ac:dyDescent="0.3">
      <c r="A1922" t="s">
        <v>17</v>
      </c>
      <c r="B1922" t="str">
        <f>"603187"</f>
        <v>603187</v>
      </c>
      <c r="C1922" t="s">
        <v>4164</v>
      </c>
      <c r="D1922" t="s">
        <v>2626</v>
      </c>
      <c r="E1922">
        <v>592122095</v>
      </c>
      <c r="F1922">
        <v>374400151</v>
      </c>
      <c r="G1922">
        <v>226169825</v>
      </c>
      <c r="H1922">
        <v>289001884</v>
      </c>
      <c r="I1922">
        <v>200982314</v>
      </c>
      <c r="P1922">
        <v>704</v>
      </c>
      <c r="Q1922" t="s">
        <v>4165</v>
      </c>
    </row>
    <row r="1923" spans="1:17" x14ac:dyDescent="0.3">
      <c r="A1923" t="s">
        <v>17</v>
      </c>
      <c r="B1923" t="str">
        <f>"600478"</f>
        <v>600478</v>
      </c>
      <c r="C1923" t="s">
        <v>4166</v>
      </c>
      <c r="D1923" t="s">
        <v>131</v>
      </c>
      <c r="E1923">
        <v>591685552</v>
      </c>
      <c r="F1923">
        <v>418435726</v>
      </c>
      <c r="G1923">
        <v>520817535</v>
      </c>
      <c r="H1923">
        <v>428816728</v>
      </c>
      <c r="I1923">
        <v>371614315</v>
      </c>
      <c r="J1923">
        <v>419838961</v>
      </c>
      <c r="K1923">
        <v>479435933</v>
      </c>
      <c r="L1923">
        <v>209596339</v>
      </c>
      <c r="M1923">
        <v>234964040</v>
      </c>
      <c r="N1923">
        <v>408376741</v>
      </c>
      <c r="O1923">
        <v>576054374</v>
      </c>
      <c r="P1923">
        <v>160</v>
      </c>
      <c r="Q1923" t="s">
        <v>4167</v>
      </c>
    </row>
    <row r="1924" spans="1:17" x14ac:dyDescent="0.3">
      <c r="A1924" t="s">
        <v>17</v>
      </c>
      <c r="B1924" t="str">
        <f>"603086"</f>
        <v>603086</v>
      </c>
      <c r="C1924" t="s">
        <v>4168</v>
      </c>
      <c r="D1924" t="s">
        <v>811</v>
      </c>
      <c r="E1924">
        <v>591658322</v>
      </c>
      <c r="F1924">
        <v>422634878</v>
      </c>
      <c r="G1924">
        <v>321037090</v>
      </c>
      <c r="H1924">
        <v>337653125</v>
      </c>
      <c r="I1924">
        <v>236188485</v>
      </c>
      <c r="J1924">
        <v>182962743</v>
      </c>
      <c r="K1924">
        <v>198406789</v>
      </c>
      <c r="P1924">
        <v>124</v>
      </c>
      <c r="Q1924" t="s">
        <v>4169</v>
      </c>
    </row>
    <row r="1925" spans="1:17" x14ac:dyDescent="0.3">
      <c r="A1925" t="s">
        <v>75</v>
      </c>
      <c r="B1925" t="str">
        <f>"002562"</f>
        <v>002562</v>
      </c>
      <c r="C1925" t="s">
        <v>4170</v>
      </c>
      <c r="D1925" t="s">
        <v>1291</v>
      </c>
      <c r="E1925">
        <v>590209870</v>
      </c>
      <c r="F1925">
        <v>482428667</v>
      </c>
      <c r="G1925">
        <v>350498127</v>
      </c>
      <c r="H1925">
        <v>235791630</v>
      </c>
      <c r="I1925">
        <v>367901690</v>
      </c>
      <c r="J1925">
        <v>231211009</v>
      </c>
      <c r="K1925">
        <v>245610821</v>
      </c>
      <c r="L1925">
        <v>205469595</v>
      </c>
      <c r="M1925">
        <v>195099029</v>
      </c>
      <c r="N1925">
        <v>179223275</v>
      </c>
      <c r="O1925">
        <v>106908006</v>
      </c>
      <c r="P1925">
        <v>260</v>
      </c>
      <c r="Q1925" t="s">
        <v>4171</v>
      </c>
    </row>
    <row r="1926" spans="1:17" x14ac:dyDescent="0.3">
      <c r="A1926" t="s">
        <v>75</v>
      </c>
      <c r="B1926" t="str">
        <f>"300133"</f>
        <v>300133</v>
      </c>
      <c r="C1926" t="s">
        <v>4172</v>
      </c>
      <c r="D1926" t="s">
        <v>2532</v>
      </c>
      <c r="E1926">
        <v>590092457</v>
      </c>
      <c r="F1926">
        <v>1367237003</v>
      </c>
      <c r="G1926">
        <v>879432297</v>
      </c>
      <c r="H1926">
        <v>1048703597</v>
      </c>
      <c r="I1926">
        <v>751128729</v>
      </c>
      <c r="J1926">
        <v>801483073</v>
      </c>
      <c r="K1926">
        <v>909521202</v>
      </c>
      <c r="L1926">
        <v>326891609</v>
      </c>
      <c r="M1926">
        <v>174501412</v>
      </c>
      <c r="N1926">
        <v>146348881</v>
      </c>
      <c r="O1926">
        <v>56983159</v>
      </c>
      <c r="P1926">
        <v>349</v>
      </c>
      <c r="Q1926" t="s">
        <v>4173</v>
      </c>
    </row>
    <row r="1927" spans="1:17" x14ac:dyDescent="0.3">
      <c r="A1927" t="s">
        <v>75</v>
      </c>
      <c r="B1927" t="str">
        <f>"300697"</f>
        <v>300697</v>
      </c>
      <c r="C1927" t="s">
        <v>4174</v>
      </c>
      <c r="D1927" t="s">
        <v>45</v>
      </c>
      <c r="E1927">
        <v>589688134</v>
      </c>
      <c r="F1927">
        <v>498301574</v>
      </c>
      <c r="G1927">
        <v>329721034</v>
      </c>
      <c r="H1927">
        <v>507875971</v>
      </c>
      <c r="I1927">
        <v>340010932</v>
      </c>
      <c r="J1927">
        <v>300042161</v>
      </c>
      <c r="P1927">
        <v>77</v>
      </c>
      <c r="Q1927" t="s">
        <v>4175</v>
      </c>
    </row>
    <row r="1928" spans="1:17" x14ac:dyDescent="0.3">
      <c r="A1928" t="s">
        <v>17</v>
      </c>
      <c r="B1928" t="str">
        <f>"600351"</f>
        <v>600351</v>
      </c>
      <c r="C1928" t="s">
        <v>4176</v>
      </c>
      <c r="D1928" t="s">
        <v>321</v>
      </c>
      <c r="E1928">
        <v>589489111</v>
      </c>
      <c r="F1928">
        <v>709732723</v>
      </c>
      <c r="G1928">
        <v>567450777</v>
      </c>
      <c r="H1928">
        <v>740897810</v>
      </c>
      <c r="I1928">
        <v>642971719</v>
      </c>
      <c r="J1928">
        <v>430613286</v>
      </c>
      <c r="K1928">
        <v>412759456</v>
      </c>
      <c r="L1928">
        <v>422890908</v>
      </c>
      <c r="M1928">
        <v>275754917</v>
      </c>
      <c r="N1928">
        <v>278178876</v>
      </c>
      <c r="O1928">
        <v>195641695</v>
      </c>
      <c r="P1928">
        <v>234</v>
      </c>
      <c r="Q1928" t="s">
        <v>4177</v>
      </c>
    </row>
    <row r="1929" spans="1:17" x14ac:dyDescent="0.3">
      <c r="A1929" t="s">
        <v>17</v>
      </c>
      <c r="B1929" t="str">
        <f>"603915"</f>
        <v>603915</v>
      </c>
      <c r="C1929" t="s">
        <v>4178</v>
      </c>
      <c r="D1929" t="s">
        <v>153</v>
      </c>
      <c r="E1929">
        <v>589365590</v>
      </c>
      <c r="F1929">
        <v>547900527</v>
      </c>
      <c r="G1929">
        <v>385047817</v>
      </c>
      <c r="H1929">
        <v>0</v>
      </c>
      <c r="I1929">
        <v>0</v>
      </c>
      <c r="P1929">
        <v>160</v>
      </c>
      <c r="Q1929" t="s">
        <v>4179</v>
      </c>
    </row>
    <row r="1930" spans="1:17" x14ac:dyDescent="0.3">
      <c r="A1930" t="s">
        <v>17</v>
      </c>
      <c r="B1930" t="str">
        <f>"603579"</f>
        <v>603579</v>
      </c>
      <c r="C1930" t="s">
        <v>4180</v>
      </c>
      <c r="D1930" t="s">
        <v>2051</v>
      </c>
      <c r="E1930">
        <v>589074361</v>
      </c>
      <c r="F1930">
        <v>615647146</v>
      </c>
      <c r="G1930">
        <v>327593121</v>
      </c>
      <c r="H1930">
        <v>614055043</v>
      </c>
      <c r="I1930">
        <v>641292121</v>
      </c>
      <c r="J1930">
        <v>382982480</v>
      </c>
      <c r="K1930">
        <v>266706211</v>
      </c>
      <c r="P1930">
        <v>597</v>
      </c>
      <c r="Q1930" t="s">
        <v>4181</v>
      </c>
    </row>
    <row r="1931" spans="1:17" x14ac:dyDescent="0.3">
      <c r="A1931" t="s">
        <v>75</v>
      </c>
      <c r="B1931" t="str">
        <f>"002442"</f>
        <v>002442</v>
      </c>
      <c r="C1931" t="s">
        <v>4182</v>
      </c>
      <c r="D1931" t="s">
        <v>4065</v>
      </c>
      <c r="E1931">
        <v>588455125</v>
      </c>
      <c r="F1931">
        <v>354167003</v>
      </c>
      <c r="G1931">
        <v>558027324</v>
      </c>
      <c r="H1931">
        <v>852408747</v>
      </c>
      <c r="I1931">
        <v>839518406</v>
      </c>
      <c r="J1931">
        <v>584784553</v>
      </c>
      <c r="K1931">
        <v>432783869</v>
      </c>
      <c r="L1931">
        <v>488076132</v>
      </c>
      <c r="M1931">
        <v>550389954</v>
      </c>
      <c r="N1931">
        <v>437336214</v>
      </c>
      <c r="O1931">
        <v>494151209</v>
      </c>
      <c r="P1931">
        <v>105</v>
      </c>
      <c r="Q1931" t="s">
        <v>4183</v>
      </c>
    </row>
    <row r="1932" spans="1:17" x14ac:dyDescent="0.3">
      <c r="A1932" t="s">
        <v>17</v>
      </c>
      <c r="B1932" t="str">
        <f>"603083"</f>
        <v>603083</v>
      </c>
      <c r="C1932" t="s">
        <v>4184</v>
      </c>
      <c r="D1932" t="s">
        <v>556</v>
      </c>
      <c r="E1932">
        <v>587437968</v>
      </c>
      <c r="F1932">
        <v>593714341</v>
      </c>
      <c r="G1932">
        <v>691377955</v>
      </c>
      <c r="H1932">
        <v>866426049</v>
      </c>
      <c r="I1932">
        <v>679725622</v>
      </c>
      <c r="J1932">
        <v>601538156</v>
      </c>
      <c r="P1932">
        <v>272</v>
      </c>
      <c r="Q1932" t="s">
        <v>4185</v>
      </c>
    </row>
    <row r="1933" spans="1:17" x14ac:dyDescent="0.3">
      <c r="A1933" t="s">
        <v>75</v>
      </c>
      <c r="B1933" t="str">
        <f>"300787"</f>
        <v>300787</v>
      </c>
      <c r="C1933" t="s">
        <v>4186</v>
      </c>
      <c r="D1933" t="s">
        <v>55</v>
      </c>
      <c r="E1933">
        <v>587292717</v>
      </c>
      <c r="F1933">
        <v>617127991</v>
      </c>
      <c r="G1933">
        <v>290551695</v>
      </c>
      <c r="H1933">
        <v>263481018</v>
      </c>
      <c r="I1933">
        <v>234911594</v>
      </c>
      <c r="P1933">
        <v>87</v>
      </c>
      <c r="Q1933" t="s">
        <v>4187</v>
      </c>
    </row>
    <row r="1934" spans="1:17" x14ac:dyDescent="0.3">
      <c r="A1934" t="s">
        <v>75</v>
      </c>
      <c r="B1934" t="str">
        <f>"300504"</f>
        <v>300504</v>
      </c>
      <c r="C1934" t="s">
        <v>4188</v>
      </c>
      <c r="D1934" t="s">
        <v>556</v>
      </c>
      <c r="E1934">
        <v>586798470</v>
      </c>
      <c r="F1934">
        <v>523598677</v>
      </c>
      <c r="G1934">
        <v>406222654</v>
      </c>
      <c r="H1934">
        <v>853930766</v>
      </c>
      <c r="I1934">
        <v>516341753</v>
      </c>
      <c r="J1934">
        <v>533848565</v>
      </c>
      <c r="P1934">
        <v>176</v>
      </c>
      <c r="Q1934" t="s">
        <v>4189</v>
      </c>
    </row>
    <row r="1935" spans="1:17" x14ac:dyDescent="0.3">
      <c r="A1935" t="s">
        <v>75</v>
      </c>
      <c r="B1935" t="str">
        <f>"002837"</f>
        <v>002837</v>
      </c>
      <c r="C1935" t="s">
        <v>4190</v>
      </c>
      <c r="D1935" t="s">
        <v>1624</v>
      </c>
      <c r="E1935">
        <v>586525497</v>
      </c>
      <c r="F1935">
        <v>408530735</v>
      </c>
      <c r="G1935">
        <v>220675034</v>
      </c>
      <c r="H1935">
        <v>261706595</v>
      </c>
      <c r="I1935">
        <v>181125748</v>
      </c>
      <c r="J1935">
        <v>66048169</v>
      </c>
      <c r="K1935">
        <v>78749914</v>
      </c>
      <c r="P1935">
        <v>396</v>
      </c>
      <c r="Q1935" t="s">
        <v>4191</v>
      </c>
    </row>
    <row r="1936" spans="1:17" x14ac:dyDescent="0.3">
      <c r="A1936" t="s">
        <v>75</v>
      </c>
      <c r="B1936" t="str">
        <f>"002414"</f>
        <v>002414</v>
      </c>
      <c r="C1936" t="s">
        <v>4192</v>
      </c>
      <c r="D1936" t="s">
        <v>1572</v>
      </c>
      <c r="E1936">
        <v>586105791</v>
      </c>
      <c r="F1936">
        <v>968208294</v>
      </c>
      <c r="G1936">
        <v>601007772</v>
      </c>
      <c r="H1936">
        <v>515333417</v>
      </c>
      <c r="I1936">
        <v>193788454</v>
      </c>
      <c r="J1936">
        <v>83809471</v>
      </c>
      <c r="K1936">
        <v>93472312</v>
      </c>
      <c r="L1936">
        <v>52821618</v>
      </c>
      <c r="M1936">
        <v>41717509</v>
      </c>
      <c r="N1936">
        <v>33415273</v>
      </c>
      <c r="O1936">
        <v>37314750</v>
      </c>
      <c r="P1936">
        <v>789</v>
      </c>
      <c r="Q1936" t="s">
        <v>4193</v>
      </c>
    </row>
    <row r="1937" spans="1:17" x14ac:dyDescent="0.3">
      <c r="A1937" t="s">
        <v>75</v>
      </c>
      <c r="B1937" t="str">
        <f>"300439"</f>
        <v>300439</v>
      </c>
      <c r="C1937" t="s">
        <v>4194</v>
      </c>
      <c r="D1937" t="s">
        <v>967</v>
      </c>
      <c r="E1937">
        <v>586101834</v>
      </c>
      <c r="F1937">
        <v>462401557</v>
      </c>
      <c r="G1937">
        <v>625887378</v>
      </c>
      <c r="H1937">
        <v>730089605</v>
      </c>
      <c r="I1937">
        <v>426475796</v>
      </c>
      <c r="J1937">
        <v>272205625</v>
      </c>
      <c r="K1937">
        <v>226106195</v>
      </c>
      <c r="L1937">
        <v>144389327</v>
      </c>
      <c r="M1937">
        <v>108214300</v>
      </c>
      <c r="P1937">
        <v>209</v>
      </c>
      <c r="Q1937" t="s">
        <v>4195</v>
      </c>
    </row>
    <row r="1938" spans="1:17" x14ac:dyDescent="0.3">
      <c r="A1938" t="s">
        <v>75</v>
      </c>
      <c r="B1938" t="str">
        <f>"002397"</f>
        <v>002397</v>
      </c>
      <c r="C1938" t="s">
        <v>4196</v>
      </c>
      <c r="D1938" t="s">
        <v>2219</v>
      </c>
      <c r="E1938">
        <v>585957606</v>
      </c>
      <c r="F1938">
        <v>600052125</v>
      </c>
      <c r="G1938">
        <v>554657451</v>
      </c>
      <c r="H1938">
        <v>683620609</v>
      </c>
      <c r="I1938">
        <v>600239482</v>
      </c>
      <c r="J1938">
        <v>458357233</v>
      </c>
      <c r="K1938">
        <v>336254195</v>
      </c>
      <c r="L1938">
        <v>310771036</v>
      </c>
      <c r="M1938">
        <v>360031403</v>
      </c>
      <c r="N1938">
        <v>346760378</v>
      </c>
      <c r="O1938">
        <v>301123796</v>
      </c>
      <c r="P1938">
        <v>109</v>
      </c>
      <c r="Q1938" t="s">
        <v>4197</v>
      </c>
    </row>
    <row r="1939" spans="1:17" x14ac:dyDescent="0.3">
      <c r="A1939" t="s">
        <v>17</v>
      </c>
      <c r="B1939" t="str">
        <f>"605168"</f>
        <v>605168</v>
      </c>
      <c r="C1939" t="s">
        <v>4198</v>
      </c>
      <c r="D1939" t="s">
        <v>622</v>
      </c>
      <c r="E1939">
        <v>584759952</v>
      </c>
      <c r="F1939">
        <v>503221100</v>
      </c>
      <c r="G1939">
        <v>211349929</v>
      </c>
      <c r="H1939">
        <v>181037708</v>
      </c>
      <c r="P1939">
        <v>317</v>
      </c>
      <c r="Q1939" t="s">
        <v>4199</v>
      </c>
    </row>
    <row r="1940" spans="1:17" x14ac:dyDescent="0.3">
      <c r="A1940" t="s">
        <v>75</v>
      </c>
      <c r="B1940" t="str">
        <f>"002363"</f>
        <v>002363</v>
      </c>
      <c r="C1940" t="s">
        <v>4200</v>
      </c>
      <c r="D1940" t="s">
        <v>172</v>
      </c>
      <c r="E1940">
        <v>584755471</v>
      </c>
      <c r="F1940">
        <v>380995649</v>
      </c>
      <c r="G1940">
        <v>328889298</v>
      </c>
      <c r="H1940">
        <v>501175415</v>
      </c>
      <c r="I1940">
        <v>403013591</v>
      </c>
      <c r="J1940">
        <v>478499672</v>
      </c>
      <c r="K1940">
        <v>345490106</v>
      </c>
      <c r="L1940">
        <v>334180326</v>
      </c>
      <c r="M1940">
        <v>305892337</v>
      </c>
      <c r="N1940">
        <v>253018105</v>
      </c>
      <c r="O1940">
        <v>261666357</v>
      </c>
      <c r="P1940">
        <v>126</v>
      </c>
      <c r="Q1940" t="s">
        <v>4201</v>
      </c>
    </row>
    <row r="1941" spans="1:17" x14ac:dyDescent="0.3">
      <c r="A1941" t="s">
        <v>75</v>
      </c>
      <c r="B1941" t="str">
        <f>"300746"</f>
        <v>300746</v>
      </c>
      <c r="C1941" t="s">
        <v>4202</v>
      </c>
      <c r="D1941" t="s">
        <v>2118</v>
      </c>
      <c r="E1941">
        <v>584679579</v>
      </c>
      <c r="F1941">
        <v>562695429</v>
      </c>
      <c r="G1941">
        <v>400062735</v>
      </c>
      <c r="H1941">
        <v>255390693</v>
      </c>
      <c r="I1941">
        <v>255792702</v>
      </c>
      <c r="J1941">
        <v>114090054</v>
      </c>
      <c r="P1941">
        <v>66</v>
      </c>
      <c r="Q1941" t="s">
        <v>4203</v>
      </c>
    </row>
    <row r="1942" spans="1:17" x14ac:dyDescent="0.3">
      <c r="A1942" t="s">
        <v>17</v>
      </c>
      <c r="B1942" t="str">
        <f>"600759"</f>
        <v>600759</v>
      </c>
      <c r="C1942" t="s">
        <v>4204</v>
      </c>
      <c r="D1942" t="s">
        <v>2175</v>
      </c>
      <c r="E1942">
        <v>583934255</v>
      </c>
      <c r="F1942">
        <v>361851173</v>
      </c>
      <c r="G1942">
        <v>602866651</v>
      </c>
      <c r="H1942">
        <v>625598909</v>
      </c>
      <c r="I1942">
        <v>827189727</v>
      </c>
      <c r="J1942">
        <v>695395594</v>
      </c>
      <c r="K1942">
        <v>239698125</v>
      </c>
      <c r="L1942">
        <v>285877626</v>
      </c>
      <c r="M1942">
        <v>53653390</v>
      </c>
      <c r="N1942">
        <v>260172799</v>
      </c>
      <c r="O1942">
        <v>184773955</v>
      </c>
      <c r="P1942">
        <v>125</v>
      </c>
      <c r="Q1942" t="s">
        <v>4205</v>
      </c>
    </row>
    <row r="1943" spans="1:17" x14ac:dyDescent="0.3">
      <c r="A1943" t="s">
        <v>17</v>
      </c>
      <c r="B1943" t="str">
        <f>"600763"</f>
        <v>600763</v>
      </c>
      <c r="C1943" t="s">
        <v>4206</v>
      </c>
      <c r="D1943" t="s">
        <v>1129</v>
      </c>
      <c r="E1943">
        <v>583150306</v>
      </c>
      <c r="F1943">
        <v>582949983</v>
      </c>
      <c r="G1943">
        <v>192583562</v>
      </c>
      <c r="H1943">
        <v>375348683</v>
      </c>
      <c r="I1943">
        <v>288759389</v>
      </c>
      <c r="J1943">
        <v>226422877</v>
      </c>
      <c r="K1943">
        <v>174322813</v>
      </c>
      <c r="L1943">
        <v>145036204</v>
      </c>
      <c r="M1943">
        <v>119630877</v>
      </c>
      <c r="N1943">
        <v>94408280</v>
      </c>
      <c r="O1943">
        <v>79595259</v>
      </c>
      <c r="P1943">
        <v>38183</v>
      </c>
      <c r="Q1943" t="s">
        <v>4207</v>
      </c>
    </row>
    <row r="1944" spans="1:17" x14ac:dyDescent="0.3">
      <c r="A1944" t="s">
        <v>17</v>
      </c>
      <c r="B1944" t="str">
        <f>"600550"</f>
        <v>600550</v>
      </c>
      <c r="C1944" t="s">
        <v>4208</v>
      </c>
      <c r="D1944" t="s">
        <v>347</v>
      </c>
      <c r="E1944">
        <v>583043500</v>
      </c>
      <c r="F1944">
        <v>767520269</v>
      </c>
      <c r="G1944">
        <v>405844836</v>
      </c>
      <c r="H1944">
        <v>641954562</v>
      </c>
      <c r="I1944">
        <v>834347917</v>
      </c>
      <c r="J1944">
        <v>1033839251</v>
      </c>
      <c r="K1944">
        <v>499042085</v>
      </c>
      <c r="L1944">
        <v>486583091</v>
      </c>
      <c r="M1944">
        <v>917156130</v>
      </c>
      <c r="N1944">
        <v>1169413058</v>
      </c>
      <c r="O1944">
        <v>801677922</v>
      </c>
      <c r="P1944">
        <v>183</v>
      </c>
      <c r="Q1944" t="s">
        <v>4209</v>
      </c>
    </row>
    <row r="1945" spans="1:17" x14ac:dyDescent="0.3">
      <c r="A1945" t="s">
        <v>17</v>
      </c>
      <c r="B1945" t="str">
        <f>"603017"</f>
        <v>603017</v>
      </c>
      <c r="C1945" t="s">
        <v>4210</v>
      </c>
      <c r="D1945" t="s">
        <v>2118</v>
      </c>
      <c r="E1945">
        <v>582024986</v>
      </c>
      <c r="F1945">
        <v>496031905</v>
      </c>
      <c r="G1945">
        <v>357619799</v>
      </c>
      <c r="H1945">
        <v>532136791</v>
      </c>
      <c r="I1945">
        <v>355836394</v>
      </c>
      <c r="J1945">
        <v>258653115</v>
      </c>
      <c r="K1945">
        <v>173829484</v>
      </c>
      <c r="L1945">
        <v>83754843</v>
      </c>
      <c r="M1945">
        <v>83131808</v>
      </c>
      <c r="P1945">
        <v>121</v>
      </c>
      <c r="Q1945" t="s">
        <v>4211</v>
      </c>
    </row>
    <row r="1946" spans="1:17" x14ac:dyDescent="0.3">
      <c r="A1946" t="s">
        <v>75</v>
      </c>
      <c r="B1946" t="str">
        <f>"002490"</f>
        <v>002490</v>
      </c>
      <c r="C1946" t="s">
        <v>4212</v>
      </c>
      <c r="D1946" t="s">
        <v>786</v>
      </c>
      <c r="E1946">
        <v>581933290</v>
      </c>
      <c r="F1946">
        <v>612714180</v>
      </c>
      <c r="G1946">
        <v>622939984</v>
      </c>
      <c r="H1946">
        <v>1196319835</v>
      </c>
      <c r="I1946">
        <v>768498370</v>
      </c>
      <c r="J1946">
        <v>487390343</v>
      </c>
      <c r="K1946">
        <v>403179744</v>
      </c>
      <c r="L1946">
        <v>566693766</v>
      </c>
      <c r="M1946">
        <v>571924441</v>
      </c>
      <c r="N1946">
        <v>759586076</v>
      </c>
      <c r="O1946">
        <v>751982673</v>
      </c>
      <c r="P1946">
        <v>82</v>
      </c>
      <c r="Q1946" t="s">
        <v>4213</v>
      </c>
    </row>
    <row r="1947" spans="1:17" x14ac:dyDescent="0.3">
      <c r="A1947" t="s">
        <v>75</v>
      </c>
      <c r="B1947" t="str">
        <f>"300870"</f>
        <v>300870</v>
      </c>
      <c r="C1947" t="s">
        <v>4214</v>
      </c>
      <c r="D1947" t="s">
        <v>2692</v>
      </c>
      <c r="E1947">
        <v>581595619</v>
      </c>
      <c r="F1947">
        <v>520900036</v>
      </c>
      <c r="G1947">
        <v>337707013</v>
      </c>
      <c r="P1947">
        <v>131</v>
      </c>
      <c r="Q1947" t="s">
        <v>4215</v>
      </c>
    </row>
    <row r="1948" spans="1:17" x14ac:dyDescent="0.3">
      <c r="A1948" t="s">
        <v>75</v>
      </c>
      <c r="B1948" t="str">
        <f>"000839"</f>
        <v>000839</v>
      </c>
      <c r="C1948" t="s">
        <v>4216</v>
      </c>
      <c r="D1948" t="s">
        <v>1284</v>
      </c>
      <c r="E1948">
        <v>581430462</v>
      </c>
      <c r="F1948">
        <v>560528594</v>
      </c>
      <c r="G1948">
        <v>679010037</v>
      </c>
      <c r="H1948">
        <v>701685065</v>
      </c>
      <c r="I1948">
        <v>797088871</v>
      </c>
      <c r="J1948">
        <v>719895246</v>
      </c>
      <c r="K1948">
        <v>660464927</v>
      </c>
      <c r="L1948">
        <v>418529440</v>
      </c>
      <c r="M1948">
        <v>492622952</v>
      </c>
      <c r="N1948">
        <v>390122739</v>
      </c>
      <c r="O1948">
        <v>193764949</v>
      </c>
      <c r="P1948">
        <v>219</v>
      </c>
      <c r="Q1948" t="s">
        <v>4217</v>
      </c>
    </row>
    <row r="1949" spans="1:17" x14ac:dyDescent="0.3">
      <c r="A1949" t="s">
        <v>75</v>
      </c>
      <c r="B1949" t="str">
        <f>"002379"</f>
        <v>002379</v>
      </c>
      <c r="C1949" t="s">
        <v>4218</v>
      </c>
      <c r="D1949" t="s">
        <v>96</v>
      </c>
      <c r="E1949">
        <v>581216509</v>
      </c>
      <c r="F1949">
        <v>642697588</v>
      </c>
      <c r="G1949">
        <v>384320964</v>
      </c>
      <c r="H1949">
        <v>335687913</v>
      </c>
      <c r="I1949">
        <v>340869119</v>
      </c>
      <c r="J1949">
        <v>340629084</v>
      </c>
      <c r="K1949">
        <v>220971974</v>
      </c>
      <c r="L1949">
        <v>486623526</v>
      </c>
      <c r="M1949">
        <v>628614254</v>
      </c>
      <c r="N1949">
        <v>524148004</v>
      </c>
      <c r="O1949">
        <v>520656426</v>
      </c>
      <c r="P1949">
        <v>88</v>
      </c>
      <c r="Q1949" t="s">
        <v>4219</v>
      </c>
    </row>
    <row r="1950" spans="1:17" x14ac:dyDescent="0.3">
      <c r="A1950" t="s">
        <v>17</v>
      </c>
      <c r="B1950" t="str">
        <f>"600338"</f>
        <v>600338</v>
      </c>
      <c r="C1950" t="s">
        <v>4220</v>
      </c>
      <c r="D1950" t="s">
        <v>375</v>
      </c>
      <c r="E1950">
        <v>581175737</v>
      </c>
      <c r="F1950">
        <v>521408679</v>
      </c>
      <c r="G1950">
        <v>471558804</v>
      </c>
      <c r="H1950">
        <v>419406961</v>
      </c>
      <c r="I1950">
        <v>541151766</v>
      </c>
      <c r="J1950">
        <v>645069412</v>
      </c>
      <c r="K1950">
        <v>264790516</v>
      </c>
      <c r="L1950">
        <v>391582081</v>
      </c>
      <c r="M1950">
        <v>352348930</v>
      </c>
      <c r="N1950">
        <v>356619286</v>
      </c>
      <c r="O1950">
        <v>189130444</v>
      </c>
      <c r="P1950">
        <v>4533</v>
      </c>
      <c r="Q1950" t="s">
        <v>4221</v>
      </c>
    </row>
    <row r="1951" spans="1:17" x14ac:dyDescent="0.3">
      <c r="A1951" t="s">
        <v>75</v>
      </c>
      <c r="B1951" t="str">
        <f>"002288"</f>
        <v>002288</v>
      </c>
      <c r="C1951" t="s">
        <v>4222</v>
      </c>
      <c r="D1951" t="s">
        <v>567</v>
      </c>
      <c r="E1951">
        <v>581026535</v>
      </c>
      <c r="F1951">
        <v>564721114</v>
      </c>
      <c r="G1951">
        <v>325408887</v>
      </c>
      <c r="H1951">
        <v>276344476</v>
      </c>
      <c r="I1951">
        <v>276932499</v>
      </c>
      <c r="J1951">
        <v>276957820</v>
      </c>
      <c r="K1951">
        <v>210417262</v>
      </c>
      <c r="L1951">
        <v>231898314</v>
      </c>
      <c r="M1951">
        <v>216865369</v>
      </c>
      <c r="N1951">
        <v>133168680</v>
      </c>
      <c r="O1951">
        <v>86962183</v>
      </c>
      <c r="P1951">
        <v>176</v>
      </c>
      <c r="Q1951" t="s">
        <v>4223</v>
      </c>
    </row>
    <row r="1952" spans="1:17" x14ac:dyDescent="0.3">
      <c r="A1952" t="s">
        <v>17</v>
      </c>
      <c r="B1952" t="str">
        <f>"600776"</f>
        <v>600776</v>
      </c>
      <c r="C1952" t="s">
        <v>4224</v>
      </c>
      <c r="D1952" t="s">
        <v>4225</v>
      </c>
      <c r="E1952">
        <v>581008443</v>
      </c>
      <c r="F1952">
        <v>643693254</v>
      </c>
      <c r="G1952">
        <v>437760472</v>
      </c>
      <c r="H1952">
        <v>559300974</v>
      </c>
      <c r="I1952">
        <v>487937718</v>
      </c>
      <c r="J1952">
        <v>434345145</v>
      </c>
      <c r="K1952">
        <v>571661775</v>
      </c>
      <c r="L1952">
        <v>432836715</v>
      </c>
      <c r="M1952">
        <v>459952365</v>
      </c>
      <c r="N1952">
        <v>421793790</v>
      </c>
      <c r="O1952">
        <v>413749593</v>
      </c>
      <c r="P1952">
        <v>284</v>
      </c>
      <c r="Q1952" t="s">
        <v>4226</v>
      </c>
    </row>
    <row r="1953" spans="1:17" x14ac:dyDescent="0.3">
      <c r="A1953" t="s">
        <v>17</v>
      </c>
      <c r="B1953" t="str">
        <f>"600756"</f>
        <v>600756</v>
      </c>
      <c r="C1953" t="s">
        <v>4227</v>
      </c>
      <c r="D1953" t="s">
        <v>224</v>
      </c>
      <c r="E1953">
        <v>580891552</v>
      </c>
      <c r="F1953">
        <v>299025571</v>
      </c>
      <c r="G1953">
        <v>193645361</v>
      </c>
      <c r="H1953">
        <v>200439210</v>
      </c>
      <c r="I1953">
        <v>226445332</v>
      </c>
      <c r="J1953">
        <v>365690570</v>
      </c>
      <c r="K1953">
        <v>181229128</v>
      </c>
      <c r="L1953">
        <v>166739543</v>
      </c>
      <c r="M1953">
        <v>163458358</v>
      </c>
      <c r="N1953">
        <v>199436676</v>
      </c>
      <c r="O1953">
        <v>110233122</v>
      </c>
      <c r="P1953">
        <v>265</v>
      </c>
      <c r="Q1953" t="s">
        <v>4228</v>
      </c>
    </row>
    <row r="1954" spans="1:17" x14ac:dyDescent="0.3">
      <c r="A1954" t="s">
        <v>75</v>
      </c>
      <c r="B1954" t="str">
        <f>"002957"</f>
        <v>002957</v>
      </c>
      <c r="C1954" t="s">
        <v>4229</v>
      </c>
      <c r="D1954" t="s">
        <v>1352</v>
      </c>
      <c r="E1954">
        <v>580527723</v>
      </c>
      <c r="F1954">
        <v>450229153</v>
      </c>
      <c r="G1954">
        <v>564878988</v>
      </c>
      <c r="H1954">
        <v>0</v>
      </c>
      <c r="I1954">
        <v>0</v>
      </c>
      <c r="P1954">
        <v>182</v>
      </c>
      <c r="Q1954" t="s">
        <v>4230</v>
      </c>
    </row>
    <row r="1955" spans="1:17" x14ac:dyDescent="0.3">
      <c r="A1955" t="s">
        <v>75</v>
      </c>
      <c r="B1955" t="str">
        <f>"002628"</f>
        <v>002628</v>
      </c>
      <c r="C1955" t="s">
        <v>4231</v>
      </c>
      <c r="D1955" t="s">
        <v>27</v>
      </c>
      <c r="E1955">
        <v>580195614</v>
      </c>
      <c r="F1955">
        <v>565893310</v>
      </c>
      <c r="G1955">
        <v>529324470</v>
      </c>
      <c r="H1955">
        <v>752903498</v>
      </c>
      <c r="I1955">
        <v>942445825</v>
      </c>
      <c r="J1955">
        <v>760744874</v>
      </c>
      <c r="K1955">
        <v>903368783</v>
      </c>
      <c r="L1955">
        <v>371395672</v>
      </c>
      <c r="M1955">
        <v>414578489</v>
      </c>
      <c r="N1955">
        <v>914836724</v>
      </c>
      <c r="O1955">
        <v>389132259</v>
      </c>
      <c r="P1955">
        <v>91</v>
      </c>
      <c r="Q1955" t="s">
        <v>4232</v>
      </c>
    </row>
    <row r="1956" spans="1:17" x14ac:dyDescent="0.3">
      <c r="A1956" t="s">
        <v>17</v>
      </c>
      <c r="B1956" t="str">
        <f>"603558"</f>
        <v>603558</v>
      </c>
      <c r="C1956" t="s">
        <v>4233</v>
      </c>
      <c r="D1956" t="s">
        <v>1050</v>
      </c>
      <c r="E1956">
        <v>579213277</v>
      </c>
      <c r="F1956">
        <v>461036385</v>
      </c>
      <c r="G1956">
        <v>475794344</v>
      </c>
      <c r="H1956">
        <v>410987189</v>
      </c>
      <c r="I1956">
        <v>457043532</v>
      </c>
      <c r="J1956">
        <v>215507878</v>
      </c>
      <c r="K1956">
        <v>165374681</v>
      </c>
      <c r="L1956">
        <v>170835476</v>
      </c>
      <c r="M1956">
        <v>150136864</v>
      </c>
      <c r="P1956">
        <v>136</v>
      </c>
      <c r="Q1956" t="s">
        <v>4234</v>
      </c>
    </row>
    <row r="1957" spans="1:17" x14ac:dyDescent="0.3">
      <c r="A1957" t="s">
        <v>17</v>
      </c>
      <c r="B1957" t="str">
        <f>"605099"</f>
        <v>605099</v>
      </c>
      <c r="C1957" t="s">
        <v>4235</v>
      </c>
      <c r="D1957" t="s">
        <v>1192</v>
      </c>
      <c r="E1957">
        <v>578753461</v>
      </c>
      <c r="F1957">
        <v>463415805</v>
      </c>
      <c r="G1957">
        <v>343177188</v>
      </c>
      <c r="P1957">
        <v>166</v>
      </c>
      <c r="Q1957" t="s">
        <v>4236</v>
      </c>
    </row>
    <row r="1958" spans="1:17" x14ac:dyDescent="0.3">
      <c r="A1958" t="s">
        <v>75</v>
      </c>
      <c r="B1958" t="str">
        <f>"000822"</f>
        <v>000822</v>
      </c>
      <c r="C1958" t="s">
        <v>4237</v>
      </c>
      <c r="D1958" t="s">
        <v>1821</v>
      </c>
      <c r="E1958">
        <v>578612287</v>
      </c>
      <c r="F1958">
        <v>551272506</v>
      </c>
      <c r="G1958">
        <v>388441229</v>
      </c>
      <c r="H1958">
        <v>755678863</v>
      </c>
      <c r="I1958">
        <v>699076662</v>
      </c>
      <c r="J1958">
        <v>557822722</v>
      </c>
      <c r="K1958">
        <v>320852710</v>
      </c>
      <c r="L1958">
        <v>408230898</v>
      </c>
      <c r="M1958">
        <v>1354874708</v>
      </c>
      <c r="N1958">
        <v>1148157878</v>
      </c>
      <c r="O1958">
        <v>1523284952</v>
      </c>
      <c r="P1958">
        <v>211</v>
      </c>
      <c r="Q1958" t="s">
        <v>4238</v>
      </c>
    </row>
    <row r="1959" spans="1:17" x14ac:dyDescent="0.3">
      <c r="A1959" t="s">
        <v>17</v>
      </c>
      <c r="B1959" t="str">
        <f>"603867"</f>
        <v>603867</v>
      </c>
      <c r="C1959" t="s">
        <v>4239</v>
      </c>
      <c r="D1959" t="s">
        <v>292</v>
      </c>
      <c r="E1959">
        <v>577810345</v>
      </c>
      <c r="F1959">
        <v>511187345</v>
      </c>
      <c r="G1959">
        <v>266442678</v>
      </c>
      <c r="H1959">
        <v>422185359</v>
      </c>
      <c r="I1959">
        <v>0</v>
      </c>
      <c r="P1959">
        <v>88</v>
      </c>
      <c r="Q1959" t="s">
        <v>4240</v>
      </c>
    </row>
    <row r="1960" spans="1:17" x14ac:dyDescent="0.3">
      <c r="A1960" t="s">
        <v>17</v>
      </c>
      <c r="B1960" t="str">
        <f>"603855"</f>
        <v>603855</v>
      </c>
      <c r="C1960" t="s">
        <v>4241</v>
      </c>
      <c r="D1960" t="s">
        <v>1624</v>
      </c>
      <c r="E1960">
        <v>577259125</v>
      </c>
      <c r="F1960">
        <v>574017361</v>
      </c>
      <c r="G1960">
        <v>406794714</v>
      </c>
      <c r="H1960">
        <v>326507429</v>
      </c>
      <c r="I1960">
        <v>390294119</v>
      </c>
      <c r="J1960">
        <v>345909059</v>
      </c>
      <c r="K1960">
        <v>296867414</v>
      </c>
      <c r="P1960">
        <v>220</v>
      </c>
      <c r="Q1960" t="s">
        <v>4242</v>
      </c>
    </row>
    <row r="1961" spans="1:17" x14ac:dyDescent="0.3">
      <c r="A1961" t="s">
        <v>17</v>
      </c>
      <c r="B1961" t="str">
        <f>"601086"</f>
        <v>601086</v>
      </c>
      <c r="C1961" t="s">
        <v>4243</v>
      </c>
      <c r="D1961" t="s">
        <v>582</v>
      </c>
      <c r="E1961">
        <v>577208323</v>
      </c>
      <c r="F1961">
        <v>912736696</v>
      </c>
      <c r="G1961">
        <v>579331092</v>
      </c>
      <c r="H1961">
        <v>942364451</v>
      </c>
      <c r="I1961">
        <v>800343100</v>
      </c>
      <c r="J1961">
        <v>912739995</v>
      </c>
      <c r="P1961">
        <v>79</v>
      </c>
      <c r="Q1961" t="s">
        <v>4244</v>
      </c>
    </row>
    <row r="1962" spans="1:17" x14ac:dyDescent="0.3">
      <c r="A1962" t="s">
        <v>17</v>
      </c>
      <c r="B1962" t="str">
        <f>"603893"</f>
        <v>603893</v>
      </c>
      <c r="C1962" t="s">
        <v>4245</v>
      </c>
      <c r="D1962" t="s">
        <v>883</v>
      </c>
      <c r="E1962">
        <v>576819477</v>
      </c>
      <c r="F1962">
        <v>547119820</v>
      </c>
      <c r="G1962">
        <v>295900675</v>
      </c>
      <c r="H1962">
        <v>226341981</v>
      </c>
      <c r="P1962">
        <v>444</v>
      </c>
      <c r="Q1962" t="s">
        <v>4246</v>
      </c>
    </row>
    <row r="1963" spans="1:17" x14ac:dyDescent="0.3">
      <c r="A1963" t="s">
        <v>17</v>
      </c>
      <c r="B1963" t="str">
        <f>"603577"</f>
        <v>603577</v>
      </c>
      <c r="C1963" t="s">
        <v>4247</v>
      </c>
      <c r="D1963" t="s">
        <v>562</v>
      </c>
      <c r="E1963">
        <v>576743871</v>
      </c>
      <c r="F1963">
        <v>368968466</v>
      </c>
      <c r="G1963">
        <v>357495619</v>
      </c>
      <c r="H1963">
        <v>283424177</v>
      </c>
      <c r="I1963">
        <v>217965696</v>
      </c>
      <c r="J1963">
        <v>202067195</v>
      </c>
      <c r="K1963">
        <v>145162189</v>
      </c>
      <c r="P1963">
        <v>90</v>
      </c>
      <c r="Q1963" t="s">
        <v>4248</v>
      </c>
    </row>
    <row r="1964" spans="1:17" x14ac:dyDescent="0.3">
      <c r="A1964" t="s">
        <v>75</v>
      </c>
      <c r="B1964" t="str">
        <f>"300196"</f>
        <v>300196</v>
      </c>
      <c r="C1964" t="s">
        <v>4249</v>
      </c>
      <c r="D1964" t="s">
        <v>980</v>
      </c>
      <c r="E1964">
        <v>576444640</v>
      </c>
      <c r="F1964">
        <v>461150903</v>
      </c>
      <c r="G1964">
        <v>363104062</v>
      </c>
      <c r="H1964">
        <v>356681698</v>
      </c>
      <c r="I1964">
        <v>305406242</v>
      </c>
      <c r="J1964">
        <v>343876467</v>
      </c>
      <c r="K1964">
        <v>423789608</v>
      </c>
      <c r="L1964">
        <v>255446497</v>
      </c>
      <c r="M1964">
        <v>192053049</v>
      </c>
      <c r="N1964">
        <v>186880286</v>
      </c>
      <c r="O1964">
        <v>121202265</v>
      </c>
      <c r="P1964">
        <v>232</v>
      </c>
      <c r="Q1964" t="s">
        <v>4250</v>
      </c>
    </row>
    <row r="1965" spans="1:17" x14ac:dyDescent="0.3">
      <c r="A1965" t="s">
        <v>75</v>
      </c>
      <c r="B1965" t="str">
        <f>"301032"</f>
        <v>301032</v>
      </c>
      <c r="C1965" t="s">
        <v>4251</v>
      </c>
      <c r="D1965" t="s">
        <v>1424</v>
      </c>
      <c r="E1965">
        <v>575924055</v>
      </c>
      <c r="F1965">
        <v>422953087</v>
      </c>
      <c r="G1965">
        <v>246198209</v>
      </c>
      <c r="P1965">
        <v>19</v>
      </c>
      <c r="Q1965" t="s">
        <v>4252</v>
      </c>
    </row>
    <row r="1966" spans="1:17" x14ac:dyDescent="0.3">
      <c r="A1966" t="s">
        <v>75</v>
      </c>
      <c r="B1966" t="str">
        <f>"300185"</f>
        <v>300185</v>
      </c>
      <c r="C1966" t="s">
        <v>4253</v>
      </c>
      <c r="D1966" t="s">
        <v>1398</v>
      </c>
      <c r="E1966">
        <v>575381743</v>
      </c>
      <c r="F1966">
        <v>708834262</v>
      </c>
      <c r="G1966">
        <v>744082907</v>
      </c>
      <c r="H1966">
        <v>488254430</v>
      </c>
      <c r="I1966">
        <v>415814530</v>
      </c>
      <c r="J1966">
        <v>423556997</v>
      </c>
      <c r="K1966">
        <v>340170300</v>
      </c>
      <c r="L1966">
        <v>328364479</v>
      </c>
      <c r="M1966">
        <v>259111718</v>
      </c>
      <c r="N1966">
        <v>192052031</v>
      </c>
      <c r="O1966">
        <v>154344213</v>
      </c>
      <c r="P1966">
        <v>201</v>
      </c>
      <c r="Q1966" t="s">
        <v>4254</v>
      </c>
    </row>
    <row r="1967" spans="1:17" x14ac:dyDescent="0.3">
      <c r="A1967" t="s">
        <v>17</v>
      </c>
      <c r="B1967" t="str">
        <f>"600333"</f>
        <v>600333</v>
      </c>
      <c r="C1967" t="s">
        <v>4255</v>
      </c>
      <c r="D1967" t="s">
        <v>147</v>
      </c>
      <c r="E1967">
        <v>575335879</v>
      </c>
      <c r="F1967">
        <v>519088503</v>
      </c>
      <c r="G1967">
        <v>413833556</v>
      </c>
      <c r="H1967">
        <v>467665923</v>
      </c>
      <c r="I1967">
        <v>446266247</v>
      </c>
      <c r="J1967">
        <v>382676053</v>
      </c>
      <c r="K1967">
        <v>360486176</v>
      </c>
      <c r="L1967">
        <v>448767691</v>
      </c>
      <c r="M1967">
        <v>440936643</v>
      </c>
      <c r="N1967">
        <v>486689413</v>
      </c>
      <c r="O1967">
        <v>444604140</v>
      </c>
      <c r="P1967">
        <v>103</v>
      </c>
      <c r="Q1967" t="s">
        <v>4256</v>
      </c>
    </row>
    <row r="1968" spans="1:17" x14ac:dyDescent="0.3">
      <c r="A1968" t="s">
        <v>17</v>
      </c>
      <c r="B1968" t="str">
        <f>"603116"</f>
        <v>603116</v>
      </c>
      <c r="C1968" t="s">
        <v>4257</v>
      </c>
      <c r="D1968" t="s">
        <v>2921</v>
      </c>
      <c r="E1968">
        <v>575323710</v>
      </c>
      <c r="F1968">
        <v>559984360</v>
      </c>
      <c r="G1968">
        <v>486141781</v>
      </c>
      <c r="H1968">
        <v>848423948</v>
      </c>
      <c r="I1968">
        <v>895425849</v>
      </c>
      <c r="J1968">
        <v>853719501</v>
      </c>
      <c r="K1968">
        <v>791361731</v>
      </c>
      <c r="L1968">
        <v>848071961</v>
      </c>
      <c r="M1968">
        <v>845766976</v>
      </c>
      <c r="P1968">
        <v>102</v>
      </c>
      <c r="Q1968" t="s">
        <v>4258</v>
      </c>
    </row>
    <row r="1969" spans="1:17" x14ac:dyDescent="0.3">
      <c r="A1969" t="s">
        <v>75</v>
      </c>
      <c r="B1969" t="str">
        <f>"000973"</f>
        <v>000973</v>
      </c>
      <c r="C1969" t="s">
        <v>4259</v>
      </c>
      <c r="D1969" t="s">
        <v>2029</v>
      </c>
      <c r="E1969">
        <v>575224978</v>
      </c>
      <c r="F1969">
        <v>518457997</v>
      </c>
      <c r="G1969">
        <v>516316260</v>
      </c>
      <c r="H1969">
        <v>683019306</v>
      </c>
      <c r="I1969">
        <v>836754953</v>
      </c>
      <c r="J1969">
        <v>642530074</v>
      </c>
      <c r="K1969">
        <v>536746280</v>
      </c>
      <c r="L1969">
        <v>595021791</v>
      </c>
      <c r="M1969">
        <v>628198968</v>
      </c>
      <c r="N1969">
        <v>738867489</v>
      </c>
      <c r="O1969">
        <v>947908149</v>
      </c>
      <c r="P1969">
        <v>123</v>
      </c>
      <c r="Q1969" t="s">
        <v>4260</v>
      </c>
    </row>
    <row r="1970" spans="1:17" x14ac:dyDescent="0.3">
      <c r="A1970" t="s">
        <v>75</v>
      </c>
      <c r="B1970" t="str">
        <f>"002279"</f>
        <v>002279</v>
      </c>
      <c r="C1970" t="s">
        <v>4261</v>
      </c>
      <c r="D1970" t="s">
        <v>989</v>
      </c>
      <c r="E1970">
        <v>574261308</v>
      </c>
      <c r="F1970">
        <v>428700583</v>
      </c>
      <c r="G1970">
        <v>713530843</v>
      </c>
      <c r="H1970">
        <v>577441243</v>
      </c>
      <c r="I1970">
        <v>486672937</v>
      </c>
      <c r="J1970">
        <v>237970164</v>
      </c>
      <c r="K1970">
        <v>174597162</v>
      </c>
      <c r="L1970">
        <v>40995493</v>
      </c>
      <c r="M1970">
        <v>30054347</v>
      </c>
      <c r="N1970">
        <v>32062865</v>
      </c>
      <c r="O1970">
        <v>24465423</v>
      </c>
      <c r="P1970">
        <v>323</v>
      </c>
      <c r="Q1970" t="s">
        <v>4262</v>
      </c>
    </row>
    <row r="1971" spans="1:17" x14ac:dyDescent="0.3">
      <c r="A1971" t="s">
        <v>75</v>
      </c>
      <c r="B1971" t="str">
        <f>"300285"</f>
        <v>300285</v>
      </c>
      <c r="C1971" t="s">
        <v>4263</v>
      </c>
      <c r="D1971" t="s">
        <v>292</v>
      </c>
      <c r="E1971">
        <v>573805188</v>
      </c>
      <c r="F1971">
        <v>460738102</v>
      </c>
      <c r="G1971">
        <v>350873144</v>
      </c>
      <c r="H1971">
        <v>378608476</v>
      </c>
      <c r="I1971">
        <v>228776161</v>
      </c>
      <c r="J1971">
        <v>179926956</v>
      </c>
      <c r="K1971">
        <v>87384069</v>
      </c>
      <c r="L1971">
        <v>69087894</v>
      </c>
      <c r="M1971">
        <v>27953610</v>
      </c>
      <c r="N1971">
        <v>50389001</v>
      </c>
      <c r="O1971">
        <v>32598746</v>
      </c>
      <c r="P1971">
        <v>1537</v>
      </c>
      <c r="Q1971" t="s">
        <v>4264</v>
      </c>
    </row>
    <row r="1972" spans="1:17" x14ac:dyDescent="0.3">
      <c r="A1972" t="s">
        <v>75</v>
      </c>
      <c r="B1972" t="str">
        <f>"002192"</f>
        <v>002192</v>
      </c>
      <c r="C1972" t="s">
        <v>4265</v>
      </c>
      <c r="D1972" t="s">
        <v>1464</v>
      </c>
      <c r="E1972">
        <v>573768354</v>
      </c>
      <c r="F1972">
        <v>156614852</v>
      </c>
      <c r="G1972">
        <v>27345235</v>
      </c>
      <c r="H1972">
        <v>18261674</v>
      </c>
      <c r="I1972">
        <v>44525733</v>
      </c>
      <c r="J1972">
        <v>28477852</v>
      </c>
      <c r="K1972">
        <v>37691696</v>
      </c>
      <c r="L1972">
        <v>30582512</v>
      </c>
      <c r="M1972">
        <v>171466241</v>
      </c>
      <c r="N1972">
        <v>230592680</v>
      </c>
      <c r="O1972">
        <v>377296890</v>
      </c>
      <c r="P1972">
        <v>230</v>
      </c>
      <c r="Q1972" t="s">
        <v>4266</v>
      </c>
    </row>
    <row r="1973" spans="1:17" x14ac:dyDescent="0.3">
      <c r="A1973" t="s">
        <v>75</v>
      </c>
      <c r="B1973" t="str">
        <f>"300212"</f>
        <v>300212</v>
      </c>
      <c r="C1973" t="s">
        <v>4267</v>
      </c>
      <c r="D1973" t="s">
        <v>224</v>
      </c>
      <c r="E1973">
        <v>573724001</v>
      </c>
      <c r="F1973">
        <v>594838064</v>
      </c>
      <c r="G1973">
        <v>533137301</v>
      </c>
      <c r="H1973">
        <v>521524077</v>
      </c>
      <c r="I1973">
        <v>430308662</v>
      </c>
      <c r="J1973">
        <v>253130108</v>
      </c>
      <c r="K1973">
        <v>276103275</v>
      </c>
      <c r="L1973">
        <v>167672111</v>
      </c>
      <c r="M1973">
        <v>80666924</v>
      </c>
      <c r="N1973">
        <v>128579227</v>
      </c>
      <c r="O1973">
        <v>51615198</v>
      </c>
      <c r="P1973">
        <v>389</v>
      </c>
      <c r="Q1973" t="s">
        <v>4268</v>
      </c>
    </row>
    <row r="1974" spans="1:17" x14ac:dyDescent="0.3">
      <c r="A1974" t="s">
        <v>17</v>
      </c>
      <c r="B1974" t="str">
        <f>"603277"</f>
        <v>603277</v>
      </c>
      <c r="C1974" t="s">
        <v>4269</v>
      </c>
      <c r="D1974" t="s">
        <v>2626</v>
      </c>
      <c r="E1974">
        <v>572729103</v>
      </c>
      <c r="F1974">
        <v>428730952</v>
      </c>
      <c r="G1974">
        <v>286247694</v>
      </c>
      <c r="H1974">
        <v>313371177</v>
      </c>
      <c r="I1974">
        <v>241382021</v>
      </c>
      <c r="J1974">
        <v>249255857</v>
      </c>
      <c r="P1974">
        <v>136</v>
      </c>
      <c r="Q1974" t="s">
        <v>4270</v>
      </c>
    </row>
    <row r="1975" spans="1:17" x14ac:dyDescent="0.3">
      <c r="A1975" t="s">
        <v>75</v>
      </c>
      <c r="B1975" t="str">
        <f>"300613"</f>
        <v>300613</v>
      </c>
      <c r="C1975" t="s">
        <v>4271</v>
      </c>
      <c r="D1975" t="s">
        <v>883</v>
      </c>
      <c r="E1975">
        <v>571928073</v>
      </c>
      <c r="F1975">
        <v>202550706</v>
      </c>
      <c r="G1975">
        <v>205775046</v>
      </c>
      <c r="H1975">
        <v>128462442</v>
      </c>
      <c r="I1975">
        <v>128851490</v>
      </c>
      <c r="J1975">
        <v>82486362</v>
      </c>
      <c r="K1975">
        <v>73495634</v>
      </c>
      <c r="P1975">
        <v>355</v>
      </c>
      <c r="Q1975" t="s">
        <v>4272</v>
      </c>
    </row>
    <row r="1976" spans="1:17" x14ac:dyDescent="0.3">
      <c r="A1976" t="s">
        <v>75</v>
      </c>
      <c r="B1976" t="str">
        <f>"002520"</f>
        <v>002520</v>
      </c>
      <c r="C1976" t="s">
        <v>4273</v>
      </c>
      <c r="D1976" t="s">
        <v>3360</v>
      </c>
      <c r="E1976">
        <v>571666359</v>
      </c>
      <c r="F1976">
        <v>499968333</v>
      </c>
      <c r="G1976">
        <v>439485307</v>
      </c>
      <c r="H1976">
        <v>444651097</v>
      </c>
      <c r="I1976">
        <v>232492019</v>
      </c>
      <c r="J1976">
        <v>156580158</v>
      </c>
      <c r="K1976">
        <v>181590022</v>
      </c>
      <c r="L1976">
        <v>142914354</v>
      </c>
      <c r="M1976">
        <v>46392294</v>
      </c>
      <c r="N1976">
        <v>38968536</v>
      </c>
      <c r="O1976">
        <v>75225783</v>
      </c>
      <c r="P1976">
        <v>99</v>
      </c>
      <c r="Q1976" t="s">
        <v>4274</v>
      </c>
    </row>
    <row r="1977" spans="1:17" x14ac:dyDescent="0.3">
      <c r="A1977" t="s">
        <v>75</v>
      </c>
      <c r="B1977" t="str">
        <f>"300366"</f>
        <v>300366</v>
      </c>
      <c r="C1977" t="s">
        <v>4275</v>
      </c>
      <c r="D1977" t="s">
        <v>116</v>
      </c>
      <c r="E1977">
        <v>571218450</v>
      </c>
      <c r="F1977">
        <v>494790409</v>
      </c>
      <c r="G1977">
        <v>320295629</v>
      </c>
      <c r="H1977">
        <v>226383386</v>
      </c>
      <c r="I1977">
        <v>209629815</v>
      </c>
      <c r="J1977">
        <v>223846398</v>
      </c>
      <c r="K1977">
        <v>123265082</v>
      </c>
      <c r="L1977">
        <v>67777514</v>
      </c>
      <c r="M1977">
        <v>31207899</v>
      </c>
      <c r="N1977">
        <v>58239429</v>
      </c>
      <c r="P1977">
        <v>222</v>
      </c>
      <c r="Q1977" t="s">
        <v>4276</v>
      </c>
    </row>
    <row r="1978" spans="1:17" x14ac:dyDescent="0.3">
      <c r="A1978" t="s">
        <v>17</v>
      </c>
      <c r="B1978" t="str">
        <f>"603639"</f>
        <v>603639</v>
      </c>
      <c r="C1978" t="s">
        <v>4277</v>
      </c>
      <c r="D1978" t="s">
        <v>811</v>
      </c>
      <c r="E1978">
        <v>570527787</v>
      </c>
      <c r="F1978">
        <v>640353321</v>
      </c>
      <c r="G1978">
        <v>405388245</v>
      </c>
      <c r="H1978">
        <v>448857853</v>
      </c>
      <c r="I1978">
        <v>325895175</v>
      </c>
      <c r="J1978">
        <v>217872211</v>
      </c>
      <c r="K1978">
        <v>125609448</v>
      </c>
      <c r="P1978">
        <v>1565</v>
      </c>
      <c r="Q1978" t="s">
        <v>4278</v>
      </c>
    </row>
    <row r="1979" spans="1:17" x14ac:dyDescent="0.3">
      <c r="A1979" t="s">
        <v>75</v>
      </c>
      <c r="B1979" t="str">
        <f>"300340"</f>
        <v>300340</v>
      </c>
      <c r="C1979" t="s">
        <v>4279</v>
      </c>
      <c r="D1979" t="s">
        <v>834</v>
      </c>
      <c r="E1979">
        <v>570237036</v>
      </c>
      <c r="F1979">
        <v>450304322</v>
      </c>
      <c r="G1979">
        <v>184912314</v>
      </c>
      <c r="H1979">
        <v>352317112</v>
      </c>
      <c r="I1979">
        <v>315065142</v>
      </c>
      <c r="J1979">
        <v>272774904</v>
      </c>
      <c r="K1979">
        <v>43514950</v>
      </c>
      <c r="L1979">
        <v>50916911</v>
      </c>
      <c r="M1979">
        <v>54635203</v>
      </c>
      <c r="N1979">
        <v>83669866</v>
      </c>
      <c r="O1979">
        <v>117046790</v>
      </c>
      <c r="P1979">
        <v>96</v>
      </c>
      <c r="Q1979" t="s">
        <v>4280</v>
      </c>
    </row>
    <row r="1980" spans="1:17" x14ac:dyDescent="0.3">
      <c r="A1980" t="s">
        <v>17</v>
      </c>
      <c r="B1980" t="str">
        <f>"688139"</f>
        <v>688139</v>
      </c>
      <c r="C1980" t="s">
        <v>4281</v>
      </c>
      <c r="D1980" t="s">
        <v>334</v>
      </c>
      <c r="E1980">
        <v>570087834</v>
      </c>
      <c r="F1980">
        <v>688958277</v>
      </c>
      <c r="G1980">
        <v>311384888</v>
      </c>
      <c r="H1980">
        <v>223086050</v>
      </c>
      <c r="P1980">
        <v>349</v>
      </c>
      <c r="Q1980" t="s">
        <v>4282</v>
      </c>
    </row>
    <row r="1981" spans="1:17" x14ac:dyDescent="0.3">
      <c r="A1981" t="s">
        <v>75</v>
      </c>
      <c r="B1981" t="str">
        <f>"300298"</f>
        <v>300298</v>
      </c>
      <c r="C1981" t="s">
        <v>4283</v>
      </c>
      <c r="D1981" t="s">
        <v>334</v>
      </c>
      <c r="E1981">
        <v>568058995</v>
      </c>
      <c r="F1981">
        <v>486156047</v>
      </c>
      <c r="G1981">
        <v>441647217</v>
      </c>
      <c r="H1981">
        <v>377144498</v>
      </c>
      <c r="I1981">
        <v>263961424</v>
      </c>
      <c r="J1981">
        <v>218911858</v>
      </c>
      <c r="K1981">
        <v>179047978</v>
      </c>
      <c r="L1981">
        <v>125235798</v>
      </c>
      <c r="M1981">
        <v>90074322</v>
      </c>
      <c r="N1981">
        <v>77546970</v>
      </c>
      <c r="O1981">
        <v>65349855</v>
      </c>
      <c r="P1981">
        <v>619</v>
      </c>
      <c r="Q1981" t="s">
        <v>4284</v>
      </c>
    </row>
    <row r="1982" spans="1:17" x14ac:dyDescent="0.3">
      <c r="A1982" t="s">
        <v>17</v>
      </c>
      <c r="B1982" t="str">
        <f>"688133"</f>
        <v>688133</v>
      </c>
      <c r="C1982" t="s">
        <v>4285</v>
      </c>
      <c r="D1982" t="s">
        <v>292</v>
      </c>
      <c r="E1982">
        <v>567780756</v>
      </c>
      <c r="F1982">
        <v>406318184</v>
      </c>
      <c r="G1982">
        <v>168235909</v>
      </c>
      <c r="H1982">
        <v>0</v>
      </c>
      <c r="P1982">
        <v>118</v>
      </c>
      <c r="Q1982" t="s">
        <v>4286</v>
      </c>
    </row>
    <row r="1983" spans="1:17" x14ac:dyDescent="0.3">
      <c r="A1983" t="s">
        <v>75</v>
      </c>
      <c r="B1983" t="str">
        <f>"300255"</f>
        <v>300255</v>
      </c>
      <c r="C1983" t="s">
        <v>4287</v>
      </c>
      <c r="D1983" t="s">
        <v>543</v>
      </c>
      <c r="E1983">
        <v>567261183</v>
      </c>
      <c r="F1983">
        <v>765419717</v>
      </c>
      <c r="G1983">
        <v>434520472</v>
      </c>
      <c r="H1983">
        <v>475822322</v>
      </c>
      <c r="I1983">
        <v>440786044</v>
      </c>
      <c r="J1983">
        <v>261509518</v>
      </c>
      <c r="K1983">
        <v>312304298</v>
      </c>
      <c r="L1983">
        <v>228447480</v>
      </c>
      <c r="M1983">
        <v>199399916</v>
      </c>
      <c r="N1983">
        <v>136611869</v>
      </c>
      <c r="O1983">
        <v>109399121</v>
      </c>
      <c r="P1983">
        <v>175</v>
      </c>
      <c r="Q1983" t="s">
        <v>4288</v>
      </c>
    </row>
    <row r="1984" spans="1:17" x14ac:dyDescent="0.3">
      <c r="A1984" t="s">
        <v>17</v>
      </c>
      <c r="B1984" t="str">
        <f>"600419"</f>
        <v>600419</v>
      </c>
      <c r="C1984" t="s">
        <v>4289</v>
      </c>
      <c r="D1984" t="s">
        <v>215</v>
      </c>
      <c r="E1984">
        <v>567089586</v>
      </c>
      <c r="F1984">
        <v>476256103</v>
      </c>
      <c r="G1984">
        <v>362478481</v>
      </c>
      <c r="H1984">
        <v>367625313</v>
      </c>
      <c r="I1984">
        <v>329985902</v>
      </c>
      <c r="J1984">
        <v>267152670</v>
      </c>
      <c r="K1984">
        <v>208750590</v>
      </c>
      <c r="L1984">
        <v>89955996</v>
      </c>
      <c r="M1984">
        <v>87794437</v>
      </c>
      <c r="N1984">
        <v>8200050</v>
      </c>
      <c r="O1984">
        <v>36763022</v>
      </c>
      <c r="P1984">
        <v>626</v>
      </c>
      <c r="Q1984" t="s">
        <v>4290</v>
      </c>
    </row>
    <row r="1985" spans="1:17" x14ac:dyDescent="0.3">
      <c r="A1985" t="s">
        <v>75</v>
      </c>
      <c r="B1985" t="str">
        <f>"002578"</f>
        <v>002578</v>
      </c>
      <c r="C1985" t="s">
        <v>4291</v>
      </c>
      <c r="D1985" t="s">
        <v>96</v>
      </c>
      <c r="E1985">
        <v>566625016</v>
      </c>
      <c r="F1985">
        <v>363634168</v>
      </c>
      <c r="G1985">
        <v>286207886</v>
      </c>
      <c r="H1985">
        <v>345462613</v>
      </c>
      <c r="I1985">
        <v>252957601</v>
      </c>
      <c r="J1985">
        <v>236856234</v>
      </c>
      <c r="K1985">
        <v>220740229</v>
      </c>
      <c r="L1985">
        <v>283388558</v>
      </c>
      <c r="M1985">
        <v>230660440</v>
      </c>
      <c r="N1985">
        <v>334993914</v>
      </c>
      <c r="O1985">
        <v>210711796</v>
      </c>
      <c r="P1985">
        <v>91</v>
      </c>
      <c r="Q1985" t="s">
        <v>4292</v>
      </c>
    </row>
    <row r="1986" spans="1:17" x14ac:dyDescent="0.3">
      <c r="A1986" t="s">
        <v>75</v>
      </c>
      <c r="B1986" t="str">
        <f>"002866"</f>
        <v>002866</v>
      </c>
      <c r="C1986" t="s">
        <v>4293</v>
      </c>
      <c r="D1986" t="s">
        <v>55</v>
      </c>
      <c r="E1986">
        <v>566028786</v>
      </c>
      <c r="F1986">
        <v>516192695</v>
      </c>
      <c r="G1986">
        <v>403260786</v>
      </c>
      <c r="H1986">
        <v>435244432</v>
      </c>
      <c r="I1986">
        <v>225820764</v>
      </c>
      <c r="J1986">
        <v>206660478</v>
      </c>
      <c r="K1986">
        <v>150516996</v>
      </c>
      <c r="P1986">
        <v>161</v>
      </c>
      <c r="Q1986" t="s">
        <v>4294</v>
      </c>
    </row>
    <row r="1987" spans="1:17" x14ac:dyDescent="0.3">
      <c r="A1987" t="s">
        <v>75</v>
      </c>
      <c r="B1987" t="str">
        <f>"000008"</f>
        <v>000008</v>
      </c>
      <c r="C1987" t="s">
        <v>4295</v>
      </c>
      <c r="D1987" t="s">
        <v>156</v>
      </c>
      <c r="E1987">
        <v>564978721</v>
      </c>
      <c r="F1987">
        <v>489538892</v>
      </c>
      <c r="G1987">
        <v>408673033</v>
      </c>
      <c r="H1987">
        <v>593996247</v>
      </c>
      <c r="I1987">
        <v>385937268</v>
      </c>
      <c r="J1987">
        <v>383797241</v>
      </c>
      <c r="K1987">
        <v>287085004</v>
      </c>
      <c r="L1987">
        <v>221115566</v>
      </c>
      <c r="M1987">
        <v>73440086</v>
      </c>
      <c r="N1987">
        <v>76063691</v>
      </c>
      <c r="O1987">
        <v>3423914</v>
      </c>
      <c r="P1987">
        <v>301</v>
      </c>
      <c r="Q1987" t="s">
        <v>4296</v>
      </c>
    </row>
    <row r="1988" spans="1:17" x14ac:dyDescent="0.3">
      <c r="A1988" t="s">
        <v>75</v>
      </c>
      <c r="B1988" t="str">
        <f>"300464"</f>
        <v>300464</v>
      </c>
      <c r="C1988" t="s">
        <v>4297</v>
      </c>
      <c r="D1988" t="s">
        <v>1236</v>
      </c>
      <c r="E1988">
        <v>564033964</v>
      </c>
      <c r="F1988">
        <v>1286111016</v>
      </c>
      <c r="G1988">
        <v>724701107</v>
      </c>
      <c r="H1988">
        <v>715093132</v>
      </c>
      <c r="I1988">
        <v>115561073</v>
      </c>
      <c r="J1988">
        <v>99008079</v>
      </c>
      <c r="K1988">
        <v>108944370</v>
      </c>
      <c r="L1988">
        <v>83839431</v>
      </c>
      <c r="M1988">
        <v>78562546</v>
      </c>
      <c r="P1988">
        <v>121</v>
      </c>
      <c r="Q1988" t="s">
        <v>4298</v>
      </c>
    </row>
    <row r="1989" spans="1:17" x14ac:dyDescent="0.3">
      <c r="A1989" t="s">
        <v>17</v>
      </c>
      <c r="B1989" t="str">
        <f>"688609"</f>
        <v>688609</v>
      </c>
      <c r="C1989" t="s">
        <v>4299</v>
      </c>
      <c r="D1989" t="s">
        <v>1413</v>
      </c>
      <c r="E1989">
        <v>562742064</v>
      </c>
      <c r="F1989">
        <v>472542928</v>
      </c>
      <c r="G1989">
        <v>368949236</v>
      </c>
      <c r="P1989">
        <v>31</v>
      </c>
      <c r="Q1989" t="s">
        <v>4300</v>
      </c>
    </row>
    <row r="1990" spans="1:17" x14ac:dyDescent="0.3">
      <c r="A1990" t="s">
        <v>75</v>
      </c>
      <c r="B1990" t="str">
        <f>"300260"</f>
        <v>300260</v>
      </c>
      <c r="C1990" t="s">
        <v>4301</v>
      </c>
      <c r="D1990" t="s">
        <v>153</v>
      </c>
      <c r="E1990">
        <v>562262386</v>
      </c>
      <c r="F1990">
        <v>393777107</v>
      </c>
      <c r="G1990">
        <v>277899503</v>
      </c>
      <c r="H1990">
        <v>357673066</v>
      </c>
      <c r="I1990">
        <v>137145853</v>
      </c>
      <c r="J1990">
        <v>124663930</v>
      </c>
      <c r="K1990">
        <v>84870356</v>
      </c>
      <c r="L1990">
        <v>99326473</v>
      </c>
      <c r="M1990">
        <v>91640148</v>
      </c>
      <c r="N1990">
        <v>71110385</v>
      </c>
      <c r="O1990">
        <v>54258028</v>
      </c>
      <c r="P1990">
        <v>211</v>
      </c>
      <c r="Q1990" t="s">
        <v>4302</v>
      </c>
    </row>
    <row r="1991" spans="1:17" x14ac:dyDescent="0.3">
      <c r="A1991" t="s">
        <v>75</v>
      </c>
      <c r="B1991" t="str">
        <f>"002298"</f>
        <v>002298</v>
      </c>
      <c r="C1991" t="s">
        <v>4303</v>
      </c>
      <c r="D1991" t="s">
        <v>116</v>
      </c>
      <c r="E1991">
        <v>560559285</v>
      </c>
      <c r="F1991">
        <v>511025529</v>
      </c>
      <c r="G1991">
        <v>459712970</v>
      </c>
      <c r="H1991">
        <v>464086631</v>
      </c>
      <c r="I1991">
        <v>453108927</v>
      </c>
      <c r="J1991">
        <v>393532271</v>
      </c>
      <c r="K1991">
        <v>344511936</v>
      </c>
      <c r="L1991">
        <v>210649803</v>
      </c>
      <c r="M1991">
        <v>219503713</v>
      </c>
      <c r="N1991">
        <v>220869670</v>
      </c>
      <c r="O1991">
        <v>222843193</v>
      </c>
      <c r="P1991">
        <v>182</v>
      </c>
      <c r="Q1991" t="s">
        <v>4304</v>
      </c>
    </row>
    <row r="1992" spans="1:17" x14ac:dyDescent="0.3">
      <c r="A1992" t="s">
        <v>17</v>
      </c>
      <c r="B1992" t="str">
        <f>"603690"</f>
        <v>603690</v>
      </c>
      <c r="C1992" t="s">
        <v>4305</v>
      </c>
      <c r="D1992" t="s">
        <v>1859</v>
      </c>
      <c r="E1992">
        <v>560455674</v>
      </c>
      <c r="F1992">
        <v>392410767</v>
      </c>
      <c r="G1992">
        <v>184368495</v>
      </c>
      <c r="H1992">
        <v>229406143</v>
      </c>
      <c r="I1992">
        <v>121775792</v>
      </c>
      <c r="J1992">
        <v>45185195</v>
      </c>
      <c r="K1992">
        <v>37792041</v>
      </c>
      <c r="P1992">
        <v>450</v>
      </c>
      <c r="Q1992" t="s">
        <v>4306</v>
      </c>
    </row>
    <row r="1993" spans="1:17" x14ac:dyDescent="0.3">
      <c r="A1993" t="s">
        <v>17</v>
      </c>
      <c r="B1993" t="str">
        <f>"688158"</f>
        <v>688158</v>
      </c>
      <c r="C1993" t="s">
        <v>4307</v>
      </c>
      <c r="D1993" t="s">
        <v>224</v>
      </c>
      <c r="E1993">
        <v>559783308</v>
      </c>
      <c r="F1993">
        <v>735276322</v>
      </c>
      <c r="G1993">
        <v>417506153</v>
      </c>
      <c r="H1993">
        <v>301646884</v>
      </c>
      <c r="P1993">
        <v>104</v>
      </c>
      <c r="Q1993" t="s">
        <v>4308</v>
      </c>
    </row>
    <row r="1994" spans="1:17" x14ac:dyDescent="0.3">
      <c r="A1994" t="s">
        <v>75</v>
      </c>
      <c r="B1994" t="str">
        <f>"300339"</f>
        <v>300339</v>
      </c>
      <c r="C1994" t="s">
        <v>4309</v>
      </c>
      <c r="D1994" t="s">
        <v>224</v>
      </c>
      <c r="E1994">
        <v>559414267</v>
      </c>
      <c r="F1994">
        <v>446288528</v>
      </c>
      <c r="G1994">
        <v>328931181</v>
      </c>
      <c r="H1994">
        <v>269229853</v>
      </c>
      <c r="I1994">
        <v>385035500</v>
      </c>
      <c r="J1994">
        <v>172930363</v>
      </c>
      <c r="K1994">
        <v>203669912</v>
      </c>
      <c r="L1994">
        <v>204575162</v>
      </c>
      <c r="M1994">
        <v>90049664</v>
      </c>
      <c r="N1994">
        <v>93076032</v>
      </c>
      <c r="O1994">
        <v>60049985</v>
      </c>
      <c r="P1994">
        <v>332</v>
      </c>
      <c r="Q1994" t="s">
        <v>4310</v>
      </c>
    </row>
    <row r="1995" spans="1:17" x14ac:dyDescent="0.3">
      <c r="A1995" t="s">
        <v>75</v>
      </c>
      <c r="B1995" t="str">
        <f>"300769"</f>
        <v>300769</v>
      </c>
      <c r="C1995" t="s">
        <v>4311</v>
      </c>
      <c r="D1995" t="s">
        <v>834</v>
      </c>
      <c r="E1995">
        <v>558381586</v>
      </c>
      <c r="F1995">
        <v>25788087</v>
      </c>
      <c r="G1995">
        <v>186530184</v>
      </c>
      <c r="H1995">
        <v>225504122</v>
      </c>
      <c r="I1995">
        <v>159075364</v>
      </c>
      <c r="P1995">
        <v>325</v>
      </c>
      <c r="Q1995" t="s">
        <v>4312</v>
      </c>
    </row>
    <row r="1996" spans="1:17" x14ac:dyDescent="0.3">
      <c r="A1996" t="s">
        <v>75</v>
      </c>
      <c r="B1996" t="str">
        <f>"200512"</f>
        <v>200512</v>
      </c>
      <c r="C1996" t="s">
        <v>4313</v>
      </c>
      <c r="E1996">
        <v>558217859.63600004</v>
      </c>
      <c r="F1996">
        <v>680995656.23899996</v>
      </c>
      <c r="G1996">
        <v>412222118.18220001</v>
      </c>
      <c r="H1996">
        <v>549818504.63189995</v>
      </c>
      <c r="I1996">
        <v>527353403.26849997</v>
      </c>
      <c r="J1996">
        <v>554282475.80480003</v>
      </c>
      <c r="K1996">
        <v>536962354.91480005</v>
      </c>
      <c r="L1996">
        <v>570273662.5</v>
      </c>
      <c r="M1996">
        <v>589307513.37399995</v>
      </c>
      <c r="N1996">
        <v>627332586.97379994</v>
      </c>
      <c r="O1996">
        <v>793772779.75199997</v>
      </c>
      <c r="P1996">
        <v>34</v>
      </c>
      <c r="Q1996" t="s">
        <v>4314</v>
      </c>
    </row>
    <row r="1997" spans="1:17" x14ac:dyDescent="0.3">
      <c r="A1997" t="s">
        <v>75</v>
      </c>
      <c r="B1997" t="str">
        <f>"300310"</f>
        <v>300310</v>
      </c>
      <c r="C1997" t="s">
        <v>4315</v>
      </c>
      <c r="D1997" t="s">
        <v>1647</v>
      </c>
      <c r="E1997">
        <v>558190341</v>
      </c>
      <c r="F1997">
        <v>599496202</v>
      </c>
      <c r="G1997">
        <v>456035176</v>
      </c>
      <c r="H1997">
        <v>658414398</v>
      </c>
      <c r="I1997">
        <v>566050445</v>
      </c>
      <c r="J1997">
        <v>415234279</v>
      </c>
      <c r="K1997">
        <v>318370972</v>
      </c>
      <c r="L1997">
        <v>282795648</v>
      </c>
      <c r="M1997">
        <v>206080990</v>
      </c>
      <c r="N1997">
        <v>113098463</v>
      </c>
      <c r="O1997">
        <v>97861715</v>
      </c>
      <c r="P1997">
        <v>257</v>
      </c>
      <c r="Q1997" t="s">
        <v>4316</v>
      </c>
    </row>
    <row r="1998" spans="1:17" x14ac:dyDescent="0.3">
      <c r="A1998" t="s">
        <v>75</v>
      </c>
      <c r="B1998" t="str">
        <f>"300320"</f>
        <v>300320</v>
      </c>
      <c r="C1998" t="s">
        <v>4317</v>
      </c>
      <c r="D1998" t="s">
        <v>3349</v>
      </c>
      <c r="E1998">
        <v>557710633</v>
      </c>
      <c r="F1998">
        <v>619453275</v>
      </c>
      <c r="G1998">
        <v>448997363</v>
      </c>
      <c r="H1998">
        <v>494606443</v>
      </c>
      <c r="I1998">
        <v>394750748</v>
      </c>
      <c r="J1998">
        <v>203735052</v>
      </c>
      <c r="K1998">
        <v>184773520</v>
      </c>
      <c r="L1998">
        <v>269745108</v>
      </c>
      <c r="M1998">
        <v>168857297</v>
      </c>
      <c r="N1998">
        <v>174011364</v>
      </c>
      <c r="O1998">
        <v>114385937</v>
      </c>
      <c r="P1998">
        <v>151</v>
      </c>
      <c r="Q1998" t="s">
        <v>4318</v>
      </c>
    </row>
    <row r="1999" spans="1:17" x14ac:dyDescent="0.3">
      <c r="A1999" t="s">
        <v>17</v>
      </c>
      <c r="B1999" t="str">
        <f>"688029"</f>
        <v>688029</v>
      </c>
      <c r="C1999" t="s">
        <v>4319</v>
      </c>
      <c r="D1999" t="s">
        <v>1538</v>
      </c>
      <c r="E1999">
        <v>557562689</v>
      </c>
      <c r="F1999">
        <v>386793736</v>
      </c>
      <c r="G1999">
        <v>277892990</v>
      </c>
      <c r="H1999">
        <v>309010064</v>
      </c>
      <c r="I1999">
        <v>0</v>
      </c>
      <c r="P1999">
        <v>392</v>
      </c>
      <c r="Q1999" t="s">
        <v>4320</v>
      </c>
    </row>
    <row r="2000" spans="1:17" x14ac:dyDescent="0.3">
      <c r="A2000" t="s">
        <v>17</v>
      </c>
      <c r="B2000" t="str">
        <f>"688456"</f>
        <v>688456</v>
      </c>
      <c r="C2000" t="s">
        <v>4321</v>
      </c>
      <c r="D2000" t="s">
        <v>45</v>
      </c>
      <c r="E2000">
        <v>557382228</v>
      </c>
      <c r="F2000">
        <v>434479586</v>
      </c>
      <c r="G2000">
        <v>264699180</v>
      </c>
      <c r="P2000">
        <v>28</v>
      </c>
      <c r="Q2000" t="s">
        <v>4322</v>
      </c>
    </row>
    <row r="2001" spans="1:17" x14ac:dyDescent="0.3">
      <c r="A2001" t="s">
        <v>17</v>
      </c>
      <c r="B2001" t="str">
        <f>"603886"</f>
        <v>603886</v>
      </c>
      <c r="C2001" t="s">
        <v>4323</v>
      </c>
      <c r="D2001" t="s">
        <v>2178</v>
      </c>
      <c r="E2001">
        <v>556527612</v>
      </c>
      <c r="F2001">
        <v>498748114</v>
      </c>
      <c r="G2001">
        <v>402665262</v>
      </c>
      <c r="H2001">
        <v>413833140</v>
      </c>
      <c r="I2001">
        <v>309380294</v>
      </c>
      <c r="J2001">
        <v>508084008</v>
      </c>
      <c r="K2001">
        <v>461740509</v>
      </c>
      <c r="P2001">
        <v>3081</v>
      </c>
      <c r="Q2001" t="s">
        <v>4324</v>
      </c>
    </row>
    <row r="2002" spans="1:17" x14ac:dyDescent="0.3">
      <c r="A2002" t="s">
        <v>75</v>
      </c>
      <c r="B2002" t="str">
        <f>"300723"</f>
        <v>300723</v>
      </c>
      <c r="C2002" t="s">
        <v>4325</v>
      </c>
      <c r="D2002" t="s">
        <v>543</v>
      </c>
      <c r="E2002">
        <v>556178184</v>
      </c>
      <c r="F2002">
        <v>542250562</v>
      </c>
      <c r="G2002">
        <v>373470030</v>
      </c>
      <c r="H2002">
        <v>426442806</v>
      </c>
      <c r="I2002">
        <v>341557359</v>
      </c>
      <c r="J2002">
        <v>285354644</v>
      </c>
      <c r="P2002">
        <v>222</v>
      </c>
      <c r="Q2002" t="s">
        <v>4326</v>
      </c>
    </row>
    <row r="2003" spans="1:17" x14ac:dyDescent="0.3">
      <c r="A2003" t="s">
        <v>75</v>
      </c>
      <c r="B2003" t="str">
        <f>"002351"</f>
        <v>002351</v>
      </c>
      <c r="C2003" t="s">
        <v>4327</v>
      </c>
      <c r="D2003" t="s">
        <v>505</v>
      </c>
      <c r="E2003">
        <v>554955015</v>
      </c>
      <c r="F2003">
        <v>598641114</v>
      </c>
      <c r="G2003">
        <v>365362221</v>
      </c>
      <c r="H2003">
        <v>256560647</v>
      </c>
      <c r="I2003">
        <v>240276505</v>
      </c>
      <c r="J2003">
        <v>290643495</v>
      </c>
      <c r="K2003">
        <v>172403743</v>
      </c>
      <c r="L2003">
        <v>187795299</v>
      </c>
      <c r="M2003">
        <v>205826469</v>
      </c>
      <c r="N2003">
        <v>237391708</v>
      </c>
      <c r="O2003">
        <v>213577534</v>
      </c>
      <c r="P2003">
        <v>339</v>
      </c>
      <c r="Q2003" t="s">
        <v>4328</v>
      </c>
    </row>
    <row r="2004" spans="1:17" x14ac:dyDescent="0.3">
      <c r="A2004" t="s">
        <v>17</v>
      </c>
      <c r="B2004" t="str">
        <f>"603027"</f>
        <v>603027</v>
      </c>
      <c r="C2004" t="s">
        <v>4329</v>
      </c>
      <c r="D2004" t="s">
        <v>774</v>
      </c>
      <c r="E2004">
        <v>554255023</v>
      </c>
      <c r="F2004">
        <v>525653455</v>
      </c>
      <c r="G2004">
        <v>402004754</v>
      </c>
      <c r="H2004">
        <v>320075100</v>
      </c>
      <c r="I2004">
        <v>287554271</v>
      </c>
      <c r="J2004">
        <v>286108139</v>
      </c>
      <c r="K2004">
        <v>198085437</v>
      </c>
      <c r="L2004">
        <v>184153195</v>
      </c>
      <c r="P2004">
        <v>1883</v>
      </c>
      <c r="Q2004" t="s">
        <v>4330</v>
      </c>
    </row>
    <row r="2005" spans="1:17" x14ac:dyDescent="0.3">
      <c r="A2005" t="s">
        <v>75</v>
      </c>
      <c r="B2005" t="str">
        <f>"002034"</f>
        <v>002034</v>
      </c>
      <c r="C2005" t="s">
        <v>4331</v>
      </c>
      <c r="D2005" t="s">
        <v>1187</v>
      </c>
      <c r="E2005">
        <v>554244203</v>
      </c>
      <c r="F2005">
        <v>447255124</v>
      </c>
      <c r="G2005">
        <v>280615030</v>
      </c>
      <c r="H2005">
        <v>256179164</v>
      </c>
      <c r="I2005">
        <v>219561428</v>
      </c>
      <c r="J2005">
        <v>154101362</v>
      </c>
      <c r="K2005">
        <v>164016814</v>
      </c>
      <c r="L2005">
        <v>123146298</v>
      </c>
      <c r="M2005">
        <v>175363813</v>
      </c>
      <c r="N2005">
        <v>256853397</v>
      </c>
      <c r="O2005">
        <v>188805053</v>
      </c>
      <c r="P2005">
        <v>244</v>
      </c>
      <c r="Q2005" t="s">
        <v>4332</v>
      </c>
    </row>
    <row r="2006" spans="1:17" x14ac:dyDescent="0.3">
      <c r="A2006" t="s">
        <v>75</v>
      </c>
      <c r="B2006" t="str">
        <f>"300511"</f>
        <v>300511</v>
      </c>
      <c r="C2006" t="s">
        <v>4333</v>
      </c>
      <c r="D2006" t="s">
        <v>4334</v>
      </c>
      <c r="E2006">
        <v>553091754</v>
      </c>
      <c r="F2006">
        <v>559229568</v>
      </c>
      <c r="G2006">
        <v>582476920</v>
      </c>
      <c r="H2006">
        <v>540486868</v>
      </c>
      <c r="I2006">
        <v>530898671</v>
      </c>
      <c r="J2006">
        <v>261102818</v>
      </c>
      <c r="K2006">
        <v>246838569</v>
      </c>
      <c r="L2006">
        <v>231730529</v>
      </c>
      <c r="P2006">
        <v>301</v>
      </c>
      <c r="Q2006" t="s">
        <v>4335</v>
      </c>
    </row>
    <row r="2007" spans="1:17" x14ac:dyDescent="0.3">
      <c r="A2007" t="s">
        <v>75</v>
      </c>
      <c r="B2007" t="str">
        <f>"300331"</f>
        <v>300331</v>
      </c>
      <c r="C2007" t="s">
        <v>4336</v>
      </c>
      <c r="D2007" t="s">
        <v>128</v>
      </c>
      <c r="E2007">
        <v>552298639</v>
      </c>
      <c r="F2007">
        <v>400104586</v>
      </c>
      <c r="G2007">
        <v>251407720</v>
      </c>
      <c r="H2007">
        <v>330162297</v>
      </c>
      <c r="I2007">
        <v>241390905</v>
      </c>
      <c r="J2007">
        <v>219587830</v>
      </c>
      <c r="K2007">
        <v>124617010</v>
      </c>
      <c r="L2007">
        <v>94386253</v>
      </c>
      <c r="M2007">
        <v>63400461</v>
      </c>
      <c r="N2007">
        <v>67951701</v>
      </c>
      <c r="O2007">
        <v>46278116</v>
      </c>
      <c r="P2007">
        <v>164</v>
      </c>
      <c r="Q2007" t="s">
        <v>4337</v>
      </c>
    </row>
    <row r="2008" spans="1:17" x14ac:dyDescent="0.3">
      <c r="A2008" t="s">
        <v>17</v>
      </c>
      <c r="B2008" t="str">
        <f>"600360"</f>
        <v>600360</v>
      </c>
      <c r="C2008" t="s">
        <v>4338</v>
      </c>
      <c r="D2008" t="s">
        <v>2728</v>
      </c>
      <c r="E2008">
        <v>552052593</v>
      </c>
      <c r="F2008">
        <v>341286986</v>
      </c>
      <c r="G2008">
        <v>327129971</v>
      </c>
      <c r="H2008">
        <v>396813341</v>
      </c>
      <c r="I2008">
        <v>399122051</v>
      </c>
      <c r="J2008">
        <v>387424255</v>
      </c>
      <c r="K2008">
        <v>366429705</v>
      </c>
      <c r="L2008">
        <v>338317052</v>
      </c>
      <c r="M2008">
        <v>355926522</v>
      </c>
      <c r="N2008">
        <v>289185345</v>
      </c>
      <c r="O2008">
        <v>301079408</v>
      </c>
      <c r="P2008">
        <v>318</v>
      </c>
      <c r="Q2008" t="s">
        <v>4339</v>
      </c>
    </row>
    <row r="2009" spans="1:17" x14ac:dyDescent="0.3">
      <c r="A2009" t="s">
        <v>17</v>
      </c>
      <c r="B2009" t="str">
        <f>"601002"</f>
        <v>601002</v>
      </c>
      <c r="C2009" t="s">
        <v>4340</v>
      </c>
      <c r="D2009" t="s">
        <v>153</v>
      </c>
      <c r="E2009">
        <v>552029382</v>
      </c>
      <c r="F2009">
        <v>543012731</v>
      </c>
      <c r="G2009">
        <v>438681853</v>
      </c>
      <c r="H2009">
        <v>948503133</v>
      </c>
      <c r="I2009">
        <v>809153908</v>
      </c>
      <c r="J2009">
        <v>671997213</v>
      </c>
      <c r="K2009">
        <v>547966426</v>
      </c>
      <c r="L2009">
        <v>554984412</v>
      </c>
      <c r="M2009">
        <v>741676877</v>
      </c>
      <c r="N2009">
        <v>678269761</v>
      </c>
      <c r="O2009">
        <v>555660012</v>
      </c>
      <c r="P2009">
        <v>146</v>
      </c>
      <c r="Q2009" t="s">
        <v>4341</v>
      </c>
    </row>
    <row r="2010" spans="1:17" x14ac:dyDescent="0.3">
      <c r="A2010" t="s">
        <v>17</v>
      </c>
      <c r="B2010" t="str">
        <f>"603192"</f>
        <v>603192</v>
      </c>
      <c r="C2010" t="s">
        <v>4342</v>
      </c>
      <c r="D2010" t="s">
        <v>134</v>
      </c>
      <c r="E2010">
        <v>551757622</v>
      </c>
      <c r="F2010">
        <v>416104330</v>
      </c>
      <c r="G2010">
        <v>271267193</v>
      </c>
      <c r="H2010">
        <v>296457953</v>
      </c>
      <c r="I2010">
        <v>356374453</v>
      </c>
      <c r="J2010">
        <v>0</v>
      </c>
      <c r="P2010">
        <v>82</v>
      </c>
      <c r="Q2010" t="s">
        <v>4343</v>
      </c>
    </row>
    <row r="2011" spans="1:17" x14ac:dyDescent="0.3">
      <c r="A2011" t="s">
        <v>75</v>
      </c>
      <c r="B2011" t="str">
        <f>"002305"</f>
        <v>002305</v>
      </c>
      <c r="C2011" t="s">
        <v>4344</v>
      </c>
      <c r="D2011" t="s">
        <v>179</v>
      </c>
      <c r="E2011">
        <v>551709821</v>
      </c>
      <c r="F2011">
        <v>1661526317</v>
      </c>
      <c r="G2011">
        <v>254471167</v>
      </c>
      <c r="H2011">
        <v>512319232</v>
      </c>
      <c r="I2011">
        <v>738026512</v>
      </c>
      <c r="J2011">
        <v>614798157</v>
      </c>
      <c r="K2011">
        <v>596152235</v>
      </c>
      <c r="L2011">
        <v>419094776</v>
      </c>
      <c r="M2011">
        <v>293567376</v>
      </c>
      <c r="N2011">
        <v>341759014</v>
      </c>
      <c r="O2011">
        <v>115879808</v>
      </c>
      <c r="P2011">
        <v>107</v>
      </c>
      <c r="Q2011" t="s">
        <v>4345</v>
      </c>
    </row>
    <row r="2012" spans="1:17" x14ac:dyDescent="0.3">
      <c r="A2012" t="s">
        <v>75</v>
      </c>
      <c r="B2012" t="str">
        <f>"300194"</f>
        <v>300194</v>
      </c>
      <c r="C2012" t="s">
        <v>4346</v>
      </c>
      <c r="D2012" t="s">
        <v>543</v>
      </c>
      <c r="E2012">
        <v>550727769</v>
      </c>
      <c r="F2012">
        <v>593673011</v>
      </c>
      <c r="G2012">
        <v>479874631</v>
      </c>
      <c r="H2012">
        <v>708098395</v>
      </c>
      <c r="I2012">
        <v>698050201</v>
      </c>
      <c r="J2012">
        <v>422446144</v>
      </c>
      <c r="K2012">
        <v>201665868</v>
      </c>
      <c r="L2012">
        <v>87501797</v>
      </c>
      <c r="M2012">
        <v>53324496</v>
      </c>
      <c r="N2012">
        <v>64161486</v>
      </c>
      <c r="O2012">
        <v>87141643</v>
      </c>
      <c r="P2012">
        <v>149</v>
      </c>
      <c r="Q2012" t="s">
        <v>4347</v>
      </c>
    </row>
    <row r="2013" spans="1:17" x14ac:dyDescent="0.3">
      <c r="A2013" t="s">
        <v>17</v>
      </c>
      <c r="B2013" t="str">
        <f>"603928"</f>
        <v>603928</v>
      </c>
      <c r="C2013" t="s">
        <v>4348</v>
      </c>
      <c r="D2013" t="s">
        <v>2855</v>
      </c>
      <c r="E2013">
        <v>550371916</v>
      </c>
      <c r="F2013">
        <v>440917283</v>
      </c>
      <c r="G2013">
        <v>342926086</v>
      </c>
      <c r="H2013">
        <v>356213009</v>
      </c>
      <c r="I2013">
        <v>396322273</v>
      </c>
      <c r="J2013">
        <v>220268888</v>
      </c>
      <c r="K2013">
        <v>177987548</v>
      </c>
      <c r="P2013">
        <v>102</v>
      </c>
      <c r="Q2013" t="s">
        <v>4349</v>
      </c>
    </row>
    <row r="2014" spans="1:17" x14ac:dyDescent="0.3">
      <c r="A2014" t="s">
        <v>17</v>
      </c>
      <c r="B2014" t="str">
        <f>"600449"</f>
        <v>600449</v>
      </c>
      <c r="C2014" t="s">
        <v>4350</v>
      </c>
      <c r="D2014" t="s">
        <v>191</v>
      </c>
      <c r="E2014">
        <v>549928976</v>
      </c>
      <c r="F2014">
        <v>483261792</v>
      </c>
      <c r="G2014">
        <v>425810977</v>
      </c>
      <c r="H2014">
        <v>439580177</v>
      </c>
      <c r="I2014">
        <v>341426181</v>
      </c>
      <c r="J2014">
        <v>430798725</v>
      </c>
      <c r="K2014">
        <v>289220462</v>
      </c>
      <c r="L2014">
        <v>343574653</v>
      </c>
      <c r="M2014">
        <v>521502642</v>
      </c>
      <c r="N2014">
        <v>552686082</v>
      </c>
      <c r="O2014">
        <v>424552292</v>
      </c>
      <c r="P2014">
        <v>558</v>
      </c>
      <c r="Q2014" t="s">
        <v>4351</v>
      </c>
    </row>
    <row r="2015" spans="1:17" x14ac:dyDescent="0.3">
      <c r="A2015" t="s">
        <v>17</v>
      </c>
      <c r="B2015" t="str">
        <f>"603533"</f>
        <v>603533</v>
      </c>
      <c r="C2015" t="s">
        <v>4352</v>
      </c>
      <c r="D2015" t="s">
        <v>4353</v>
      </c>
      <c r="E2015">
        <v>549838404</v>
      </c>
      <c r="F2015">
        <v>551668204</v>
      </c>
      <c r="G2015">
        <v>447120164</v>
      </c>
      <c r="H2015">
        <v>494824730</v>
      </c>
      <c r="I2015">
        <v>464609135</v>
      </c>
      <c r="J2015">
        <v>377321571</v>
      </c>
      <c r="P2015">
        <v>872</v>
      </c>
      <c r="Q2015" t="s">
        <v>4354</v>
      </c>
    </row>
    <row r="2016" spans="1:17" x14ac:dyDescent="0.3">
      <c r="A2016" t="s">
        <v>75</v>
      </c>
      <c r="B2016" t="str">
        <f>"002427"</f>
        <v>002427</v>
      </c>
      <c r="C2016" t="s">
        <v>4355</v>
      </c>
      <c r="D2016" t="s">
        <v>519</v>
      </c>
      <c r="E2016">
        <v>549783679</v>
      </c>
      <c r="F2016">
        <v>491892735</v>
      </c>
      <c r="G2016">
        <v>488191885</v>
      </c>
      <c r="H2016">
        <v>475424894</v>
      </c>
      <c r="I2016">
        <v>872541460</v>
      </c>
      <c r="J2016">
        <v>497290077</v>
      </c>
      <c r="K2016">
        <v>412957394</v>
      </c>
      <c r="L2016">
        <v>434492632</v>
      </c>
      <c r="M2016">
        <v>365066408</v>
      </c>
      <c r="N2016">
        <v>285615579</v>
      </c>
      <c r="O2016">
        <v>137778515</v>
      </c>
      <c r="P2016">
        <v>82</v>
      </c>
      <c r="Q2016" t="s">
        <v>4356</v>
      </c>
    </row>
    <row r="2017" spans="1:17" x14ac:dyDescent="0.3">
      <c r="A2017" t="s">
        <v>75</v>
      </c>
      <c r="B2017" t="str">
        <f>"000998"</f>
        <v>000998</v>
      </c>
      <c r="C2017" t="s">
        <v>4357</v>
      </c>
      <c r="D2017" t="s">
        <v>3670</v>
      </c>
      <c r="E2017">
        <v>549017220</v>
      </c>
      <c r="F2017">
        <v>363615989</v>
      </c>
      <c r="G2017">
        <v>490228234</v>
      </c>
      <c r="H2017">
        <v>311018796</v>
      </c>
      <c r="I2017">
        <v>428786653</v>
      </c>
      <c r="J2017">
        <v>443054593</v>
      </c>
      <c r="K2017">
        <v>464945005</v>
      </c>
      <c r="L2017">
        <v>487151713</v>
      </c>
      <c r="M2017">
        <v>359783799</v>
      </c>
      <c r="N2017">
        <v>571889451</v>
      </c>
      <c r="O2017">
        <v>595009153</v>
      </c>
      <c r="P2017">
        <v>649</v>
      </c>
      <c r="Q2017" t="s">
        <v>4358</v>
      </c>
    </row>
    <row r="2018" spans="1:17" x14ac:dyDescent="0.3">
      <c r="A2018" t="s">
        <v>75</v>
      </c>
      <c r="B2018" t="str">
        <f>"300110"</f>
        <v>300110</v>
      </c>
      <c r="C2018" t="s">
        <v>4359</v>
      </c>
      <c r="D2018" t="s">
        <v>543</v>
      </c>
      <c r="E2018">
        <v>548702281</v>
      </c>
      <c r="F2018">
        <v>596068013</v>
      </c>
      <c r="G2018">
        <v>284240578</v>
      </c>
      <c r="H2018">
        <v>347170974</v>
      </c>
      <c r="I2018">
        <v>333046676</v>
      </c>
      <c r="J2018">
        <v>252802471</v>
      </c>
      <c r="K2018">
        <v>258938185</v>
      </c>
      <c r="L2018">
        <v>230022869</v>
      </c>
      <c r="M2018">
        <v>201506071</v>
      </c>
      <c r="N2018">
        <v>165789461</v>
      </c>
      <c r="O2018">
        <v>95749254</v>
      </c>
      <c r="P2018">
        <v>126</v>
      </c>
      <c r="Q2018" t="s">
        <v>4360</v>
      </c>
    </row>
    <row r="2019" spans="1:17" x14ac:dyDescent="0.3">
      <c r="A2019" t="s">
        <v>75</v>
      </c>
      <c r="B2019" t="str">
        <f>"300147"</f>
        <v>300147</v>
      </c>
      <c r="C2019" t="s">
        <v>4361</v>
      </c>
      <c r="D2019" t="s">
        <v>321</v>
      </c>
      <c r="E2019">
        <v>547214944</v>
      </c>
      <c r="F2019">
        <v>919645352</v>
      </c>
      <c r="G2019">
        <v>825083726</v>
      </c>
      <c r="H2019">
        <v>536806061</v>
      </c>
      <c r="I2019">
        <v>541460023</v>
      </c>
      <c r="J2019">
        <v>531818449</v>
      </c>
      <c r="K2019">
        <v>347651521</v>
      </c>
      <c r="L2019">
        <v>392998422</v>
      </c>
      <c r="M2019">
        <v>368899447</v>
      </c>
      <c r="N2019">
        <v>259866407</v>
      </c>
      <c r="O2019">
        <v>168469665</v>
      </c>
      <c r="P2019">
        <v>166</v>
      </c>
      <c r="Q2019" t="s">
        <v>4362</v>
      </c>
    </row>
    <row r="2020" spans="1:17" x14ac:dyDescent="0.3">
      <c r="A2020" t="s">
        <v>17</v>
      </c>
      <c r="B2020" t="str">
        <f>"600037"</f>
        <v>600037</v>
      </c>
      <c r="C2020" t="s">
        <v>4363</v>
      </c>
      <c r="D2020" t="s">
        <v>1991</v>
      </c>
      <c r="E2020">
        <v>547197553</v>
      </c>
      <c r="F2020">
        <v>576227452</v>
      </c>
      <c r="G2020">
        <v>462241330</v>
      </c>
      <c r="H2020">
        <v>563843258</v>
      </c>
      <c r="I2020">
        <v>585420753</v>
      </c>
      <c r="J2020">
        <v>544214703</v>
      </c>
      <c r="K2020">
        <v>584079183</v>
      </c>
      <c r="L2020">
        <v>534143662</v>
      </c>
      <c r="M2020">
        <v>465623272</v>
      </c>
      <c r="N2020">
        <v>427618741</v>
      </c>
      <c r="O2020">
        <v>369827723</v>
      </c>
      <c r="P2020">
        <v>309</v>
      </c>
      <c r="Q2020" t="s">
        <v>4364</v>
      </c>
    </row>
    <row r="2021" spans="1:17" x14ac:dyDescent="0.3">
      <c r="A2021" t="s">
        <v>17</v>
      </c>
      <c r="B2021" t="str">
        <f>"601368"</f>
        <v>601368</v>
      </c>
      <c r="C2021" t="s">
        <v>4365</v>
      </c>
      <c r="D2021" t="s">
        <v>1107</v>
      </c>
      <c r="E2021">
        <v>547049961</v>
      </c>
      <c r="F2021">
        <v>388671176</v>
      </c>
      <c r="G2021">
        <v>309103734</v>
      </c>
      <c r="H2021">
        <v>296841639</v>
      </c>
      <c r="I2021">
        <v>321704595</v>
      </c>
      <c r="J2021">
        <v>325141349</v>
      </c>
      <c r="K2021">
        <v>298000933</v>
      </c>
      <c r="L2021">
        <v>229254026</v>
      </c>
      <c r="M2021">
        <v>213544246</v>
      </c>
      <c r="P2021">
        <v>109</v>
      </c>
      <c r="Q2021" t="s">
        <v>4366</v>
      </c>
    </row>
    <row r="2022" spans="1:17" x14ac:dyDescent="0.3">
      <c r="A2022" t="s">
        <v>75</v>
      </c>
      <c r="B2022" t="str">
        <f>"000688"</f>
        <v>000688</v>
      </c>
      <c r="C2022" t="s">
        <v>4367</v>
      </c>
      <c r="D2022" t="s">
        <v>375</v>
      </c>
      <c r="E2022">
        <v>546889443</v>
      </c>
      <c r="F2022">
        <v>324712171</v>
      </c>
      <c r="G2022">
        <v>174558084</v>
      </c>
      <c r="H2022">
        <v>355173946</v>
      </c>
      <c r="I2022">
        <v>285876643</v>
      </c>
      <c r="J2022">
        <v>196860997</v>
      </c>
      <c r="K2022">
        <v>304353850</v>
      </c>
      <c r="L2022">
        <v>207535096</v>
      </c>
      <c r="M2022">
        <v>127559890</v>
      </c>
      <c r="N2022">
        <v>158476222</v>
      </c>
      <c r="O2022">
        <v>3341012</v>
      </c>
      <c r="P2022">
        <v>197</v>
      </c>
      <c r="Q2022" t="s">
        <v>4368</v>
      </c>
    </row>
    <row r="2023" spans="1:17" x14ac:dyDescent="0.3">
      <c r="A2023" t="s">
        <v>75</v>
      </c>
      <c r="B2023" t="str">
        <f>"300575"</f>
        <v>300575</v>
      </c>
      <c r="C2023" t="s">
        <v>4369</v>
      </c>
      <c r="D2023" t="s">
        <v>811</v>
      </c>
      <c r="E2023">
        <v>545654550</v>
      </c>
      <c r="F2023">
        <v>341417924</v>
      </c>
      <c r="G2023">
        <v>317303320</v>
      </c>
      <c r="H2023">
        <v>461517695</v>
      </c>
      <c r="I2023">
        <v>286198631</v>
      </c>
      <c r="J2023">
        <v>184349174</v>
      </c>
      <c r="K2023">
        <v>190955956</v>
      </c>
      <c r="P2023">
        <v>187</v>
      </c>
      <c r="Q2023" t="s">
        <v>4370</v>
      </c>
    </row>
    <row r="2024" spans="1:17" x14ac:dyDescent="0.3">
      <c r="A2024" t="s">
        <v>75</v>
      </c>
      <c r="B2024" t="str">
        <f>"002184"</f>
        <v>002184</v>
      </c>
      <c r="C2024" t="s">
        <v>4371</v>
      </c>
      <c r="D2024" t="s">
        <v>1352</v>
      </c>
      <c r="E2024">
        <v>545150389</v>
      </c>
      <c r="F2024">
        <v>517387234</v>
      </c>
      <c r="G2024">
        <v>314028884</v>
      </c>
      <c r="H2024">
        <v>469845699</v>
      </c>
      <c r="I2024">
        <v>385337068</v>
      </c>
      <c r="J2024">
        <v>367496225</v>
      </c>
      <c r="K2024">
        <v>501503776</v>
      </c>
      <c r="L2024">
        <v>311341055</v>
      </c>
      <c r="M2024">
        <v>202505408</v>
      </c>
      <c r="N2024">
        <v>290136654</v>
      </c>
      <c r="O2024">
        <v>242586668</v>
      </c>
      <c r="P2024">
        <v>186</v>
      </c>
      <c r="Q2024" t="s">
        <v>4372</v>
      </c>
    </row>
    <row r="2025" spans="1:17" x14ac:dyDescent="0.3">
      <c r="A2025" t="s">
        <v>75</v>
      </c>
      <c r="B2025" t="str">
        <f>"002695"</f>
        <v>002695</v>
      </c>
      <c r="C2025" t="s">
        <v>4373</v>
      </c>
      <c r="D2025" t="s">
        <v>2004</v>
      </c>
      <c r="E2025">
        <v>544978397</v>
      </c>
      <c r="F2025">
        <v>608826564</v>
      </c>
      <c r="G2025">
        <v>613154644</v>
      </c>
      <c r="H2025">
        <v>543931162</v>
      </c>
      <c r="I2025">
        <v>444584129</v>
      </c>
      <c r="J2025">
        <v>359868952</v>
      </c>
      <c r="K2025">
        <v>337158093</v>
      </c>
      <c r="L2025">
        <v>334598253</v>
      </c>
      <c r="M2025">
        <v>307512738</v>
      </c>
      <c r="N2025">
        <v>302470847</v>
      </c>
      <c r="O2025">
        <v>292579691</v>
      </c>
      <c r="P2025">
        <v>623</v>
      </c>
      <c r="Q2025" t="s">
        <v>4374</v>
      </c>
    </row>
    <row r="2026" spans="1:17" x14ac:dyDescent="0.3">
      <c r="A2026" t="s">
        <v>17</v>
      </c>
      <c r="B2026" t="str">
        <f>"688006"</f>
        <v>688006</v>
      </c>
      <c r="C2026" t="s">
        <v>4375</v>
      </c>
      <c r="D2026" t="s">
        <v>1464</v>
      </c>
      <c r="E2026">
        <v>544590742</v>
      </c>
      <c r="F2026">
        <v>377518055</v>
      </c>
      <c r="G2026">
        <v>428539457</v>
      </c>
      <c r="H2026">
        <v>243917978</v>
      </c>
      <c r="I2026">
        <v>0</v>
      </c>
      <c r="P2026">
        <v>255</v>
      </c>
      <c r="Q2026" t="s">
        <v>4376</v>
      </c>
    </row>
    <row r="2027" spans="1:17" x14ac:dyDescent="0.3">
      <c r="A2027" t="s">
        <v>75</v>
      </c>
      <c r="B2027" t="str">
        <f>"002325"</f>
        <v>002325</v>
      </c>
      <c r="C2027" t="s">
        <v>4377</v>
      </c>
      <c r="D2027" t="s">
        <v>707</v>
      </c>
      <c r="E2027">
        <v>544558112</v>
      </c>
      <c r="F2027">
        <v>1072141992</v>
      </c>
      <c r="G2027">
        <v>756618826</v>
      </c>
      <c r="H2027">
        <v>1037003583</v>
      </c>
      <c r="I2027">
        <v>1240095101</v>
      </c>
      <c r="J2027">
        <v>785669625</v>
      </c>
      <c r="K2027">
        <v>607913145</v>
      </c>
      <c r="L2027">
        <v>565618504</v>
      </c>
      <c r="M2027">
        <v>619798719</v>
      </c>
      <c r="N2027">
        <v>473377621</v>
      </c>
      <c r="O2027">
        <v>430153766</v>
      </c>
      <c r="P2027">
        <v>171</v>
      </c>
      <c r="Q2027" t="s">
        <v>4378</v>
      </c>
    </row>
    <row r="2028" spans="1:17" x14ac:dyDescent="0.3">
      <c r="A2028" t="s">
        <v>75</v>
      </c>
      <c r="B2028" t="str">
        <f>"002421"</f>
        <v>002421</v>
      </c>
      <c r="C2028" t="s">
        <v>4379</v>
      </c>
      <c r="D2028" t="s">
        <v>224</v>
      </c>
      <c r="E2028">
        <v>544072400</v>
      </c>
      <c r="F2028">
        <v>580123608</v>
      </c>
      <c r="G2028">
        <v>305172915</v>
      </c>
      <c r="H2028">
        <v>468480125</v>
      </c>
      <c r="I2028">
        <v>417470016</v>
      </c>
      <c r="J2028">
        <v>503944792</v>
      </c>
      <c r="K2028">
        <v>348508297</v>
      </c>
      <c r="L2028">
        <v>231479862</v>
      </c>
      <c r="M2028">
        <v>233301993</v>
      </c>
      <c r="N2028">
        <v>182206500</v>
      </c>
      <c r="O2028">
        <v>101308768</v>
      </c>
      <c r="P2028">
        <v>199</v>
      </c>
      <c r="Q2028" t="s">
        <v>4380</v>
      </c>
    </row>
    <row r="2029" spans="1:17" x14ac:dyDescent="0.3">
      <c r="A2029" t="s">
        <v>75</v>
      </c>
      <c r="B2029" t="str">
        <f>"003016"</f>
        <v>003016</v>
      </c>
      <c r="C2029" t="s">
        <v>4381</v>
      </c>
      <c r="D2029" t="s">
        <v>814</v>
      </c>
      <c r="E2029">
        <v>543931301</v>
      </c>
      <c r="F2029">
        <v>566195809</v>
      </c>
      <c r="G2029">
        <v>463033926</v>
      </c>
      <c r="P2029">
        <v>58</v>
      </c>
      <c r="Q2029" t="s">
        <v>4382</v>
      </c>
    </row>
    <row r="2030" spans="1:17" x14ac:dyDescent="0.3">
      <c r="A2030" t="s">
        <v>75</v>
      </c>
      <c r="B2030" t="str">
        <f>"002650"</f>
        <v>002650</v>
      </c>
      <c r="C2030" t="s">
        <v>4383</v>
      </c>
      <c r="D2030" t="s">
        <v>774</v>
      </c>
      <c r="E2030">
        <v>543575427</v>
      </c>
      <c r="F2030">
        <v>559064022</v>
      </c>
      <c r="G2030">
        <v>557226876</v>
      </c>
      <c r="H2030">
        <v>587925635</v>
      </c>
      <c r="I2030">
        <v>624115896</v>
      </c>
      <c r="J2030">
        <v>590397521</v>
      </c>
      <c r="K2030">
        <v>550553756</v>
      </c>
      <c r="L2030">
        <v>583407620</v>
      </c>
      <c r="M2030">
        <v>444913465</v>
      </c>
      <c r="N2030">
        <v>481428191</v>
      </c>
      <c r="O2030">
        <v>493400433</v>
      </c>
      <c r="P2030">
        <v>207</v>
      </c>
      <c r="Q2030" t="s">
        <v>4384</v>
      </c>
    </row>
    <row r="2031" spans="1:17" x14ac:dyDescent="0.3">
      <c r="A2031" t="s">
        <v>75</v>
      </c>
      <c r="B2031" t="str">
        <f>"000965"</f>
        <v>000965</v>
      </c>
      <c r="C2031" t="s">
        <v>4385</v>
      </c>
      <c r="D2031" t="s">
        <v>65</v>
      </c>
      <c r="E2031">
        <v>543212249</v>
      </c>
      <c r="F2031">
        <v>607467428</v>
      </c>
      <c r="G2031">
        <v>35711868</v>
      </c>
      <c r="H2031">
        <v>97975022</v>
      </c>
      <c r="I2031">
        <v>108427635</v>
      </c>
      <c r="J2031">
        <v>201701692</v>
      </c>
      <c r="K2031">
        <v>157396037</v>
      </c>
      <c r="L2031">
        <v>170652402</v>
      </c>
      <c r="M2031">
        <v>143761137</v>
      </c>
      <c r="N2031">
        <v>278248354</v>
      </c>
      <c r="O2031">
        <v>110666697</v>
      </c>
      <c r="P2031">
        <v>116</v>
      </c>
      <c r="Q2031" t="s">
        <v>4386</v>
      </c>
    </row>
    <row r="2032" spans="1:17" x14ac:dyDescent="0.3">
      <c r="A2032" t="s">
        <v>75</v>
      </c>
      <c r="B2032" t="str">
        <f>"300098"</f>
        <v>300098</v>
      </c>
      <c r="C2032" t="s">
        <v>4387</v>
      </c>
      <c r="D2032" t="s">
        <v>116</v>
      </c>
      <c r="E2032">
        <v>543018090</v>
      </c>
      <c r="F2032">
        <v>680281976</v>
      </c>
      <c r="G2032">
        <v>500057898</v>
      </c>
      <c r="H2032">
        <v>471878950</v>
      </c>
      <c r="I2032">
        <v>351065267</v>
      </c>
      <c r="J2032">
        <v>266022693</v>
      </c>
      <c r="K2032">
        <v>169354112</v>
      </c>
      <c r="L2032">
        <v>129469121</v>
      </c>
      <c r="M2032">
        <v>63599267</v>
      </c>
      <c r="N2032">
        <v>54884536</v>
      </c>
      <c r="O2032">
        <v>46233530</v>
      </c>
      <c r="P2032">
        <v>368</v>
      </c>
      <c r="Q2032" t="s">
        <v>4388</v>
      </c>
    </row>
    <row r="2033" spans="1:17" x14ac:dyDescent="0.3">
      <c r="A2033" t="s">
        <v>75</v>
      </c>
      <c r="B2033" t="str">
        <f>"300538"</f>
        <v>300538</v>
      </c>
      <c r="C2033" t="s">
        <v>4389</v>
      </c>
      <c r="D2033" t="s">
        <v>639</v>
      </c>
      <c r="E2033">
        <v>542843884</v>
      </c>
      <c r="F2033">
        <v>420001805</v>
      </c>
      <c r="G2033">
        <v>594330330</v>
      </c>
      <c r="H2033">
        <v>292156256</v>
      </c>
      <c r="I2033">
        <v>306166738</v>
      </c>
      <c r="J2033">
        <v>208191458</v>
      </c>
      <c r="K2033">
        <v>241799760</v>
      </c>
      <c r="P2033">
        <v>186</v>
      </c>
      <c r="Q2033" t="s">
        <v>4390</v>
      </c>
    </row>
    <row r="2034" spans="1:17" x14ac:dyDescent="0.3">
      <c r="A2034" t="s">
        <v>75</v>
      </c>
      <c r="B2034" t="str">
        <f>"002046"</f>
        <v>002046</v>
      </c>
      <c r="C2034" t="s">
        <v>4391</v>
      </c>
      <c r="D2034" t="s">
        <v>153</v>
      </c>
      <c r="E2034">
        <v>542496702</v>
      </c>
      <c r="F2034">
        <v>502515588</v>
      </c>
      <c r="G2034">
        <v>326296527</v>
      </c>
      <c r="H2034">
        <v>293071672</v>
      </c>
      <c r="I2034">
        <v>301974071</v>
      </c>
      <c r="J2034">
        <v>55500474</v>
      </c>
      <c r="K2034">
        <v>66568484</v>
      </c>
      <c r="L2034">
        <v>69251138</v>
      </c>
      <c r="M2034">
        <v>88820982</v>
      </c>
      <c r="N2034">
        <v>128239469</v>
      </c>
      <c r="O2034">
        <v>131745928</v>
      </c>
      <c r="P2034">
        <v>148</v>
      </c>
      <c r="Q2034" t="s">
        <v>4392</v>
      </c>
    </row>
    <row r="2035" spans="1:17" x14ac:dyDescent="0.3">
      <c r="A2035" t="s">
        <v>75</v>
      </c>
      <c r="B2035" t="str">
        <f>"002895"</f>
        <v>002895</v>
      </c>
      <c r="C2035" t="s">
        <v>4393</v>
      </c>
      <c r="D2035" t="s">
        <v>354</v>
      </c>
      <c r="E2035">
        <v>542488398</v>
      </c>
      <c r="F2035">
        <v>310156210</v>
      </c>
      <c r="G2035">
        <v>314495080</v>
      </c>
      <c r="H2035">
        <v>281055326</v>
      </c>
      <c r="I2035">
        <v>193919953</v>
      </c>
      <c r="J2035">
        <v>193792312</v>
      </c>
      <c r="P2035">
        <v>148</v>
      </c>
      <c r="Q2035" t="s">
        <v>4394</v>
      </c>
    </row>
    <row r="2036" spans="1:17" x14ac:dyDescent="0.3">
      <c r="A2036" t="s">
        <v>75</v>
      </c>
      <c r="B2036" t="str">
        <f>"002114"</f>
        <v>002114</v>
      </c>
      <c r="C2036" t="s">
        <v>4395</v>
      </c>
      <c r="D2036" t="s">
        <v>375</v>
      </c>
      <c r="E2036">
        <v>541818921</v>
      </c>
      <c r="F2036">
        <v>428723645</v>
      </c>
      <c r="G2036">
        <v>257489032</v>
      </c>
      <c r="H2036">
        <v>415356051</v>
      </c>
      <c r="I2036">
        <v>408759812</v>
      </c>
      <c r="J2036">
        <v>312994399</v>
      </c>
      <c r="K2036">
        <v>240383846</v>
      </c>
      <c r="L2036">
        <v>159772191</v>
      </c>
      <c r="M2036">
        <v>250393067</v>
      </c>
      <c r="N2036">
        <v>183834568</v>
      </c>
      <c r="O2036">
        <v>351584769</v>
      </c>
      <c r="P2036">
        <v>73</v>
      </c>
      <c r="Q2036" t="s">
        <v>4396</v>
      </c>
    </row>
    <row r="2037" spans="1:17" x14ac:dyDescent="0.3">
      <c r="A2037" t="s">
        <v>17</v>
      </c>
      <c r="B2037" t="str">
        <f>"600331"</f>
        <v>600331</v>
      </c>
      <c r="C2037" t="s">
        <v>4397</v>
      </c>
      <c r="D2037" t="s">
        <v>375</v>
      </c>
      <c r="E2037">
        <v>541764617</v>
      </c>
      <c r="F2037">
        <v>466765707</v>
      </c>
      <c r="G2037">
        <v>427660295</v>
      </c>
      <c r="H2037">
        <v>488750693</v>
      </c>
      <c r="I2037">
        <v>1236273952</v>
      </c>
      <c r="J2037">
        <v>885866807</v>
      </c>
      <c r="K2037">
        <v>1020524886</v>
      </c>
      <c r="L2037">
        <v>1074255600</v>
      </c>
      <c r="M2037">
        <v>784587755</v>
      </c>
      <c r="N2037">
        <v>887565577</v>
      </c>
      <c r="O2037">
        <v>1341524203</v>
      </c>
      <c r="P2037">
        <v>117</v>
      </c>
      <c r="Q2037" t="s">
        <v>4398</v>
      </c>
    </row>
    <row r="2038" spans="1:17" x14ac:dyDescent="0.3">
      <c r="A2038" t="s">
        <v>75</v>
      </c>
      <c r="B2038" t="str">
        <f>"301082"</f>
        <v>301082</v>
      </c>
      <c r="C2038" t="s">
        <v>4399</v>
      </c>
      <c r="D2038" t="s">
        <v>562</v>
      </c>
      <c r="E2038">
        <v>540359390</v>
      </c>
      <c r="P2038">
        <v>17</v>
      </c>
      <c r="Q2038" t="s">
        <v>4400</v>
      </c>
    </row>
    <row r="2039" spans="1:17" x14ac:dyDescent="0.3">
      <c r="A2039" t="s">
        <v>75</v>
      </c>
      <c r="B2039" t="str">
        <f>"002169"</f>
        <v>002169</v>
      </c>
      <c r="C2039" t="s">
        <v>4401</v>
      </c>
      <c r="D2039" t="s">
        <v>682</v>
      </c>
      <c r="E2039">
        <v>540320494</v>
      </c>
      <c r="F2039">
        <v>457163480</v>
      </c>
      <c r="G2039">
        <v>388717882</v>
      </c>
      <c r="H2039">
        <v>467456943</v>
      </c>
      <c r="I2039">
        <v>439046416</v>
      </c>
      <c r="J2039">
        <v>228711642</v>
      </c>
      <c r="K2039">
        <v>178389649</v>
      </c>
      <c r="L2039">
        <v>76120878</v>
      </c>
      <c r="M2039">
        <v>59415718</v>
      </c>
      <c r="N2039">
        <v>57289180</v>
      </c>
      <c r="O2039">
        <v>59347555</v>
      </c>
      <c r="P2039">
        <v>219</v>
      </c>
      <c r="Q2039" t="s">
        <v>4402</v>
      </c>
    </row>
    <row r="2040" spans="1:17" x14ac:dyDescent="0.3">
      <c r="A2040" t="s">
        <v>75</v>
      </c>
      <c r="B2040" t="str">
        <f>"300586"</f>
        <v>300586</v>
      </c>
      <c r="C2040" t="s">
        <v>4403</v>
      </c>
      <c r="D2040" t="s">
        <v>639</v>
      </c>
      <c r="E2040">
        <v>540147144</v>
      </c>
      <c r="F2040">
        <v>356733731</v>
      </c>
      <c r="G2040">
        <v>333043067</v>
      </c>
      <c r="H2040">
        <v>135510215</v>
      </c>
      <c r="I2040">
        <v>114769072</v>
      </c>
      <c r="J2040">
        <v>98245901</v>
      </c>
      <c r="K2040">
        <v>82919947</v>
      </c>
      <c r="P2040">
        <v>132</v>
      </c>
      <c r="Q2040" t="s">
        <v>4404</v>
      </c>
    </row>
    <row r="2041" spans="1:17" x14ac:dyDescent="0.3">
      <c r="A2041" t="s">
        <v>17</v>
      </c>
      <c r="B2041" t="str">
        <f>"688345"</f>
        <v>688345</v>
      </c>
      <c r="C2041" t="s">
        <v>4405</v>
      </c>
      <c r="D2041" t="s">
        <v>131</v>
      </c>
      <c r="E2041">
        <v>539774194</v>
      </c>
      <c r="F2041">
        <v>445934961</v>
      </c>
      <c r="G2041">
        <v>208379256</v>
      </c>
      <c r="P2041">
        <v>39</v>
      </c>
      <c r="Q2041" t="s">
        <v>4406</v>
      </c>
    </row>
    <row r="2042" spans="1:17" x14ac:dyDescent="0.3">
      <c r="A2042" t="s">
        <v>75</v>
      </c>
      <c r="B2042" t="str">
        <f>"002317"</f>
        <v>002317</v>
      </c>
      <c r="C2042" t="s">
        <v>4407</v>
      </c>
      <c r="D2042" t="s">
        <v>321</v>
      </c>
      <c r="E2042">
        <v>539056614</v>
      </c>
      <c r="F2042">
        <v>580951549</v>
      </c>
      <c r="G2042">
        <v>481811801</v>
      </c>
      <c r="H2042">
        <v>528090471</v>
      </c>
      <c r="I2042">
        <v>486830002</v>
      </c>
      <c r="J2042">
        <v>426986914</v>
      </c>
      <c r="K2042">
        <v>429526284</v>
      </c>
      <c r="L2042">
        <v>301813641</v>
      </c>
      <c r="M2042">
        <v>285030622</v>
      </c>
      <c r="N2042">
        <v>226433261</v>
      </c>
      <c r="O2042">
        <v>176946290</v>
      </c>
      <c r="P2042">
        <v>344</v>
      </c>
      <c r="Q2042" t="s">
        <v>4408</v>
      </c>
    </row>
    <row r="2043" spans="1:17" x14ac:dyDescent="0.3">
      <c r="A2043" t="s">
        <v>75</v>
      </c>
      <c r="B2043" t="str">
        <f>"300686"</f>
        <v>300686</v>
      </c>
      <c r="C2043" t="s">
        <v>4409</v>
      </c>
      <c r="D2043" t="s">
        <v>55</v>
      </c>
      <c r="E2043">
        <v>538847687</v>
      </c>
      <c r="F2043">
        <v>766913345</v>
      </c>
      <c r="G2043">
        <v>467717091</v>
      </c>
      <c r="H2043">
        <v>351517775</v>
      </c>
      <c r="I2043">
        <v>121730137</v>
      </c>
      <c r="J2043">
        <v>157038008</v>
      </c>
      <c r="K2043">
        <v>172165386</v>
      </c>
      <c r="P2043">
        <v>192</v>
      </c>
      <c r="Q2043" t="s">
        <v>4410</v>
      </c>
    </row>
    <row r="2044" spans="1:17" x14ac:dyDescent="0.3">
      <c r="A2044" t="s">
        <v>17</v>
      </c>
      <c r="B2044" t="str">
        <f>"688211"</f>
        <v>688211</v>
      </c>
      <c r="C2044" t="s">
        <v>4411</v>
      </c>
      <c r="D2044" t="s">
        <v>1624</v>
      </c>
      <c r="E2044">
        <v>538628298</v>
      </c>
      <c r="F2044">
        <v>459329321</v>
      </c>
      <c r="P2044">
        <v>27</v>
      </c>
      <c r="Q2044" t="s">
        <v>4412</v>
      </c>
    </row>
    <row r="2045" spans="1:17" x14ac:dyDescent="0.3">
      <c r="A2045" t="s">
        <v>75</v>
      </c>
      <c r="B2045" t="str">
        <f>"002150"</f>
        <v>002150</v>
      </c>
      <c r="C2045" t="s">
        <v>4413</v>
      </c>
      <c r="D2045" t="s">
        <v>153</v>
      </c>
      <c r="E2045">
        <v>537991136</v>
      </c>
      <c r="F2045">
        <v>333220595</v>
      </c>
      <c r="G2045">
        <v>284745469</v>
      </c>
      <c r="H2045">
        <v>320239655</v>
      </c>
      <c r="I2045">
        <v>365274737</v>
      </c>
      <c r="J2045">
        <v>278387803</v>
      </c>
      <c r="K2045">
        <v>235485301</v>
      </c>
      <c r="L2045">
        <v>245056167</v>
      </c>
      <c r="M2045">
        <v>228726500</v>
      </c>
      <c r="N2045">
        <v>241361270</v>
      </c>
      <c r="O2045">
        <v>230048676</v>
      </c>
      <c r="P2045">
        <v>103</v>
      </c>
      <c r="Q2045" t="s">
        <v>4414</v>
      </c>
    </row>
    <row r="2046" spans="1:17" x14ac:dyDescent="0.3">
      <c r="A2046" t="s">
        <v>75</v>
      </c>
      <c r="B2046" t="str">
        <f>"002275"</f>
        <v>002275</v>
      </c>
      <c r="C2046" t="s">
        <v>4415</v>
      </c>
      <c r="D2046" t="s">
        <v>321</v>
      </c>
      <c r="E2046">
        <v>536818829</v>
      </c>
      <c r="F2046">
        <v>534710219</v>
      </c>
      <c r="G2046">
        <v>443710337</v>
      </c>
      <c r="H2046">
        <v>592759506</v>
      </c>
      <c r="I2046">
        <v>438473319</v>
      </c>
      <c r="J2046">
        <v>309388882</v>
      </c>
      <c r="K2046">
        <v>324174793</v>
      </c>
      <c r="L2046">
        <v>352188208</v>
      </c>
      <c r="M2046">
        <v>387283297</v>
      </c>
      <c r="N2046">
        <v>309283180</v>
      </c>
      <c r="O2046">
        <v>269789021</v>
      </c>
      <c r="P2046">
        <v>11978</v>
      </c>
      <c r="Q2046" t="s">
        <v>4416</v>
      </c>
    </row>
    <row r="2047" spans="1:17" x14ac:dyDescent="0.3">
      <c r="A2047" t="s">
        <v>75</v>
      </c>
      <c r="B2047" t="str">
        <f>"002481"</f>
        <v>002481</v>
      </c>
      <c r="C2047" t="s">
        <v>4417</v>
      </c>
      <c r="D2047" t="s">
        <v>831</v>
      </c>
      <c r="E2047">
        <v>535740466</v>
      </c>
      <c r="F2047">
        <v>505635087</v>
      </c>
      <c r="G2047">
        <v>798890168</v>
      </c>
      <c r="H2047">
        <v>363847769</v>
      </c>
      <c r="I2047">
        <v>785764157</v>
      </c>
      <c r="J2047">
        <v>445243920</v>
      </c>
      <c r="K2047">
        <v>397640636</v>
      </c>
      <c r="L2047">
        <v>306060469</v>
      </c>
      <c r="M2047">
        <v>229499764</v>
      </c>
      <c r="N2047">
        <v>129550401</v>
      </c>
      <c r="O2047">
        <v>128701388</v>
      </c>
      <c r="P2047">
        <v>331</v>
      </c>
      <c r="Q2047" t="s">
        <v>4418</v>
      </c>
    </row>
    <row r="2048" spans="1:17" x14ac:dyDescent="0.3">
      <c r="A2048" t="s">
        <v>75</v>
      </c>
      <c r="B2048" t="str">
        <f>"000655"</f>
        <v>000655</v>
      </c>
      <c r="C2048" t="s">
        <v>4419</v>
      </c>
      <c r="D2048" t="s">
        <v>2324</v>
      </c>
      <c r="E2048">
        <v>535572317</v>
      </c>
      <c r="F2048">
        <v>548902511</v>
      </c>
      <c r="G2048">
        <v>371235637</v>
      </c>
      <c r="H2048">
        <v>323736257</v>
      </c>
      <c r="I2048">
        <v>462496964</v>
      </c>
      <c r="J2048">
        <v>247444020</v>
      </c>
      <c r="K2048">
        <v>88851075</v>
      </c>
      <c r="L2048">
        <v>325920573</v>
      </c>
      <c r="M2048">
        <v>545872543</v>
      </c>
      <c r="N2048">
        <v>468856985</v>
      </c>
      <c r="O2048">
        <v>565232597</v>
      </c>
      <c r="P2048">
        <v>145</v>
      </c>
      <c r="Q2048" t="s">
        <v>4420</v>
      </c>
    </row>
    <row r="2049" spans="1:17" x14ac:dyDescent="0.3">
      <c r="A2049" t="s">
        <v>17</v>
      </c>
      <c r="B2049" t="str">
        <f>"600168"</f>
        <v>600168</v>
      </c>
      <c r="C2049" t="s">
        <v>4421</v>
      </c>
      <c r="D2049" t="s">
        <v>1107</v>
      </c>
      <c r="E2049">
        <v>535554055</v>
      </c>
      <c r="F2049">
        <v>225115340</v>
      </c>
      <c r="G2049">
        <v>12217533</v>
      </c>
      <c r="H2049">
        <v>224649047</v>
      </c>
      <c r="I2049">
        <v>209337456</v>
      </c>
      <c r="J2049">
        <v>218996643</v>
      </c>
      <c r="K2049">
        <v>194004071</v>
      </c>
      <c r="L2049">
        <v>251764396</v>
      </c>
      <c r="M2049">
        <v>230390231</v>
      </c>
      <c r="N2049">
        <v>99286696</v>
      </c>
      <c r="O2049">
        <v>35305782</v>
      </c>
      <c r="P2049">
        <v>168</v>
      </c>
      <c r="Q2049" t="s">
        <v>4422</v>
      </c>
    </row>
    <row r="2050" spans="1:17" x14ac:dyDescent="0.3">
      <c r="A2050" t="s">
        <v>75</v>
      </c>
      <c r="B2050" t="str">
        <f>"002558"</f>
        <v>002558</v>
      </c>
      <c r="C2050" t="s">
        <v>4423</v>
      </c>
      <c r="D2050" t="s">
        <v>1165</v>
      </c>
      <c r="E2050">
        <v>534430417</v>
      </c>
      <c r="F2050">
        <v>623854176</v>
      </c>
      <c r="G2050">
        <v>616836368</v>
      </c>
      <c r="H2050">
        <v>928491595</v>
      </c>
      <c r="I2050">
        <v>946382365</v>
      </c>
      <c r="J2050">
        <v>897534341</v>
      </c>
      <c r="K2050">
        <v>75538645</v>
      </c>
      <c r="L2050">
        <v>66243428</v>
      </c>
      <c r="M2050">
        <v>58823103</v>
      </c>
      <c r="N2050">
        <v>41081621</v>
      </c>
      <c r="O2050">
        <v>48535432</v>
      </c>
      <c r="P2050">
        <v>458</v>
      </c>
      <c r="Q2050" t="s">
        <v>4424</v>
      </c>
    </row>
    <row r="2051" spans="1:17" x14ac:dyDescent="0.3">
      <c r="A2051" t="s">
        <v>75</v>
      </c>
      <c r="B2051" t="str">
        <f>"002255"</f>
        <v>002255</v>
      </c>
      <c r="C2051" t="s">
        <v>4425</v>
      </c>
      <c r="D2051" t="s">
        <v>3011</v>
      </c>
      <c r="E2051">
        <v>533476286</v>
      </c>
      <c r="F2051">
        <v>330613720</v>
      </c>
      <c r="G2051">
        <v>315795985</v>
      </c>
      <c r="H2051">
        <v>394961786</v>
      </c>
      <c r="I2051">
        <v>459498320</v>
      </c>
      <c r="J2051">
        <v>247392814</v>
      </c>
      <c r="K2051">
        <v>181328136</v>
      </c>
      <c r="L2051">
        <v>274230769</v>
      </c>
      <c r="M2051">
        <v>321880043</v>
      </c>
      <c r="N2051">
        <v>385038223</v>
      </c>
      <c r="O2051">
        <v>349436118</v>
      </c>
      <c r="P2051">
        <v>107</v>
      </c>
      <c r="Q2051" t="s">
        <v>4426</v>
      </c>
    </row>
    <row r="2052" spans="1:17" x14ac:dyDescent="0.3">
      <c r="A2052" t="s">
        <v>75</v>
      </c>
      <c r="B2052" t="str">
        <f>"002172"</f>
        <v>002172</v>
      </c>
      <c r="C2052" t="s">
        <v>4427</v>
      </c>
      <c r="D2052" t="s">
        <v>1075</v>
      </c>
      <c r="E2052">
        <v>533277747</v>
      </c>
      <c r="F2052">
        <v>625092819</v>
      </c>
      <c r="G2052">
        <v>404949230</v>
      </c>
      <c r="H2052">
        <v>701752415</v>
      </c>
      <c r="I2052">
        <v>909400737</v>
      </c>
      <c r="J2052">
        <v>757253990</v>
      </c>
      <c r="K2052">
        <v>885622131</v>
      </c>
      <c r="L2052">
        <v>279076068</v>
      </c>
      <c r="M2052">
        <v>246368173</v>
      </c>
      <c r="N2052">
        <v>861587122</v>
      </c>
      <c r="O2052">
        <v>933685218</v>
      </c>
      <c r="P2052">
        <v>141</v>
      </c>
      <c r="Q2052" t="s">
        <v>4428</v>
      </c>
    </row>
    <row r="2053" spans="1:17" x14ac:dyDescent="0.3">
      <c r="A2053" t="s">
        <v>75</v>
      </c>
      <c r="B2053" t="str">
        <f>"002269"</f>
        <v>002269</v>
      </c>
      <c r="C2053" t="s">
        <v>4429</v>
      </c>
      <c r="D2053" t="s">
        <v>814</v>
      </c>
      <c r="E2053">
        <v>533160892</v>
      </c>
      <c r="F2053">
        <v>908673877</v>
      </c>
      <c r="G2053">
        <v>1102037779</v>
      </c>
      <c r="H2053">
        <v>1936073152</v>
      </c>
      <c r="I2053">
        <v>2571511726</v>
      </c>
      <c r="J2053">
        <v>1979357766</v>
      </c>
      <c r="K2053">
        <v>2193876382</v>
      </c>
      <c r="L2053">
        <v>2034560089</v>
      </c>
      <c r="M2053">
        <v>2162338108</v>
      </c>
      <c r="N2053">
        <v>2878148979</v>
      </c>
      <c r="O2053">
        <v>2971687211</v>
      </c>
      <c r="P2053">
        <v>143</v>
      </c>
      <c r="Q2053" t="s">
        <v>4430</v>
      </c>
    </row>
    <row r="2054" spans="1:17" x14ac:dyDescent="0.3">
      <c r="A2054" t="s">
        <v>75</v>
      </c>
      <c r="B2054" t="str">
        <f>"300389"</f>
        <v>300389</v>
      </c>
      <c r="C2054" t="s">
        <v>4431</v>
      </c>
      <c r="D2054" t="s">
        <v>1044</v>
      </c>
      <c r="E2054">
        <v>532829483</v>
      </c>
      <c r="F2054">
        <v>446671125</v>
      </c>
      <c r="G2054">
        <v>476417071</v>
      </c>
      <c r="H2054">
        <v>487086062</v>
      </c>
      <c r="I2054">
        <v>358943313</v>
      </c>
      <c r="J2054">
        <v>256444321</v>
      </c>
      <c r="K2054">
        <v>223165742</v>
      </c>
      <c r="L2054">
        <v>261354330</v>
      </c>
      <c r="M2054">
        <v>182361059</v>
      </c>
      <c r="N2054">
        <v>151889221</v>
      </c>
      <c r="P2054">
        <v>198</v>
      </c>
      <c r="Q2054" t="s">
        <v>4432</v>
      </c>
    </row>
    <row r="2055" spans="1:17" x14ac:dyDescent="0.3">
      <c r="A2055" t="s">
        <v>17</v>
      </c>
      <c r="B2055" t="str">
        <f>"603327"</f>
        <v>603327</v>
      </c>
      <c r="C2055" t="s">
        <v>4433</v>
      </c>
      <c r="D2055" t="s">
        <v>55</v>
      </c>
      <c r="E2055">
        <v>532091187</v>
      </c>
      <c r="F2055">
        <v>512554635</v>
      </c>
      <c r="G2055">
        <v>360044713</v>
      </c>
      <c r="H2055">
        <v>271062843</v>
      </c>
      <c r="I2055">
        <v>191322022</v>
      </c>
      <c r="P2055">
        <v>347</v>
      </c>
      <c r="Q2055" t="s">
        <v>4434</v>
      </c>
    </row>
    <row r="2056" spans="1:17" x14ac:dyDescent="0.3">
      <c r="A2056" t="s">
        <v>17</v>
      </c>
      <c r="B2056" t="str">
        <f>"603871"</f>
        <v>603871</v>
      </c>
      <c r="C2056" t="s">
        <v>4435</v>
      </c>
      <c r="D2056" t="s">
        <v>229</v>
      </c>
      <c r="E2056">
        <v>531478024</v>
      </c>
      <c r="F2056">
        <v>646940901</v>
      </c>
      <c r="G2056">
        <v>689792087</v>
      </c>
      <c r="H2056">
        <v>1168130749</v>
      </c>
      <c r="I2056">
        <v>1030368200</v>
      </c>
      <c r="J2056">
        <v>637653577</v>
      </c>
      <c r="P2056">
        <v>324</v>
      </c>
      <c r="Q2056" t="s">
        <v>4436</v>
      </c>
    </row>
    <row r="2057" spans="1:17" x14ac:dyDescent="0.3">
      <c r="A2057" t="s">
        <v>75</v>
      </c>
      <c r="B2057" t="str">
        <f>"000070"</f>
        <v>000070</v>
      </c>
      <c r="C2057" t="s">
        <v>4437</v>
      </c>
      <c r="D2057" t="s">
        <v>549</v>
      </c>
      <c r="E2057">
        <v>530876796</v>
      </c>
      <c r="F2057">
        <v>654816905</v>
      </c>
      <c r="G2057">
        <v>752668178</v>
      </c>
      <c r="H2057">
        <v>1348738354</v>
      </c>
      <c r="I2057">
        <v>947492309</v>
      </c>
      <c r="J2057">
        <v>827705597</v>
      </c>
      <c r="K2057">
        <v>864029357</v>
      </c>
      <c r="L2057">
        <v>477337550</v>
      </c>
      <c r="M2057">
        <v>347533961</v>
      </c>
      <c r="N2057">
        <v>317326876</v>
      </c>
      <c r="O2057">
        <v>271034344</v>
      </c>
      <c r="P2057">
        <v>334</v>
      </c>
      <c r="Q2057" t="s">
        <v>4438</v>
      </c>
    </row>
    <row r="2058" spans="1:17" x14ac:dyDescent="0.3">
      <c r="A2058" t="s">
        <v>75</v>
      </c>
      <c r="B2058" t="str">
        <f>"300569"</f>
        <v>300569</v>
      </c>
      <c r="C2058" t="s">
        <v>4439</v>
      </c>
      <c r="D2058" t="s">
        <v>1398</v>
      </c>
      <c r="E2058">
        <v>530702490</v>
      </c>
      <c r="F2058">
        <v>560302585</v>
      </c>
      <c r="G2058">
        <v>463565635</v>
      </c>
      <c r="H2058">
        <v>458324319</v>
      </c>
      <c r="I2058">
        <v>92738548</v>
      </c>
      <c r="J2058">
        <v>154402163</v>
      </c>
      <c r="K2058">
        <v>115887345</v>
      </c>
      <c r="P2058">
        <v>201</v>
      </c>
      <c r="Q2058" t="s">
        <v>4440</v>
      </c>
    </row>
    <row r="2059" spans="1:17" x14ac:dyDescent="0.3">
      <c r="A2059" t="s">
        <v>75</v>
      </c>
      <c r="B2059" t="str">
        <f>"002550"</f>
        <v>002550</v>
      </c>
      <c r="C2059" t="s">
        <v>4441</v>
      </c>
      <c r="D2059" t="s">
        <v>543</v>
      </c>
      <c r="E2059">
        <v>530458413</v>
      </c>
      <c r="F2059">
        <v>454057700</v>
      </c>
      <c r="G2059">
        <v>340359449</v>
      </c>
      <c r="H2059">
        <v>426178928</v>
      </c>
      <c r="I2059">
        <v>299644479</v>
      </c>
      <c r="J2059">
        <v>272533299</v>
      </c>
      <c r="K2059">
        <v>250776777</v>
      </c>
      <c r="L2059">
        <v>221305778</v>
      </c>
      <c r="M2059">
        <v>187192263</v>
      </c>
      <c r="N2059">
        <v>245681640</v>
      </c>
      <c r="O2059">
        <v>179324100</v>
      </c>
      <c r="P2059">
        <v>172</v>
      </c>
      <c r="Q2059" t="s">
        <v>4442</v>
      </c>
    </row>
    <row r="2060" spans="1:17" x14ac:dyDescent="0.3">
      <c r="A2060" t="s">
        <v>17</v>
      </c>
      <c r="B2060" t="str">
        <f>"600173"</f>
        <v>600173</v>
      </c>
      <c r="C2060" t="s">
        <v>4443</v>
      </c>
      <c r="D2060" t="s">
        <v>65</v>
      </c>
      <c r="E2060">
        <v>530322041</v>
      </c>
      <c r="F2060">
        <v>543079255</v>
      </c>
      <c r="G2060">
        <v>351274087</v>
      </c>
      <c r="H2060">
        <v>840227015</v>
      </c>
      <c r="I2060">
        <v>565703860</v>
      </c>
      <c r="J2060">
        <v>426299931</v>
      </c>
      <c r="K2060">
        <v>464230174</v>
      </c>
      <c r="L2060">
        <v>349463680</v>
      </c>
      <c r="M2060">
        <v>369477289</v>
      </c>
      <c r="N2060">
        <v>219412622</v>
      </c>
      <c r="O2060">
        <v>100865144</v>
      </c>
      <c r="P2060">
        <v>302</v>
      </c>
      <c r="Q2060" t="s">
        <v>4444</v>
      </c>
    </row>
    <row r="2061" spans="1:17" x14ac:dyDescent="0.3">
      <c r="A2061" t="s">
        <v>75</v>
      </c>
      <c r="B2061" t="str">
        <f>"002369"</f>
        <v>002369</v>
      </c>
      <c r="C2061" t="s">
        <v>4445</v>
      </c>
      <c r="D2061" t="s">
        <v>55</v>
      </c>
      <c r="E2061">
        <v>530020452</v>
      </c>
      <c r="F2061">
        <v>680993113</v>
      </c>
      <c r="G2061">
        <v>1075440396</v>
      </c>
      <c r="H2061">
        <v>944069254</v>
      </c>
      <c r="I2061">
        <v>955060017</v>
      </c>
      <c r="J2061">
        <v>714081535</v>
      </c>
      <c r="K2061">
        <v>720452740</v>
      </c>
      <c r="L2061">
        <v>842762793</v>
      </c>
      <c r="M2061">
        <v>444341456</v>
      </c>
      <c r="N2061">
        <v>300637038</v>
      </c>
      <c r="O2061">
        <v>474239158</v>
      </c>
      <c r="P2061">
        <v>179</v>
      </c>
      <c r="Q2061" t="s">
        <v>4446</v>
      </c>
    </row>
    <row r="2062" spans="1:17" x14ac:dyDescent="0.3">
      <c r="A2062" t="s">
        <v>17</v>
      </c>
      <c r="B2062" t="str">
        <f>"600796"</f>
        <v>600796</v>
      </c>
      <c r="C2062" t="s">
        <v>4447</v>
      </c>
      <c r="D2062" t="s">
        <v>811</v>
      </c>
      <c r="E2062">
        <v>529403056</v>
      </c>
      <c r="F2062">
        <v>124194451</v>
      </c>
      <c r="G2062">
        <v>78100930</v>
      </c>
      <c r="H2062">
        <v>89859533</v>
      </c>
      <c r="I2062">
        <v>114074854</v>
      </c>
      <c r="J2062">
        <v>118242297</v>
      </c>
      <c r="K2062">
        <v>115841317</v>
      </c>
      <c r="L2062">
        <v>115247228</v>
      </c>
      <c r="M2062">
        <v>84792179</v>
      </c>
      <c r="N2062">
        <v>145445096</v>
      </c>
      <c r="O2062">
        <v>130109960</v>
      </c>
      <c r="P2062">
        <v>74</v>
      </c>
      <c r="Q2062" t="s">
        <v>4448</v>
      </c>
    </row>
    <row r="2063" spans="1:17" x14ac:dyDescent="0.3">
      <c r="A2063" t="s">
        <v>75</v>
      </c>
      <c r="B2063" t="str">
        <f>"000540"</f>
        <v>000540</v>
      </c>
      <c r="C2063" t="s">
        <v>4449</v>
      </c>
      <c r="D2063" t="s">
        <v>65</v>
      </c>
      <c r="E2063">
        <v>529003815</v>
      </c>
      <c r="F2063">
        <v>2167107305</v>
      </c>
      <c r="G2063">
        <v>740421462</v>
      </c>
      <c r="H2063">
        <v>2400100956</v>
      </c>
      <c r="I2063">
        <v>5968544876</v>
      </c>
      <c r="J2063">
        <v>3377497427</v>
      </c>
      <c r="K2063">
        <v>3350902130</v>
      </c>
      <c r="L2063">
        <v>2249672602</v>
      </c>
      <c r="M2063">
        <v>2367446525</v>
      </c>
      <c r="N2063">
        <v>1754549484</v>
      </c>
      <c r="O2063">
        <v>881786616</v>
      </c>
      <c r="P2063">
        <v>5239</v>
      </c>
      <c r="Q2063" t="s">
        <v>4450</v>
      </c>
    </row>
    <row r="2064" spans="1:17" x14ac:dyDescent="0.3">
      <c r="A2064" t="s">
        <v>17</v>
      </c>
      <c r="B2064" t="str">
        <f>"600059"</f>
        <v>600059</v>
      </c>
      <c r="C2064" t="s">
        <v>4451</v>
      </c>
      <c r="D2064" t="s">
        <v>2575</v>
      </c>
      <c r="E2064">
        <v>528654215</v>
      </c>
      <c r="F2064">
        <v>478412012</v>
      </c>
      <c r="G2064">
        <v>295633194</v>
      </c>
      <c r="H2064">
        <v>555708744</v>
      </c>
      <c r="I2064">
        <v>584111415</v>
      </c>
      <c r="J2064">
        <v>509117735</v>
      </c>
      <c r="K2064">
        <v>466769302</v>
      </c>
      <c r="L2064">
        <v>434834628</v>
      </c>
      <c r="M2064">
        <v>472755627</v>
      </c>
      <c r="N2064">
        <v>526894767</v>
      </c>
      <c r="O2064">
        <v>466328797</v>
      </c>
      <c r="P2064">
        <v>323</v>
      </c>
      <c r="Q2064" t="s">
        <v>4452</v>
      </c>
    </row>
    <row r="2065" spans="1:17" x14ac:dyDescent="0.3">
      <c r="A2065" t="s">
        <v>17</v>
      </c>
      <c r="B2065" t="str">
        <f>"603112"</f>
        <v>603112</v>
      </c>
      <c r="C2065" t="s">
        <v>4453</v>
      </c>
      <c r="D2065" t="s">
        <v>1063</v>
      </c>
      <c r="E2065">
        <v>528537481</v>
      </c>
      <c r="F2065">
        <v>498567406</v>
      </c>
      <c r="G2065">
        <v>386666707</v>
      </c>
      <c r="P2065">
        <v>48</v>
      </c>
      <c r="Q2065" t="s">
        <v>4454</v>
      </c>
    </row>
    <row r="2066" spans="1:17" x14ac:dyDescent="0.3">
      <c r="A2066" t="s">
        <v>75</v>
      </c>
      <c r="B2066" t="str">
        <f>"002057"</f>
        <v>002057</v>
      </c>
      <c r="C2066" t="s">
        <v>4455</v>
      </c>
      <c r="D2066" t="s">
        <v>1096</v>
      </c>
      <c r="E2066">
        <v>528375757</v>
      </c>
      <c r="F2066">
        <v>332034886</v>
      </c>
      <c r="G2066">
        <v>176423177</v>
      </c>
      <c r="H2066">
        <v>159058771</v>
      </c>
      <c r="I2066">
        <v>165646899</v>
      </c>
      <c r="J2066">
        <v>41603713</v>
      </c>
      <c r="K2066">
        <v>58624336</v>
      </c>
      <c r="L2066">
        <v>73668326</v>
      </c>
      <c r="M2066">
        <v>57943667</v>
      </c>
      <c r="N2066">
        <v>68060261</v>
      </c>
      <c r="O2066">
        <v>65727436</v>
      </c>
      <c r="P2066">
        <v>126</v>
      </c>
      <c r="Q2066" t="s">
        <v>4456</v>
      </c>
    </row>
    <row r="2067" spans="1:17" x14ac:dyDescent="0.3">
      <c r="A2067" t="s">
        <v>75</v>
      </c>
      <c r="B2067" t="str">
        <f>"002978"</f>
        <v>002978</v>
      </c>
      <c r="C2067" t="s">
        <v>4457</v>
      </c>
      <c r="D2067" t="s">
        <v>364</v>
      </c>
      <c r="E2067">
        <v>528180613</v>
      </c>
      <c r="F2067">
        <v>335095806</v>
      </c>
      <c r="G2067">
        <v>407615162</v>
      </c>
      <c r="P2067">
        <v>229</v>
      </c>
      <c r="Q2067" t="s">
        <v>4458</v>
      </c>
    </row>
    <row r="2068" spans="1:17" x14ac:dyDescent="0.3">
      <c r="A2068" t="s">
        <v>17</v>
      </c>
      <c r="B2068" t="str">
        <f>"605296"</f>
        <v>605296</v>
      </c>
      <c r="C2068" t="s">
        <v>4459</v>
      </c>
      <c r="D2068" t="s">
        <v>218</v>
      </c>
      <c r="E2068">
        <v>527097049</v>
      </c>
      <c r="F2068">
        <v>815214854</v>
      </c>
      <c r="G2068">
        <v>593126458</v>
      </c>
      <c r="P2068">
        <v>59</v>
      </c>
      <c r="Q2068" t="s">
        <v>4460</v>
      </c>
    </row>
    <row r="2069" spans="1:17" x14ac:dyDescent="0.3">
      <c r="A2069" t="s">
        <v>75</v>
      </c>
      <c r="B2069" t="str">
        <f>"300751"</f>
        <v>300751</v>
      </c>
      <c r="C2069" t="s">
        <v>4461</v>
      </c>
      <c r="D2069" t="s">
        <v>2212</v>
      </c>
      <c r="E2069">
        <v>526725424</v>
      </c>
      <c r="F2069">
        <v>457907610</v>
      </c>
      <c r="G2069">
        <v>180347266</v>
      </c>
      <c r="H2069">
        <v>223753748</v>
      </c>
      <c r="I2069">
        <v>93574816</v>
      </c>
      <c r="P2069">
        <v>627</v>
      </c>
      <c r="Q2069" t="s">
        <v>4462</v>
      </c>
    </row>
    <row r="2070" spans="1:17" x14ac:dyDescent="0.3">
      <c r="A2070" t="s">
        <v>17</v>
      </c>
      <c r="B2070" t="str">
        <f>"600152"</f>
        <v>600152</v>
      </c>
      <c r="C2070" t="s">
        <v>4463</v>
      </c>
      <c r="D2070" t="s">
        <v>131</v>
      </c>
      <c r="E2070">
        <v>526576017</v>
      </c>
      <c r="F2070">
        <v>527101880</v>
      </c>
      <c r="G2070">
        <v>244949574</v>
      </c>
      <c r="H2070">
        <v>234230451</v>
      </c>
      <c r="I2070">
        <v>494922624</v>
      </c>
      <c r="J2070">
        <v>106792360</v>
      </c>
      <c r="K2070">
        <v>130225201</v>
      </c>
      <c r="L2070">
        <v>197117270</v>
      </c>
      <c r="M2070">
        <v>453857376</v>
      </c>
      <c r="N2070">
        <v>579005545</v>
      </c>
      <c r="O2070">
        <v>788962572</v>
      </c>
      <c r="P2070">
        <v>147</v>
      </c>
      <c r="Q2070" t="s">
        <v>4464</v>
      </c>
    </row>
    <row r="2071" spans="1:17" x14ac:dyDescent="0.3">
      <c r="A2071" t="s">
        <v>17</v>
      </c>
      <c r="B2071" t="str">
        <f>"603380"</f>
        <v>603380</v>
      </c>
      <c r="C2071" t="s">
        <v>4465</v>
      </c>
      <c r="D2071" t="s">
        <v>55</v>
      </c>
      <c r="E2071">
        <v>526357553</v>
      </c>
      <c r="F2071">
        <v>388962895</v>
      </c>
      <c r="G2071">
        <v>317030456</v>
      </c>
      <c r="H2071">
        <v>280860408</v>
      </c>
      <c r="I2071">
        <v>270741291</v>
      </c>
      <c r="J2071">
        <v>229289773</v>
      </c>
      <c r="P2071">
        <v>209</v>
      </c>
      <c r="Q2071" t="s">
        <v>4466</v>
      </c>
    </row>
    <row r="2072" spans="1:17" x14ac:dyDescent="0.3">
      <c r="A2072" t="s">
        <v>75</v>
      </c>
      <c r="B2072" t="str">
        <f>"300230"</f>
        <v>300230</v>
      </c>
      <c r="C2072" t="s">
        <v>4467</v>
      </c>
      <c r="D2072" t="s">
        <v>3251</v>
      </c>
      <c r="E2072">
        <v>526282843</v>
      </c>
      <c r="F2072">
        <v>815722716</v>
      </c>
      <c r="G2072">
        <v>693148672</v>
      </c>
      <c r="H2072">
        <v>759978430</v>
      </c>
      <c r="I2072">
        <v>704604245</v>
      </c>
      <c r="J2072">
        <v>778787055</v>
      </c>
      <c r="K2072">
        <v>324929547</v>
      </c>
      <c r="L2072">
        <v>82240333</v>
      </c>
      <c r="M2072">
        <v>82158871</v>
      </c>
      <c r="N2072">
        <v>64123303</v>
      </c>
      <c r="O2072">
        <v>58414884</v>
      </c>
      <c r="P2072">
        <v>169</v>
      </c>
      <c r="Q2072" t="s">
        <v>4468</v>
      </c>
    </row>
    <row r="2073" spans="1:17" x14ac:dyDescent="0.3">
      <c r="A2073" t="s">
        <v>75</v>
      </c>
      <c r="B2073" t="str">
        <f>"002254"</f>
        <v>002254</v>
      </c>
      <c r="C2073" t="s">
        <v>4469</v>
      </c>
      <c r="D2073" t="s">
        <v>821</v>
      </c>
      <c r="E2073">
        <v>525442052</v>
      </c>
      <c r="F2073">
        <v>493673906</v>
      </c>
      <c r="G2073">
        <v>314591067</v>
      </c>
      <c r="H2073">
        <v>387060837</v>
      </c>
      <c r="I2073">
        <v>321912394</v>
      </c>
      <c r="J2073">
        <v>290197159</v>
      </c>
      <c r="K2073">
        <v>278447125</v>
      </c>
      <c r="L2073">
        <v>266539610</v>
      </c>
      <c r="M2073">
        <v>392391137</v>
      </c>
      <c r="N2073">
        <v>267367220</v>
      </c>
      <c r="O2073">
        <v>270192482</v>
      </c>
      <c r="P2073">
        <v>215</v>
      </c>
      <c r="Q2073" t="s">
        <v>4470</v>
      </c>
    </row>
    <row r="2074" spans="1:17" x14ac:dyDescent="0.3">
      <c r="A2074" t="s">
        <v>75</v>
      </c>
      <c r="B2074" t="str">
        <f>"000636"</f>
        <v>000636</v>
      </c>
      <c r="C2074" t="s">
        <v>4471</v>
      </c>
      <c r="D2074" t="s">
        <v>2109</v>
      </c>
      <c r="E2074">
        <v>525406751</v>
      </c>
      <c r="F2074">
        <v>979981583</v>
      </c>
      <c r="G2074">
        <v>655470456</v>
      </c>
      <c r="H2074">
        <v>917611296</v>
      </c>
      <c r="I2074">
        <v>795515047</v>
      </c>
      <c r="J2074">
        <v>500757342</v>
      </c>
      <c r="K2074">
        <v>488564814</v>
      </c>
      <c r="L2074">
        <v>270893517</v>
      </c>
      <c r="M2074">
        <v>379430146</v>
      </c>
      <c r="N2074">
        <v>347755883</v>
      </c>
      <c r="O2074">
        <v>361303509</v>
      </c>
      <c r="P2074">
        <v>896</v>
      </c>
      <c r="Q2074" t="s">
        <v>4472</v>
      </c>
    </row>
    <row r="2075" spans="1:17" x14ac:dyDescent="0.3">
      <c r="A2075" t="s">
        <v>17</v>
      </c>
      <c r="B2075" t="str">
        <f>"600731"</f>
        <v>600731</v>
      </c>
      <c r="C2075" t="s">
        <v>4473</v>
      </c>
      <c r="D2075" t="s">
        <v>811</v>
      </c>
      <c r="E2075">
        <v>524454203</v>
      </c>
      <c r="F2075">
        <v>444135167</v>
      </c>
      <c r="G2075">
        <v>474241108</v>
      </c>
      <c r="H2075">
        <v>424929189</v>
      </c>
      <c r="I2075">
        <v>294183526</v>
      </c>
      <c r="J2075">
        <v>330190404</v>
      </c>
      <c r="K2075">
        <v>315079880</v>
      </c>
      <c r="L2075">
        <v>313012456</v>
      </c>
      <c r="M2075">
        <v>306286897</v>
      </c>
      <c r="N2075">
        <v>267217094</v>
      </c>
      <c r="O2075">
        <v>299944128</v>
      </c>
      <c r="P2075">
        <v>244</v>
      </c>
      <c r="Q2075" t="s">
        <v>4474</v>
      </c>
    </row>
    <row r="2076" spans="1:17" x14ac:dyDescent="0.3">
      <c r="A2076" t="s">
        <v>17</v>
      </c>
      <c r="B2076" t="str">
        <f>"603387"</f>
        <v>603387</v>
      </c>
      <c r="C2076" t="s">
        <v>4475</v>
      </c>
      <c r="D2076" t="s">
        <v>967</v>
      </c>
      <c r="E2076">
        <v>524453626</v>
      </c>
      <c r="F2076">
        <v>314730593</v>
      </c>
      <c r="G2076">
        <v>158892318</v>
      </c>
      <c r="H2076">
        <v>188643147</v>
      </c>
      <c r="I2076">
        <v>159002524</v>
      </c>
      <c r="J2076">
        <v>99649645</v>
      </c>
      <c r="K2076">
        <v>0</v>
      </c>
      <c r="P2076">
        <v>1500</v>
      </c>
      <c r="Q2076" t="s">
        <v>4476</v>
      </c>
    </row>
    <row r="2077" spans="1:17" x14ac:dyDescent="0.3">
      <c r="A2077" t="s">
        <v>17</v>
      </c>
      <c r="B2077" t="str">
        <f>"603050"</f>
        <v>603050</v>
      </c>
      <c r="C2077" t="s">
        <v>4477</v>
      </c>
      <c r="D2077" t="s">
        <v>682</v>
      </c>
      <c r="E2077">
        <v>524449392</v>
      </c>
      <c r="F2077">
        <v>328992461</v>
      </c>
      <c r="G2077">
        <v>216408370</v>
      </c>
      <c r="H2077">
        <v>240331373</v>
      </c>
      <c r="I2077">
        <v>211639590</v>
      </c>
      <c r="J2077">
        <v>165029192</v>
      </c>
      <c r="K2077">
        <v>168778151</v>
      </c>
      <c r="P2077">
        <v>124</v>
      </c>
      <c r="Q2077" t="s">
        <v>4478</v>
      </c>
    </row>
    <row r="2078" spans="1:17" x14ac:dyDescent="0.3">
      <c r="A2078" t="s">
        <v>17</v>
      </c>
      <c r="B2078" t="str">
        <f>"603712"</f>
        <v>603712</v>
      </c>
      <c r="C2078" t="s">
        <v>4479</v>
      </c>
      <c r="D2078" t="s">
        <v>1572</v>
      </c>
      <c r="E2078">
        <v>524257876</v>
      </c>
      <c r="F2078">
        <v>1088218177</v>
      </c>
      <c r="G2078">
        <v>615956523</v>
      </c>
      <c r="H2078">
        <v>513875231</v>
      </c>
      <c r="I2078">
        <v>393766007</v>
      </c>
      <c r="J2078">
        <v>203041835</v>
      </c>
      <c r="P2078">
        <v>325</v>
      </c>
      <c r="Q2078" t="s">
        <v>4480</v>
      </c>
    </row>
    <row r="2079" spans="1:17" x14ac:dyDescent="0.3">
      <c r="A2079" t="s">
        <v>17</v>
      </c>
      <c r="B2079" t="str">
        <f>"688306"</f>
        <v>688306</v>
      </c>
      <c r="C2079" t="s">
        <v>4481</v>
      </c>
      <c r="E2079">
        <v>523799355</v>
      </c>
      <c r="P2079">
        <v>3</v>
      </c>
      <c r="Q2079" t="s">
        <v>4482</v>
      </c>
    </row>
    <row r="2080" spans="1:17" x14ac:dyDescent="0.3">
      <c r="A2080" t="s">
        <v>17</v>
      </c>
      <c r="B2080" t="str">
        <f>"688087"</f>
        <v>688087</v>
      </c>
      <c r="C2080" t="s">
        <v>4483</v>
      </c>
      <c r="D2080" t="s">
        <v>3251</v>
      </c>
      <c r="E2080">
        <v>523407104</v>
      </c>
      <c r="F2080">
        <v>469500773</v>
      </c>
      <c r="G2080">
        <v>241746131</v>
      </c>
      <c r="P2080">
        <v>36</v>
      </c>
      <c r="Q2080" t="s">
        <v>4484</v>
      </c>
    </row>
    <row r="2081" spans="1:17" x14ac:dyDescent="0.3">
      <c r="A2081" t="s">
        <v>17</v>
      </c>
      <c r="B2081" t="str">
        <f>"600996"</f>
        <v>600996</v>
      </c>
      <c r="C2081" t="s">
        <v>4485</v>
      </c>
      <c r="D2081" t="s">
        <v>1991</v>
      </c>
      <c r="E2081">
        <v>523406012</v>
      </c>
      <c r="F2081">
        <v>514185760</v>
      </c>
      <c r="G2081">
        <v>516663749</v>
      </c>
      <c r="H2081">
        <v>504114146</v>
      </c>
      <c r="I2081">
        <v>512715520</v>
      </c>
      <c r="J2081">
        <v>449796774</v>
      </c>
      <c r="K2081">
        <v>575245438</v>
      </c>
      <c r="P2081">
        <v>244</v>
      </c>
      <c r="Q2081" t="s">
        <v>4486</v>
      </c>
    </row>
    <row r="2082" spans="1:17" x14ac:dyDescent="0.3">
      <c r="A2082" t="s">
        <v>75</v>
      </c>
      <c r="B2082" t="str">
        <f>"300237"</f>
        <v>300237</v>
      </c>
      <c r="C2082" t="s">
        <v>4487</v>
      </c>
      <c r="D2082" t="s">
        <v>1523</v>
      </c>
      <c r="E2082">
        <v>523290170</v>
      </c>
      <c r="F2082">
        <v>553031715</v>
      </c>
      <c r="G2082">
        <v>346025573</v>
      </c>
      <c r="H2082">
        <v>715220337</v>
      </c>
      <c r="I2082">
        <v>624174007</v>
      </c>
      <c r="J2082">
        <v>698208379</v>
      </c>
      <c r="K2082">
        <v>661060710</v>
      </c>
      <c r="L2082">
        <v>455912788</v>
      </c>
      <c r="M2082">
        <v>130408488</v>
      </c>
      <c r="N2082">
        <v>107808662</v>
      </c>
      <c r="O2082">
        <v>77609634</v>
      </c>
      <c r="P2082">
        <v>315</v>
      </c>
      <c r="Q2082" t="s">
        <v>4488</v>
      </c>
    </row>
    <row r="2083" spans="1:17" x14ac:dyDescent="0.3">
      <c r="A2083" t="s">
        <v>75</v>
      </c>
      <c r="B2083" t="str">
        <f>"000526"</f>
        <v>000526</v>
      </c>
      <c r="C2083" t="s">
        <v>4489</v>
      </c>
      <c r="D2083" t="s">
        <v>1739</v>
      </c>
      <c r="E2083">
        <v>523240953</v>
      </c>
      <c r="F2083">
        <v>900766673</v>
      </c>
      <c r="G2083">
        <v>630661936</v>
      </c>
      <c r="H2083">
        <v>1003570827</v>
      </c>
      <c r="I2083">
        <v>973822278</v>
      </c>
      <c r="J2083">
        <v>951346746</v>
      </c>
      <c r="K2083">
        <v>3387696</v>
      </c>
      <c r="L2083">
        <v>4954883</v>
      </c>
      <c r="M2083">
        <v>2533397</v>
      </c>
      <c r="N2083">
        <v>122373</v>
      </c>
      <c r="O2083">
        <v>56773</v>
      </c>
      <c r="P2083">
        <v>201</v>
      </c>
      <c r="Q2083" t="s">
        <v>4490</v>
      </c>
    </row>
    <row r="2084" spans="1:17" x14ac:dyDescent="0.3">
      <c r="A2084" t="s">
        <v>75</v>
      </c>
      <c r="B2084" t="str">
        <f>"300422"</f>
        <v>300422</v>
      </c>
      <c r="C2084" t="s">
        <v>4491</v>
      </c>
      <c r="D2084" t="s">
        <v>1107</v>
      </c>
      <c r="E2084">
        <v>522776165</v>
      </c>
      <c r="F2084">
        <v>491052352</v>
      </c>
      <c r="G2084">
        <v>414134545</v>
      </c>
      <c r="H2084">
        <v>449480481</v>
      </c>
      <c r="I2084">
        <v>264623028</v>
      </c>
      <c r="J2084">
        <v>88208150</v>
      </c>
      <c r="K2084">
        <v>95768657</v>
      </c>
      <c r="L2084">
        <v>58483682</v>
      </c>
      <c r="M2084">
        <v>30884529</v>
      </c>
      <c r="P2084">
        <v>331</v>
      </c>
      <c r="Q2084" t="s">
        <v>4492</v>
      </c>
    </row>
    <row r="2085" spans="1:17" x14ac:dyDescent="0.3">
      <c r="A2085" t="s">
        <v>17</v>
      </c>
      <c r="B2085" t="str">
        <f>"603458"</f>
        <v>603458</v>
      </c>
      <c r="C2085" t="s">
        <v>4493</v>
      </c>
      <c r="D2085" t="s">
        <v>2118</v>
      </c>
      <c r="E2085">
        <v>521983013</v>
      </c>
      <c r="F2085">
        <v>605601011</v>
      </c>
      <c r="G2085">
        <v>471495334</v>
      </c>
      <c r="H2085">
        <v>435248357</v>
      </c>
      <c r="I2085">
        <v>627351829</v>
      </c>
      <c r="J2085">
        <v>0</v>
      </c>
      <c r="K2085">
        <v>0</v>
      </c>
      <c r="P2085">
        <v>474</v>
      </c>
      <c r="Q2085" t="s">
        <v>4494</v>
      </c>
    </row>
    <row r="2086" spans="1:17" x14ac:dyDescent="0.3">
      <c r="A2086" t="s">
        <v>75</v>
      </c>
      <c r="B2086" t="str">
        <f>"002833"</f>
        <v>002833</v>
      </c>
      <c r="C2086" t="s">
        <v>4495</v>
      </c>
      <c r="D2086" t="s">
        <v>1624</v>
      </c>
      <c r="E2086">
        <v>521566422</v>
      </c>
      <c r="F2086">
        <v>533855865</v>
      </c>
      <c r="G2086">
        <v>291581126</v>
      </c>
      <c r="H2086">
        <v>315663475</v>
      </c>
      <c r="I2086">
        <v>258326408</v>
      </c>
      <c r="J2086">
        <v>197440713</v>
      </c>
      <c r="K2086">
        <v>118752740</v>
      </c>
      <c r="P2086">
        <v>2869</v>
      </c>
      <c r="Q2086" t="s">
        <v>4496</v>
      </c>
    </row>
    <row r="2087" spans="1:17" x14ac:dyDescent="0.3">
      <c r="A2087" t="s">
        <v>17</v>
      </c>
      <c r="B2087" t="str">
        <f>"600292"</f>
        <v>600292</v>
      </c>
      <c r="C2087" t="s">
        <v>4497</v>
      </c>
      <c r="D2087" t="s">
        <v>2317</v>
      </c>
      <c r="E2087">
        <v>520905397</v>
      </c>
      <c r="F2087">
        <v>624685997</v>
      </c>
      <c r="G2087">
        <v>356470934</v>
      </c>
      <c r="H2087">
        <v>522848112</v>
      </c>
      <c r="I2087">
        <v>353884376</v>
      </c>
      <c r="J2087">
        <v>417098066</v>
      </c>
      <c r="K2087">
        <v>519168850</v>
      </c>
      <c r="L2087">
        <v>670711468</v>
      </c>
      <c r="M2087">
        <v>504415824</v>
      </c>
      <c r="N2087">
        <v>402957902</v>
      </c>
      <c r="O2087">
        <v>1043519490</v>
      </c>
      <c r="P2087">
        <v>144</v>
      </c>
      <c r="Q2087" t="s">
        <v>4498</v>
      </c>
    </row>
    <row r="2088" spans="1:17" x14ac:dyDescent="0.3">
      <c r="A2088" t="s">
        <v>17</v>
      </c>
      <c r="B2088" t="str">
        <f>"603822"</f>
        <v>603822</v>
      </c>
      <c r="C2088" t="s">
        <v>4499</v>
      </c>
      <c r="D2088" t="s">
        <v>292</v>
      </c>
      <c r="E2088">
        <v>520562699</v>
      </c>
      <c r="F2088">
        <v>291933050</v>
      </c>
      <c r="G2088">
        <v>292452427</v>
      </c>
      <c r="H2088">
        <v>159009688</v>
      </c>
      <c r="I2088">
        <v>181861093</v>
      </c>
      <c r="J2088">
        <v>167952749</v>
      </c>
      <c r="K2088">
        <v>57520422</v>
      </c>
      <c r="L2088">
        <v>81922601</v>
      </c>
      <c r="P2088">
        <v>124</v>
      </c>
      <c r="Q2088" t="s">
        <v>4500</v>
      </c>
    </row>
    <row r="2089" spans="1:17" x14ac:dyDescent="0.3">
      <c r="A2089" t="s">
        <v>75</v>
      </c>
      <c r="B2089" t="str">
        <f>"301018"</f>
        <v>301018</v>
      </c>
      <c r="C2089" t="s">
        <v>4501</v>
      </c>
      <c r="D2089" t="s">
        <v>2626</v>
      </c>
      <c r="E2089">
        <v>520410957</v>
      </c>
      <c r="F2089">
        <v>419028207</v>
      </c>
      <c r="G2089">
        <v>306828794</v>
      </c>
      <c r="P2089">
        <v>37</v>
      </c>
      <c r="Q2089" t="s">
        <v>4502</v>
      </c>
    </row>
    <row r="2090" spans="1:17" x14ac:dyDescent="0.3">
      <c r="A2090" t="s">
        <v>75</v>
      </c>
      <c r="B2090" t="str">
        <f>"002377"</f>
        <v>002377</v>
      </c>
      <c r="C2090" t="s">
        <v>4503</v>
      </c>
      <c r="D2090" t="s">
        <v>1211</v>
      </c>
      <c r="E2090">
        <v>520022179</v>
      </c>
      <c r="F2090">
        <v>1052154939</v>
      </c>
      <c r="G2090">
        <v>721477281</v>
      </c>
      <c r="H2090">
        <v>1046266930</v>
      </c>
      <c r="I2090">
        <v>1132471253</v>
      </c>
      <c r="J2090">
        <v>141436779</v>
      </c>
      <c r="K2090">
        <v>256168727</v>
      </c>
      <c r="L2090">
        <v>461005356</v>
      </c>
      <c r="M2090">
        <v>223657237</v>
      </c>
      <c r="N2090">
        <v>183673102</v>
      </c>
      <c r="O2090">
        <v>179156455</v>
      </c>
      <c r="P2090">
        <v>95</v>
      </c>
      <c r="Q2090" t="s">
        <v>4504</v>
      </c>
    </row>
    <row r="2091" spans="1:17" x14ac:dyDescent="0.3">
      <c r="A2091" t="s">
        <v>17</v>
      </c>
      <c r="B2091" t="str">
        <f>"605117"</f>
        <v>605117</v>
      </c>
      <c r="C2091" t="s">
        <v>4505</v>
      </c>
      <c r="D2091" t="s">
        <v>1063</v>
      </c>
      <c r="E2091">
        <v>519719410</v>
      </c>
      <c r="F2091">
        <v>438593051</v>
      </c>
      <c r="G2091">
        <v>270041754</v>
      </c>
      <c r="P2091">
        <v>141</v>
      </c>
      <c r="Q2091" t="s">
        <v>4506</v>
      </c>
    </row>
    <row r="2092" spans="1:17" x14ac:dyDescent="0.3">
      <c r="A2092" t="s">
        <v>75</v>
      </c>
      <c r="B2092" t="str">
        <f>"300322"</f>
        <v>300322</v>
      </c>
      <c r="C2092" t="s">
        <v>4507</v>
      </c>
      <c r="D2092" t="s">
        <v>55</v>
      </c>
      <c r="E2092">
        <v>519179457</v>
      </c>
      <c r="F2092">
        <v>530527118</v>
      </c>
      <c r="G2092">
        <v>533382918</v>
      </c>
      <c r="H2092">
        <v>399549128</v>
      </c>
      <c r="I2092">
        <v>587381262</v>
      </c>
      <c r="J2092">
        <v>376843046</v>
      </c>
      <c r="K2092">
        <v>500234055</v>
      </c>
      <c r="L2092">
        <v>309987890</v>
      </c>
      <c r="M2092">
        <v>196817773</v>
      </c>
      <c r="N2092">
        <v>94954050</v>
      </c>
      <c r="O2092">
        <v>53141089</v>
      </c>
      <c r="P2092">
        <v>387</v>
      </c>
      <c r="Q2092" t="s">
        <v>4508</v>
      </c>
    </row>
    <row r="2093" spans="1:17" x14ac:dyDescent="0.3">
      <c r="A2093" t="s">
        <v>75</v>
      </c>
      <c r="B2093" t="str">
        <f>"301200"</f>
        <v>301200</v>
      </c>
      <c r="C2093" t="s">
        <v>4509</v>
      </c>
      <c r="E2093">
        <v>518972258</v>
      </c>
      <c r="P2093">
        <v>13</v>
      </c>
      <c r="Q2093" t="s">
        <v>4510</v>
      </c>
    </row>
    <row r="2094" spans="1:17" x14ac:dyDescent="0.3">
      <c r="A2094" t="s">
        <v>17</v>
      </c>
      <c r="B2094" t="str">
        <f>"688077"</f>
        <v>688077</v>
      </c>
      <c r="C2094" t="s">
        <v>4511</v>
      </c>
      <c r="D2094" t="s">
        <v>1096</v>
      </c>
      <c r="E2094">
        <v>518937722</v>
      </c>
      <c r="F2094">
        <v>212858101</v>
      </c>
      <c r="G2094">
        <v>150602870</v>
      </c>
      <c r="H2094">
        <v>112465011</v>
      </c>
      <c r="P2094">
        <v>78</v>
      </c>
      <c r="Q2094" t="s">
        <v>4512</v>
      </c>
    </row>
    <row r="2095" spans="1:17" x14ac:dyDescent="0.3">
      <c r="A2095" t="s">
        <v>75</v>
      </c>
      <c r="B2095" t="str">
        <f>"300253"</f>
        <v>300253</v>
      </c>
      <c r="C2095" t="s">
        <v>4513</v>
      </c>
      <c r="D2095" t="s">
        <v>116</v>
      </c>
      <c r="E2095">
        <v>518176182</v>
      </c>
      <c r="F2095">
        <v>378858965</v>
      </c>
      <c r="G2095">
        <v>220235614</v>
      </c>
      <c r="H2095">
        <v>204476237</v>
      </c>
      <c r="I2095">
        <v>180500594</v>
      </c>
      <c r="J2095">
        <v>137919107</v>
      </c>
      <c r="K2095">
        <v>125198405</v>
      </c>
      <c r="L2095">
        <v>103739759</v>
      </c>
      <c r="M2095">
        <v>51556498</v>
      </c>
      <c r="N2095">
        <v>51877961</v>
      </c>
      <c r="O2095">
        <v>28553304</v>
      </c>
      <c r="P2095">
        <v>935</v>
      </c>
      <c r="Q2095" t="s">
        <v>4514</v>
      </c>
    </row>
    <row r="2096" spans="1:17" x14ac:dyDescent="0.3">
      <c r="A2096" t="s">
        <v>75</v>
      </c>
      <c r="B2096" t="str">
        <f>"301150"</f>
        <v>301150</v>
      </c>
      <c r="C2096" t="s">
        <v>4515</v>
      </c>
      <c r="E2096">
        <v>517990032</v>
      </c>
      <c r="P2096">
        <v>7</v>
      </c>
      <c r="Q2096" t="s">
        <v>4516</v>
      </c>
    </row>
    <row r="2097" spans="1:17" x14ac:dyDescent="0.3">
      <c r="A2097" t="s">
        <v>17</v>
      </c>
      <c r="B2097" t="str">
        <f>"605358"</f>
        <v>605358</v>
      </c>
      <c r="C2097" t="s">
        <v>4517</v>
      </c>
      <c r="D2097" t="s">
        <v>489</v>
      </c>
      <c r="E2097">
        <v>517894382</v>
      </c>
      <c r="F2097">
        <v>272705351</v>
      </c>
      <c r="G2097">
        <v>221880163</v>
      </c>
      <c r="P2097">
        <v>289</v>
      </c>
      <c r="Q2097" t="s">
        <v>4518</v>
      </c>
    </row>
    <row r="2098" spans="1:17" x14ac:dyDescent="0.3">
      <c r="A2098" t="s">
        <v>75</v>
      </c>
      <c r="B2098" t="str">
        <f>"002457"</f>
        <v>002457</v>
      </c>
      <c r="C2098" t="s">
        <v>4519</v>
      </c>
      <c r="D2098" t="s">
        <v>1583</v>
      </c>
      <c r="E2098">
        <v>517215092</v>
      </c>
      <c r="F2098">
        <v>217180816</v>
      </c>
      <c r="G2098">
        <v>244437579</v>
      </c>
      <c r="H2098">
        <v>288986828</v>
      </c>
      <c r="I2098">
        <v>155690361</v>
      </c>
      <c r="J2098">
        <v>198066637</v>
      </c>
      <c r="K2098">
        <v>182899153</v>
      </c>
      <c r="L2098">
        <v>177295797</v>
      </c>
      <c r="M2098">
        <v>134910305</v>
      </c>
      <c r="N2098">
        <v>179748678</v>
      </c>
      <c r="O2098">
        <v>120135783</v>
      </c>
      <c r="P2098">
        <v>132</v>
      </c>
      <c r="Q2098" t="s">
        <v>4520</v>
      </c>
    </row>
    <row r="2099" spans="1:17" x14ac:dyDescent="0.3">
      <c r="A2099" t="s">
        <v>75</v>
      </c>
      <c r="B2099" t="str">
        <f>"300821"</f>
        <v>300821</v>
      </c>
      <c r="C2099" t="s">
        <v>4521</v>
      </c>
      <c r="D2099" t="s">
        <v>1112</v>
      </c>
      <c r="E2099">
        <v>517131249</v>
      </c>
      <c r="F2099">
        <v>269276102</v>
      </c>
      <c r="G2099">
        <v>250179160</v>
      </c>
      <c r="H2099">
        <v>348006454</v>
      </c>
      <c r="P2099">
        <v>159</v>
      </c>
      <c r="Q2099" t="s">
        <v>4522</v>
      </c>
    </row>
    <row r="2100" spans="1:17" x14ac:dyDescent="0.3">
      <c r="A2100" t="s">
        <v>75</v>
      </c>
      <c r="B2100" t="str">
        <f>"300752"</f>
        <v>300752</v>
      </c>
      <c r="C2100" t="s">
        <v>4523</v>
      </c>
      <c r="D2100" t="s">
        <v>1044</v>
      </c>
      <c r="E2100">
        <v>516389773</v>
      </c>
      <c r="F2100">
        <v>484486086</v>
      </c>
      <c r="G2100">
        <v>461990857</v>
      </c>
      <c r="H2100">
        <v>378399360</v>
      </c>
      <c r="I2100">
        <v>281537800</v>
      </c>
      <c r="P2100">
        <v>140</v>
      </c>
      <c r="Q2100" t="s">
        <v>4524</v>
      </c>
    </row>
    <row r="2101" spans="1:17" x14ac:dyDescent="0.3">
      <c r="A2101" t="s">
        <v>17</v>
      </c>
      <c r="B2101" t="str">
        <f>"603180"</f>
        <v>603180</v>
      </c>
      <c r="C2101" t="s">
        <v>4525</v>
      </c>
      <c r="D2101" t="s">
        <v>1004</v>
      </c>
      <c r="E2101">
        <v>515821065</v>
      </c>
      <c r="F2101">
        <v>482095952</v>
      </c>
      <c r="G2101">
        <v>195111738</v>
      </c>
      <c r="H2101">
        <v>307388585</v>
      </c>
      <c r="I2101">
        <v>270671295</v>
      </c>
      <c r="J2101">
        <v>245736217</v>
      </c>
      <c r="K2101">
        <v>175473056</v>
      </c>
      <c r="P2101">
        <v>1304</v>
      </c>
      <c r="Q2101" t="s">
        <v>4526</v>
      </c>
    </row>
    <row r="2102" spans="1:17" x14ac:dyDescent="0.3">
      <c r="A2102" t="s">
        <v>75</v>
      </c>
      <c r="B2102" t="str">
        <f>"002885"</f>
        <v>002885</v>
      </c>
      <c r="C2102" t="s">
        <v>4527</v>
      </c>
      <c r="D2102" t="s">
        <v>55</v>
      </c>
      <c r="E2102">
        <v>515263109</v>
      </c>
      <c r="F2102">
        <v>392229604</v>
      </c>
      <c r="G2102">
        <v>361155275</v>
      </c>
      <c r="H2102">
        <v>346542917</v>
      </c>
      <c r="I2102">
        <v>302562062</v>
      </c>
      <c r="J2102">
        <v>232934207</v>
      </c>
      <c r="K2102">
        <v>178615054</v>
      </c>
      <c r="P2102">
        <v>199</v>
      </c>
      <c r="Q2102" t="s">
        <v>4528</v>
      </c>
    </row>
    <row r="2103" spans="1:17" x14ac:dyDescent="0.3">
      <c r="A2103" t="s">
        <v>75</v>
      </c>
      <c r="B2103" t="str">
        <f>"300708"</f>
        <v>300708</v>
      </c>
      <c r="C2103" t="s">
        <v>4529</v>
      </c>
      <c r="D2103" t="s">
        <v>1044</v>
      </c>
      <c r="E2103">
        <v>514680792</v>
      </c>
      <c r="F2103">
        <v>410866834</v>
      </c>
      <c r="G2103">
        <v>317944070</v>
      </c>
      <c r="H2103">
        <v>163148660</v>
      </c>
      <c r="I2103">
        <v>106402920</v>
      </c>
      <c r="J2103">
        <v>131533369</v>
      </c>
      <c r="P2103">
        <v>164</v>
      </c>
      <c r="Q2103" t="s">
        <v>4530</v>
      </c>
    </row>
    <row r="2104" spans="1:17" x14ac:dyDescent="0.3">
      <c r="A2104" t="s">
        <v>75</v>
      </c>
      <c r="B2104" t="str">
        <f>"002698"</f>
        <v>002698</v>
      </c>
      <c r="C2104" t="s">
        <v>4531</v>
      </c>
      <c r="D2104" t="s">
        <v>3105</v>
      </c>
      <c r="E2104">
        <v>514418146</v>
      </c>
      <c r="F2104">
        <v>514143480</v>
      </c>
      <c r="G2104">
        <v>273225524</v>
      </c>
      <c r="H2104">
        <v>405053311</v>
      </c>
      <c r="I2104">
        <v>310027313</v>
      </c>
      <c r="J2104">
        <v>205845408</v>
      </c>
      <c r="K2104">
        <v>122580437</v>
      </c>
      <c r="L2104">
        <v>167770959</v>
      </c>
      <c r="M2104">
        <v>132561518</v>
      </c>
      <c r="N2104">
        <v>165330476</v>
      </c>
      <c r="O2104">
        <v>108573404</v>
      </c>
      <c r="P2104">
        <v>271</v>
      </c>
      <c r="Q2104" t="s">
        <v>4532</v>
      </c>
    </row>
    <row r="2105" spans="1:17" x14ac:dyDescent="0.3">
      <c r="A2105" t="s">
        <v>75</v>
      </c>
      <c r="B2105" t="str">
        <f>"300712"</f>
        <v>300712</v>
      </c>
      <c r="C2105" t="s">
        <v>4533</v>
      </c>
      <c r="D2105" t="s">
        <v>52</v>
      </c>
      <c r="E2105">
        <v>513019836</v>
      </c>
      <c r="F2105">
        <v>284858883</v>
      </c>
      <c r="G2105">
        <v>122093840</v>
      </c>
      <c r="H2105">
        <v>79457658</v>
      </c>
      <c r="I2105">
        <v>47210496</v>
      </c>
      <c r="J2105">
        <v>63586551</v>
      </c>
      <c r="P2105">
        <v>125</v>
      </c>
      <c r="Q2105" t="s">
        <v>4534</v>
      </c>
    </row>
    <row r="2106" spans="1:17" x14ac:dyDescent="0.3">
      <c r="A2106" t="s">
        <v>17</v>
      </c>
      <c r="B2106" t="str">
        <f>"600764"</f>
        <v>600764</v>
      </c>
      <c r="C2106" t="s">
        <v>4535</v>
      </c>
      <c r="D2106" t="s">
        <v>465</v>
      </c>
      <c r="E2106">
        <v>512454235</v>
      </c>
      <c r="F2106">
        <v>683280140</v>
      </c>
      <c r="G2106">
        <v>472642240</v>
      </c>
      <c r="H2106">
        <v>80170396</v>
      </c>
      <c r="I2106">
        <v>38394260</v>
      </c>
      <c r="J2106">
        <v>64422378</v>
      </c>
      <c r="K2106">
        <v>99279725</v>
      </c>
      <c r="L2106">
        <v>148856956</v>
      </c>
      <c r="M2106">
        <v>159694873</v>
      </c>
      <c r="N2106">
        <v>131514538</v>
      </c>
      <c r="O2106">
        <v>294990980</v>
      </c>
      <c r="P2106">
        <v>233</v>
      </c>
      <c r="Q2106" t="s">
        <v>4536</v>
      </c>
    </row>
    <row r="2107" spans="1:17" x14ac:dyDescent="0.3">
      <c r="A2107" t="s">
        <v>17</v>
      </c>
      <c r="B2107" t="str">
        <f>"605018"</f>
        <v>605018</v>
      </c>
      <c r="C2107" t="s">
        <v>4537</v>
      </c>
      <c r="D2107" t="s">
        <v>1321</v>
      </c>
      <c r="E2107">
        <v>512451522</v>
      </c>
      <c r="F2107">
        <v>490269983</v>
      </c>
      <c r="G2107">
        <v>397166672</v>
      </c>
      <c r="P2107">
        <v>48</v>
      </c>
      <c r="Q2107" t="s">
        <v>4538</v>
      </c>
    </row>
    <row r="2108" spans="1:17" x14ac:dyDescent="0.3">
      <c r="A2108" t="s">
        <v>75</v>
      </c>
      <c r="B2108" t="str">
        <f>"300266"</f>
        <v>300266</v>
      </c>
      <c r="C2108" t="s">
        <v>4539</v>
      </c>
      <c r="D2108" t="s">
        <v>1107</v>
      </c>
      <c r="E2108">
        <v>511826167</v>
      </c>
      <c r="F2108">
        <v>492634820</v>
      </c>
      <c r="G2108">
        <v>326122982</v>
      </c>
      <c r="H2108">
        <v>464388566</v>
      </c>
      <c r="I2108">
        <v>718110641</v>
      </c>
      <c r="J2108">
        <v>345861181</v>
      </c>
      <c r="K2108">
        <v>389696208</v>
      </c>
      <c r="L2108">
        <v>128238357</v>
      </c>
      <c r="M2108">
        <v>88133207</v>
      </c>
      <c r="N2108">
        <v>66866419</v>
      </c>
      <c r="O2108">
        <v>45580314</v>
      </c>
      <c r="P2108">
        <v>145</v>
      </c>
      <c r="Q2108" t="s">
        <v>4540</v>
      </c>
    </row>
    <row r="2109" spans="1:17" x14ac:dyDescent="0.3">
      <c r="A2109" t="s">
        <v>75</v>
      </c>
      <c r="B2109" t="str">
        <f>"002383"</f>
        <v>002383</v>
      </c>
      <c r="C2109" t="s">
        <v>4541</v>
      </c>
      <c r="D2109" t="s">
        <v>1572</v>
      </c>
      <c r="E2109">
        <v>511382783</v>
      </c>
      <c r="F2109">
        <v>512682155</v>
      </c>
      <c r="G2109">
        <v>287616181</v>
      </c>
      <c r="H2109">
        <v>434858204</v>
      </c>
      <c r="I2109">
        <v>1115414944</v>
      </c>
      <c r="J2109">
        <v>396181344</v>
      </c>
      <c r="K2109">
        <v>126237049</v>
      </c>
      <c r="L2109">
        <v>116775098</v>
      </c>
      <c r="M2109">
        <v>106307991</v>
      </c>
      <c r="N2109">
        <v>74113441</v>
      </c>
      <c r="O2109">
        <v>80885825</v>
      </c>
      <c r="P2109">
        <v>211</v>
      </c>
      <c r="Q2109" t="s">
        <v>4542</v>
      </c>
    </row>
    <row r="2110" spans="1:17" x14ac:dyDescent="0.3">
      <c r="A2110" t="s">
        <v>75</v>
      </c>
      <c r="B2110" t="str">
        <f>"300279"</f>
        <v>300279</v>
      </c>
      <c r="C2110" t="s">
        <v>4543</v>
      </c>
      <c r="D2110" t="s">
        <v>55</v>
      </c>
      <c r="E2110">
        <v>511226488</v>
      </c>
      <c r="F2110">
        <v>568592091</v>
      </c>
      <c r="G2110">
        <v>325594447</v>
      </c>
      <c r="H2110">
        <v>338728072</v>
      </c>
      <c r="I2110">
        <v>358043903</v>
      </c>
      <c r="J2110">
        <v>373503717</v>
      </c>
      <c r="K2110">
        <v>252216989</v>
      </c>
      <c r="L2110">
        <v>188387926</v>
      </c>
      <c r="M2110">
        <v>116199953</v>
      </c>
      <c r="N2110">
        <v>75718901</v>
      </c>
      <c r="O2110">
        <v>67670762</v>
      </c>
      <c r="P2110">
        <v>166</v>
      </c>
      <c r="Q2110" t="s">
        <v>4544</v>
      </c>
    </row>
    <row r="2111" spans="1:17" x14ac:dyDescent="0.3">
      <c r="A2111" t="s">
        <v>17</v>
      </c>
      <c r="B2111" t="str">
        <f>"688366"</f>
        <v>688366</v>
      </c>
      <c r="C2111" t="s">
        <v>4545</v>
      </c>
      <c r="D2111" t="s">
        <v>1538</v>
      </c>
      <c r="E2111">
        <v>511144188</v>
      </c>
      <c r="F2111">
        <v>370791579</v>
      </c>
      <c r="G2111">
        <v>255936634</v>
      </c>
      <c r="H2111">
        <v>0</v>
      </c>
      <c r="I2111">
        <v>0</v>
      </c>
      <c r="P2111">
        <v>265</v>
      </c>
      <c r="Q2111" t="s">
        <v>4546</v>
      </c>
    </row>
    <row r="2112" spans="1:17" x14ac:dyDescent="0.3">
      <c r="A2112" t="s">
        <v>75</v>
      </c>
      <c r="B2112" t="str">
        <f>"300861"</f>
        <v>300861</v>
      </c>
      <c r="C2112" t="s">
        <v>4547</v>
      </c>
      <c r="D2112" t="s">
        <v>3587</v>
      </c>
      <c r="E2112">
        <v>510770403</v>
      </c>
      <c r="F2112">
        <v>238605489</v>
      </c>
      <c r="G2112">
        <v>245937379</v>
      </c>
      <c r="P2112">
        <v>147</v>
      </c>
      <c r="Q2112" t="s">
        <v>4548</v>
      </c>
    </row>
    <row r="2113" spans="1:17" x14ac:dyDescent="0.3">
      <c r="A2113" t="s">
        <v>75</v>
      </c>
      <c r="B2113" t="str">
        <f>"301126"</f>
        <v>301126</v>
      </c>
      <c r="C2113" t="s">
        <v>4549</v>
      </c>
      <c r="D2113" t="s">
        <v>123</v>
      </c>
      <c r="E2113">
        <v>510433827</v>
      </c>
      <c r="P2113">
        <v>14</v>
      </c>
      <c r="Q2113" t="s">
        <v>4550</v>
      </c>
    </row>
    <row r="2114" spans="1:17" x14ac:dyDescent="0.3">
      <c r="A2114" t="s">
        <v>17</v>
      </c>
      <c r="B2114" t="str">
        <f>"600798"</f>
        <v>600798</v>
      </c>
      <c r="C2114" t="s">
        <v>4551</v>
      </c>
      <c r="D2114" t="s">
        <v>62</v>
      </c>
      <c r="E2114">
        <v>509945069</v>
      </c>
      <c r="F2114">
        <v>526780948</v>
      </c>
      <c r="G2114">
        <v>551395839</v>
      </c>
      <c r="H2114">
        <v>521453155</v>
      </c>
      <c r="I2114">
        <v>450703767</v>
      </c>
      <c r="J2114">
        <v>393599526</v>
      </c>
      <c r="K2114">
        <v>243742284</v>
      </c>
      <c r="L2114">
        <v>241000811</v>
      </c>
      <c r="M2114">
        <v>230019959</v>
      </c>
      <c r="N2114">
        <v>251290988</v>
      </c>
      <c r="O2114">
        <v>252023372</v>
      </c>
      <c r="P2114">
        <v>142</v>
      </c>
      <c r="Q2114" t="s">
        <v>4552</v>
      </c>
    </row>
    <row r="2115" spans="1:17" x14ac:dyDescent="0.3">
      <c r="A2115" t="s">
        <v>75</v>
      </c>
      <c r="B2115" t="str">
        <f>"002787"</f>
        <v>002787</v>
      </c>
      <c r="C2115" t="s">
        <v>4553</v>
      </c>
      <c r="D2115" t="s">
        <v>1347</v>
      </c>
      <c r="E2115">
        <v>509860639</v>
      </c>
      <c r="F2115">
        <v>400461612</v>
      </c>
      <c r="G2115">
        <v>403676203</v>
      </c>
      <c r="H2115">
        <v>373451326</v>
      </c>
      <c r="I2115">
        <v>145218333</v>
      </c>
      <c r="J2115">
        <v>235243819</v>
      </c>
      <c r="K2115">
        <v>267003801</v>
      </c>
      <c r="L2115">
        <v>204916274</v>
      </c>
      <c r="M2115">
        <v>181933741</v>
      </c>
      <c r="P2115">
        <v>102</v>
      </c>
      <c r="Q2115" t="s">
        <v>4554</v>
      </c>
    </row>
    <row r="2116" spans="1:17" x14ac:dyDescent="0.3">
      <c r="A2116" t="s">
        <v>75</v>
      </c>
      <c r="B2116" t="str">
        <f>"000893"</f>
        <v>000893</v>
      </c>
      <c r="C2116" t="s">
        <v>4555</v>
      </c>
      <c r="D2116" t="s">
        <v>719</v>
      </c>
      <c r="E2116">
        <v>508123485</v>
      </c>
      <c r="F2116">
        <v>135947192</v>
      </c>
      <c r="G2116">
        <v>133572857</v>
      </c>
      <c r="H2116">
        <v>96603994</v>
      </c>
      <c r="I2116">
        <v>101471561</v>
      </c>
      <c r="J2116">
        <v>443133487</v>
      </c>
      <c r="K2116">
        <v>798911604</v>
      </c>
      <c r="L2116">
        <v>3297418828</v>
      </c>
      <c r="M2116">
        <v>3628983541</v>
      </c>
      <c r="N2116">
        <v>2287720807</v>
      </c>
      <c r="O2116">
        <v>1798652512</v>
      </c>
      <c r="P2116">
        <v>159</v>
      </c>
      <c r="Q2116" t="s">
        <v>4556</v>
      </c>
    </row>
    <row r="2117" spans="1:17" x14ac:dyDescent="0.3">
      <c r="A2117" t="s">
        <v>75</v>
      </c>
      <c r="B2117" t="str">
        <f>"300834"</f>
        <v>300834</v>
      </c>
      <c r="C2117" t="s">
        <v>4557</v>
      </c>
      <c r="D2117" t="s">
        <v>2855</v>
      </c>
      <c r="E2117">
        <v>508006605</v>
      </c>
      <c r="P2117">
        <v>19</v>
      </c>
      <c r="Q2117" t="s">
        <v>4558</v>
      </c>
    </row>
    <row r="2118" spans="1:17" x14ac:dyDescent="0.3">
      <c r="A2118" t="s">
        <v>75</v>
      </c>
      <c r="B2118" t="str">
        <f>"002512"</f>
        <v>002512</v>
      </c>
      <c r="C2118" t="s">
        <v>4559</v>
      </c>
      <c r="D2118" t="s">
        <v>508</v>
      </c>
      <c r="E2118">
        <v>508003663</v>
      </c>
      <c r="F2118">
        <v>582691318</v>
      </c>
      <c r="G2118">
        <v>532184248</v>
      </c>
      <c r="H2118">
        <v>619995945</v>
      </c>
      <c r="I2118">
        <v>672879891</v>
      </c>
      <c r="J2118">
        <v>584708552</v>
      </c>
      <c r="K2118">
        <v>480387235</v>
      </c>
      <c r="L2118">
        <v>104167138</v>
      </c>
      <c r="M2118">
        <v>82508553</v>
      </c>
      <c r="N2118">
        <v>66477253</v>
      </c>
      <c r="O2118">
        <v>92393584</v>
      </c>
      <c r="P2118">
        <v>162</v>
      </c>
      <c r="Q2118" t="s">
        <v>4560</v>
      </c>
    </row>
    <row r="2119" spans="1:17" x14ac:dyDescent="0.3">
      <c r="A2119" t="s">
        <v>75</v>
      </c>
      <c r="B2119" t="str">
        <f>"300978"</f>
        <v>300978</v>
      </c>
      <c r="C2119" t="s">
        <v>4561</v>
      </c>
      <c r="D2119" t="s">
        <v>194</v>
      </c>
      <c r="E2119">
        <v>507919709</v>
      </c>
      <c r="F2119">
        <v>428496946</v>
      </c>
      <c r="G2119">
        <v>310882863</v>
      </c>
      <c r="P2119">
        <v>37</v>
      </c>
      <c r="Q2119" t="s">
        <v>4562</v>
      </c>
    </row>
    <row r="2120" spans="1:17" x14ac:dyDescent="0.3">
      <c r="A2120" t="s">
        <v>75</v>
      </c>
      <c r="B2120" t="str">
        <f>"002158"</f>
        <v>002158</v>
      </c>
      <c r="C2120" t="s">
        <v>4563</v>
      </c>
      <c r="D2120" t="s">
        <v>2626</v>
      </c>
      <c r="E2120">
        <v>507658424</v>
      </c>
      <c r="F2120">
        <v>611163114</v>
      </c>
      <c r="G2120">
        <v>323145012</v>
      </c>
      <c r="H2120">
        <v>342402151</v>
      </c>
      <c r="I2120">
        <v>244807760</v>
      </c>
      <c r="J2120">
        <v>154027035</v>
      </c>
      <c r="K2120">
        <v>170832925</v>
      </c>
      <c r="L2120">
        <v>134250127</v>
      </c>
      <c r="M2120">
        <v>167698538</v>
      </c>
      <c r="N2120">
        <v>131434417</v>
      </c>
      <c r="O2120">
        <v>139684971</v>
      </c>
      <c r="P2120">
        <v>478</v>
      </c>
      <c r="Q2120" t="s">
        <v>4564</v>
      </c>
    </row>
    <row r="2121" spans="1:17" x14ac:dyDescent="0.3">
      <c r="A2121" t="s">
        <v>17</v>
      </c>
      <c r="B2121" t="str">
        <f>"600613"</f>
        <v>600613</v>
      </c>
      <c r="C2121" t="s">
        <v>4565</v>
      </c>
      <c r="D2121" t="s">
        <v>543</v>
      </c>
      <c r="E2121">
        <v>507458122</v>
      </c>
      <c r="F2121">
        <v>485950135</v>
      </c>
      <c r="G2121">
        <v>359550517</v>
      </c>
      <c r="H2121">
        <v>426763891</v>
      </c>
      <c r="I2121">
        <v>385102503</v>
      </c>
      <c r="J2121">
        <v>349769006</v>
      </c>
      <c r="K2121">
        <v>377843220</v>
      </c>
      <c r="L2121">
        <v>252172078</v>
      </c>
      <c r="M2121">
        <v>202414335</v>
      </c>
      <c r="N2121">
        <v>44819687</v>
      </c>
      <c r="O2121">
        <v>65551251</v>
      </c>
      <c r="P2121">
        <v>121</v>
      </c>
      <c r="Q2121" t="s">
        <v>4566</v>
      </c>
    </row>
    <row r="2122" spans="1:17" x14ac:dyDescent="0.3">
      <c r="A2122" t="s">
        <v>75</v>
      </c>
      <c r="B2122" t="str">
        <f>"000863"</f>
        <v>000863</v>
      </c>
      <c r="C2122" t="s">
        <v>4567</v>
      </c>
      <c r="D2122" t="s">
        <v>65</v>
      </c>
      <c r="E2122">
        <v>507411874</v>
      </c>
      <c r="F2122">
        <v>803088940</v>
      </c>
      <c r="G2122">
        <v>418606011</v>
      </c>
      <c r="H2122">
        <v>571847752</v>
      </c>
      <c r="I2122">
        <v>344537109</v>
      </c>
      <c r="J2122">
        <v>253470371</v>
      </c>
      <c r="K2122">
        <v>1243596287</v>
      </c>
      <c r="L2122">
        <v>410957064</v>
      </c>
      <c r="M2122">
        <v>590712400</v>
      </c>
      <c r="N2122">
        <v>587403173</v>
      </c>
      <c r="O2122">
        <v>144866614</v>
      </c>
      <c r="P2122">
        <v>171</v>
      </c>
      <c r="Q2122" t="s">
        <v>4568</v>
      </c>
    </row>
    <row r="2123" spans="1:17" x14ac:dyDescent="0.3">
      <c r="A2123" t="s">
        <v>75</v>
      </c>
      <c r="B2123" t="str">
        <f>"000545"</f>
        <v>000545</v>
      </c>
      <c r="C2123" t="s">
        <v>4569</v>
      </c>
      <c r="D2123" t="s">
        <v>956</v>
      </c>
      <c r="E2123">
        <v>506678023</v>
      </c>
      <c r="F2123">
        <v>374083158</v>
      </c>
      <c r="G2123">
        <v>257803330</v>
      </c>
      <c r="H2123">
        <v>356121521</v>
      </c>
      <c r="I2123">
        <v>217239753</v>
      </c>
      <c r="J2123">
        <v>202425622</v>
      </c>
      <c r="K2123">
        <v>134882365</v>
      </c>
      <c r="L2123">
        <v>139342128</v>
      </c>
      <c r="M2123">
        <v>99028430</v>
      </c>
      <c r="N2123">
        <v>19273789</v>
      </c>
      <c r="O2123">
        <v>21331761</v>
      </c>
      <c r="P2123">
        <v>106</v>
      </c>
      <c r="Q2123" t="s">
        <v>4570</v>
      </c>
    </row>
    <row r="2124" spans="1:17" x14ac:dyDescent="0.3">
      <c r="A2124" t="s">
        <v>75</v>
      </c>
      <c r="B2124" t="str">
        <f>"300190"</f>
        <v>300190</v>
      </c>
      <c r="C2124" t="s">
        <v>4571</v>
      </c>
      <c r="D2124" t="s">
        <v>2307</v>
      </c>
      <c r="E2124">
        <v>506325597</v>
      </c>
      <c r="F2124">
        <v>520643926</v>
      </c>
      <c r="G2124">
        <v>471990003</v>
      </c>
      <c r="H2124">
        <v>514042524</v>
      </c>
      <c r="I2124">
        <v>247314551</v>
      </c>
      <c r="J2124">
        <v>180050936</v>
      </c>
      <c r="K2124">
        <v>128259477</v>
      </c>
      <c r="L2124">
        <v>129399678</v>
      </c>
      <c r="M2124">
        <v>109386760</v>
      </c>
      <c r="N2124">
        <v>93201674</v>
      </c>
      <c r="O2124">
        <v>53727140</v>
      </c>
      <c r="P2124">
        <v>233</v>
      </c>
      <c r="Q2124" t="s">
        <v>4572</v>
      </c>
    </row>
    <row r="2125" spans="1:17" x14ac:dyDescent="0.3">
      <c r="A2125" t="s">
        <v>17</v>
      </c>
      <c r="B2125" t="str">
        <f>"688295"</f>
        <v>688295</v>
      </c>
      <c r="C2125" t="s">
        <v>4573</v>
      </c>
      <c r="E2125">
        <v>505697552</v>
      </c>
      <c r="P2125">
        <v>15</v>
      </c>
      <c r="Q2125" t="s">
        <v>4574</v>
      </c>
    </row>
    <row r="2126" spans="1:17" x14ac:dyDescent="0.3">
      <c r="A2126" t="s">
        <v>75</v>
      </c>
      <c r="B2126" t="str">
        <f>"300009"</f>
        <v>300009</v>
      </c>
      <c r="C2126" t="s">
        <v>4575</v>
      </c>
      <c r="D2126" t="s">
        <v>1533</v>
      </c>
      <c r="E2126">
        <v>505433801</v>
      </c>
      <c r="F2126">
        <v>429414887</v>
      </c>
      <c r="G2126">
        <v>345852719</v>
      </c>
      <c r="H2126">
        <v>285149985</v>
      </c>
      <c r="I2126">
        <v>292885925</v>
      </c>
      <c r="J2126">
        <v>207384573</v>
      </c>
      <c r="K2126">
        <v>175230833</v>
      </c>
      <c r="L2126">
        <v>140291275</v>
      </c>
      <c r="M2126">
        <v>93694804</v>
      </c>
      <c r="N2126">
        <v>83823533</v>
      </c>
      <c r="O2126">
        <v>77762414</v>
      </c>
      <c r="P2126">
        <v>840</v>
      </c>
      <c r="Q2126" t="s">
        <v>4576</v>
      </c>
    </row>
    <row r="2127" spans="1:17" x14ac:dyDescent="0.3">
      <c r="A2127" t="s">
        <v>75</v>
      </c>
      <c r="B2127" t="str">
        <f>"000011"</f>
        <v>000011</v>
      </c>
      <c r="C2127" t="s">
        <v>4577</v>
      </c>
      <c r="D2127" t="s">
        <v>65</v>
      </c>
      <c r="E2127">
        <v>505056813</v>
      </c>
      <c r="F2127">
        <v>1091637436</v>
      </c>
      <c r="G2127">
        <v>308259221</v>
      </c>
      <c r="H2127">
        <v>470757473</v>
      </c>
      <c r="I2127">
        <v>216591436</v>
      </c>
      <c r="J2127">
        <v>349690472</v>
      </c>
      <c r="K2127">
        <v>1301621243</v>
      </c>
      <c r="L2127">
        <v>162154708</v>
      </c>
      <c r="M2127">
        <v>214711208</v>
      </c>
      <c r="N2127">
        <v>356466944</v>
      </c>
      <c r="O2127">
        <v>442515751</v>
      </c>
      <c r="P2127">
        <v>479</v>
      </c>
      <c r="Q2127" t="s">
        <v>4578</v>
      </c>
    </row>
    <row r="2128" spans="1:17" x14ac:dyDescent="0.3">
      <c r="A2128" t="s">
        <v>75</v>
      </c>
      <c r="B2128" t="str">
        <f>"002819"</f>
        <v>002819</v>
      </c>
      <c r="C2128" t="s">
        <v>4579</v>
      </c>
      <c r="D2128" t="s">
        <v>2549</v>
      </c>
      <c r="E2128">
        <v>504651470</v>
      </c>
      <c r="F2128">
        <v>281281320</v>
      </c>
      <c r="G2128">
        <v>219513718</v>
      </c>
      <c r="H2128">
        <v>258405504</v>
      </c>
      <c r="I2128">
        <v>187118712</v>
      </c>
      <c r="J2128">
        <v>164179395</v>
      </c>
      <c r="K2128">
        <v>134008396</v>
      </c>
      <c r="P2128">
        <v>139</v>
      </c>
      <c r="Q2128" t="s">
        <v>4580</v>
      </c>
    </row>
    <row r="2129" spans="1:17" x14ac:dyDescent="0.3">
      <c r="A2129" t="s">
        <v>17</v>
      </c>
      <c r="B2129" t="str">
        <f>"688072"</f>
        <v>688072</v>
      </c>
      <c r="C2129" t="s">
        <v>4581</v>
      </c>
      <c r="E2129">
        <v>504140525</v>
      </c>
      <c r="F2129">
        <v>155959979</v>
      </c>
      <c r="P2129">
        <v>5</v>
      </c>
      <c r="Q2129" t="s">
        <v>4582</v>
      </c>
    </row>
    <row r="2130" spans="1:17" x14ac:dyDescent="0.3">
      <c r="A2130" t="s">
        <v>75</v>
      </c>
      <c r="B2130" t="str">
        <f>"000897"</f>
        <v>000897</v>
      </c>
      <c r="C2130" t="s">
        <v>4583</v>
      </c>
      <c r="D2130" t="s">
        <v>65</v>
      </c>
      <c r="E2130">
        <v>502962815</v>
      </c>
      <c r="F2130">
        <v>567834495</v>
      </c>
      <c r="G2130">
        <v>171185406</v>
      </c>
      <c r="H2130">
        <v>339979000</v>
      </c>
      <c r="I2130">
        <v>191248223</v>
      </c>
      <c r="J2130">
        <v>151108999</v>
      </c>
      <c r="K2130">
        <v>298350693</v>
      </c>
      <c r="L2130">
        <v>137502847</v>
      </c>
      <c r="M2130">
        <v>0</v>
      </c>
      <c r="N2130">
        <v>263333036</v>
      </c>
      <c r="O2130">
        <v>283656543</v>
      </c>
      <c r="P2130">
        <v>170</v>
      </c>
      <c r="Q2130" t="s">
        <v>4584</v>
      </c>
    </row>
    <row r="2131" spans="1:17" x14ac:dyDescent="0.3">
      <c r="A2131" t="s">
        <v>75</v>
      </c>
      <c r="B2131" t="str">
        <f>"300087"</f>
        <v>300087</v>
      </c>
      <c r="C2131" t="s">
        <v>4585</v>
      </c>
      <c r="D2131" t="s">
        <v>3670</v>
      </c>
      <c r="E2131">
        <v>502548161</v>
      </c>
      <c r="F2131">
        <v>381177708</v>
      </c>
      <c r="G2131">
        <v>212798777</v>
      </c>
      <c r="H2131">
        <v>159161324</v>
      </c>
      <c r="I2131">
        <v>117341795</v>
      </c>
      <c r="J2131">
        <v>106128088</v>
      </c>
      <c r="K2131">
        <v>116996704</v>
      </c>
      <c r="L2131">
        <v>97624651</v>
      </c>
      <c r="M2131">
        <v>104862573</v>
      </c>
      <c r="N2131">
        <v>93673938</v>
      </c>
      <c r="O2131">
        <v>107696139</v>
      </c>
      <c r="P2131">
        <v>231</v>
      </c>
      <c r="Q2131" t="s">
        <v>4586</v>
      </c>
    </row>
    <row r="2132" spans="1:17" x14ac:dyDescent="0.3">
      <c r="A2132" t="s">
        <v>17</v>
      </c>
      <c r="B2132" t="str">
        <f>"603786"</f>
        <v>603786</v>
      </c>
      <c r="C2132" t="s">
        <v>4587</v>
      </c>
      <c r="D2132" t="s">
        <v>433</v>
      </c>
      <c r="E2132">
        <v>502389264</v>
      </c>
      <c r="F2132">
        <v>840008312</v>
      </c>
      <c r="G2132">
        <v>703295960</v>
      </c>
      <c r="H2132">
        <v>962609131</v>
      </c>
      <c r="P2132">
        <v>345</v>
      </c>
      <c r="Q2132" t="s">
        <v>4588</v>
      </c>
    </row>
    <row r="2133" spans="1:17" x14ac:dyDescent="0.3">
      <c r="A2133" t="s">
        <v>75</v>
      </c>
      <c r="B2133" t="str">
        <f>"000564"</f>
        <v>000564</v>
      </c>
      <c r="C2133" t="s">
        <v>4589</v>
      </c>
      <c r="D2133" t="s">
        <v>582</v>
      </c>
      <c r="E2133">
        <v>502326734</v>
      </c>
      <c r="F2133">
        <v>583388773</v>
      </c>
      <c r="G2133">
        <v>738108609</v>
      </c>
      <c r="H2133">
        <v>1366834606</v>
      </c>
      <c r="I2133">
        <v>4978684998</v>
      </c>
      <c r="J2133">
        <v>3935957864</v>
      </c>
      <c r="K2133">
        <v>1563135360</v>
      </c>
      <c r="L2133">
        <v>1123099027</v>
      </c>
      <c r="M2133">
        <v>1247719884</v>
      </c>
      <c r="N2133">
        <v>1323180624</v>
      </c>
      <c r="O2133">
        <v>1132069522</v>
      </c>
      <c r="P2133">
        <v>187</v>
      </c>
      <c r="Q2133" t="s">
        <v>4590</v>
      </c>
    </row>
    <row r="2134" spans="1:17" x14ac:dyDescent="0.3">
      <c r="A2134" t="s">
        <v>75</v>
      </c>
      <c r="B2134" t="str">
        <f>"301087"</f>
        <v>301087</v>
      </c>
      <c r="C2134" t="s">
        <v>4591</v>
      </c>
      <c r="D2134" t="s">
        <v>967</v>
      </c>
      <c r="E2134">
        <v>502175556</v>
      </c>
      <c r="P2134">
        <v>33</v>
      </c>
      <c r="Q2134" t="s">
        <v>4592</v>
      </c>
    </row>
    <row r="2135" spans="1:17" x14ac:dyDescent="0.3">
      <c r="A2135" t="s">
        <v>75</v>
      </c>
      <c r="B2135" t="str">
        <f>"002108"</f>
        <v>002108</v>
      </c>
      <c r="C2135" t="s">
        <v>4593</v>
      </c>
      <c r="D2135" t="s">
        <v>3251</v>
      </c>
      <c r="E2135">
        <v>502030342</v>
      </c>
      <c r="F2135">
        <v>401578019</v>
      </c>
      <c r="G2135">
        <v>480571171</v>
      </c>
      <c r="H2135">
        <v>825166989</v>
      </c>
      <c r="I2135">
        <v>666427195</v>
      </c>
      <c r="J2135">
        <v>534452487</v>
      </c>
      <c r="K2135">
        <v>372843199</v>
      </c>
      <c r="L2135">
        <v>427485848</v>
      </c>
      <c r="M2135">
        <v>361927266</v>
      </c>
      <c r="N2135">
        <v>302244976</v>
      </c>
      <c r="O2135">
        <v>245690116</v>
      </c>
      <c r="P2135">
        <v>345</v>
      </c>
      <c r="Q2135" t="s">
        <v>4594</v>
      </c>
    </row>
    <row r="2136" spans="1:17" x14ac:dyDescent="0.3">
      <c r="A2136" t="s">
        <v>75</v>
      </c>
      <c r="B2136" t="str">
        <f>"002881"</f>
        <v>002881</v>
      </c>
      <c r="C2136" t="s">
        <v>4595</v>
      </c>
      <c r="D2136" t="s">
        <v>55</v>
      </c>
      <c r="E2136">
        <v>501892279</v>
      </c>
      <c r="F2136">
        <v>318624912</v>
      </c>
      <c r="G2136">
        <v>211831329</v>
      </c>
      <c r="H2136">
        <v>208913147</v>
      </c>
      <c r="I2136">
        <v>149461911</v>
      </c>
      <c r="J2136">
        <v>115135873</v>
      </c>
      <c r="K2136">
        <v>96336543</v>
      </c>
      <c r="P2136">
        <v>240</v>
      </c>
      <c r="Q2136" t="s">
        <v>4596</v>
      </c>
    </row>
    <row r="2137" spans="1:17" x14ac:dyDescent="0.3">
      <c r="A2137" t="s">
        <v>75</v>
      </c>
      <c r="B2137" t="str">
        <f>"000788"</f>
        <v>000788</v>
      </c>
      <c r="C2137" t="s">
        <v>4597</v>
      </c>
      <c r="D2137" t="s">
        <v>543</v>
      </c>
      <c r="E2137">
        <v>501066911</v>
      </c>
      <c r="F2137">
        <v>546112588</v>
      </c>
      <c r="G2137">
        <v>433895834</v>
      </c>
      <c r="H2137">
        <v>720064195</v>
      </c>
      <c r="I2137">
        <v>474285955</v>
      </c>
      <c r="J2137">
        <v>465617751</v>
      </c>
      <c r="K2137">
        <v>383423112</v>
      </c>
      <c r="L2137">
        <v>428105621</v>
      </c>
      <c r="M2137">
        <v>361315800</v>
      </c>
      <c r="N2137">
        <v>356665173</v>
      </c>
      <c r="O2137">
        <v>266223360</v>
      </c>
      <c r="P2137">
        <v>137</v>
      </c>
      <c r="Q2137" t="s">
        <v>4598</v>
      </c>
    </row>
    <row r="2138" spans="1:17" x14ac:dyDescent="0.3">
      <c r="A2138" t="s">
        <v>75</v>
      </c>
      <c r="B2138" t="str">
        <f>"000530"</f>
        <v>000530</v>
      </c>
      <c r="C2138" t="s">
        <v>4599</v>
      </c>
      <c r="D2138" t="s">
        <v>2626</v>
      </c>
      <c r="E2138">
        <v>500361016</v>
      </c>
      <c r="F2138">
        <v>443778929</v>
      </c>
      <c r="G2138">
        <v>257472529</v>
      </c>
      <c r="H2138">
        <v>284070695</v>
      </c>
      <c r="I2138">
        <v>234680892</v>
      </c>
      <c r="J2138">
        <v>280438063</v>
      </c>
      <c r="K2138">
        <v>259550611</v>
      </c>
      <c r="L2138">
        <v>168986081</v>
      </c>
      <c r="M2138">
        <v>258168492</v>
      </c>
      <c r="N2138">
        <v>272914241</v>
      </c>
      <c r="O2138">
        <v>300997254</v>
      </c>
      <c r="P2138">
        <v>129</v>
      </c>
      <c r="Q2138" t="s">
        <v>4600</v>
      </c>
    </row>
    <row r="2139" spans="1:17" x14ac:dyDescent="0.3">
      <c r="A2139" t="s">
        <v>17</v>
      </c>
      <c r="B2139" t="str">
        <f>"688536"</f>
        <v>688536</v>
      </c>
      <c r="C2139" t="s">
        <v>4601</v>
      </c>
      <c r="D2139" t="s">
        <v>2580</v>
      </c>
      <c r="E2139">
        <v>500230986</v>
      </c>
      <c r="F2139">
        <v>147890296</v>
      </c>
      <c r="G2139">
        <v>136848324</v>
      </c>
      <c r="P2139">
        <v>199</v>
      </c>
      <c r="Q2139" t="s">
        <v>4602</v>
      </c>
    </row>
    <row r="2140" spans="1:17" x14ac:dyDescent="0.3">
      <c r="A2140" t="s">
        <v>75</v>
      </c>
      <c r="B2140" t="str">
        <f>"300716"</f>
        <v>300716</v>
      </c>
      <c r="C2140" t="s">
        <v>4603</v>
      </c>
      <c r="D2140" t="s">
        <v>639</v>
      </c>
      <c r="E2140">
        <v>498780499</v>
      </c>
      <c r="F2140">
        <v>484359600</v>
      </c>
      <c r="G2140">
        <v>586665891</v>
      </c>
      <c r="H2140">
        <v>349966573</v>
      </c>
      <c r="I2140">
        <v>219104946</v>
      </c>
      <c r="J2140">
        <v>166603178</v>
      </c>
      <c r="P2140">
        <v>59</v>
      </c>
      <c r="Q2140" t="s">
        <v>4604</v>
      </c>
    </row>
    <row r="2141" spans="1:17" x14ac:dyDescent="0.3">
      <c r="A2141" t="s">
        <v>75</v>
      </c>
      <c r="B2141" t="str">
        <f>"300623"</f>
        <v>300623</v>
      </c>
      <c r="C2141" t="s">
        <v>4605</v>
      </c>
      <c r="D2141" t="s">
        <v>2728</v>
      </c>
      <c r="E2141">
        <v>497890252</v>
      </c>
      <c r="F2141">
        <v>362531342</v>
      </c>
      <c r="G2141">
        <v>124916735</v>
      </c>
      <c r="H2141">
        <v>144052119</v>
      </c>
      <c r="I2141">
        <v>120572135</v>
      </c>
      <c r="J2141">
        <v>98396510</v>
      </c>
      <c r="K2141">
        <v>82377041</v>
      </c>
      <c r="P2141">
        <v>664</v>
      </c>
      <c r="Q2141" t="s">
        <v>4606</v>
      </c>
    </row>
    <row r="2142" spans="1:17" x14ac:dyDescent="0.3">
      <c r="A2142" t="s">
        <v>17</v>
      </c>
      <c r="B2142" t="str">
        <f>"603948"</f>
        <v>603948</v>
      </c>
      <c r="C2142" t="s">
        <v>4607</v>
      </c>
      <c r="D2142" t="s">
        <v>292</v>
      </c>
      <c r="E2142">
        <v>497540970</v>
      </c>
      <c r="F2142">
        <v>290170719</v>
      </c>
      <c r="G2142">
        <v>219200943</v>
      </c>
      <c r="H2142">
        <v>267378310</v>
      </c>
      <c r="P2142">
        <v>60</v>
      </c>
      <c r="Q2142" t="s">
        <v>4608</v>
      </c>
    </row>
    <row r="2143" spans="1:17" x14ac:dyDescent="0.3">
      <c r="A2143" t="s">
        <v>17</v>
      </c>
      <c r="B2143" t="str">
        <f>"603666"</f>
        <v>603666</v>
      </c>
      <c r="C2143" t="s">
        <v>4609</v>
      </c>
      <c r="D2143" t="s">
        <v>3105</v>
      </c>
      <c r="E2143">
        <v>497373036</v>
      </c>
      <c r="F2143">
        <v>338636501</v>
      </c>
      <c r="G2143">
        <v>196564385</v>
      </c>
      <c r="H2143">
        <v>90835109</v>
      </c>
      <c r="I2143">
        <v>134714153</v>
      </c>
      <c r="J2143">
        <v>16556719</v>
      </c>
      <c r="P2143">
        <v>449</v>
      </c>
      <c r="Q2143" t="s">
        <v>4610</v>
      </c>
    </row>
    <row r="2144" spans="1:17" x14ac:dyDescent="0.3">
      <c r="A2144" t="s">
        <v>75</v>
      </c>
      <c r="B2144" t="str">
        <f>"300375"</f>
        <v>300375</v>
      </c>
      <c r="C2144" t="s">
        <v>4611</v>
      </c>
      <c r="D2144" t="s">
        <v>172</v>
      </c>
      <c r="E2144">
        <v>496608467</v>
      </c>
      <c r="F2144">
        <v>409049078</v>
      </c>
      <c r="G2144">
        <v>343147371</v>
      </c>
      <c r="H2144">
        <v>435017169</v>
      </c>
      <c r="I2144">
        <v>246027615</v>
      </c>
      <c r="J2144">
        <v>227717216</v>
      </c>
      <c r="K2144">
        <v>234911775</v>
      </c>
      <c r="L2144">
        <v>204613776</v>
      </c>
      <c r="M2144">
        <v>205738275</v>
      </c>
      <c r="N2144">
        <v>175226298</v>
      </c>
      <c r="P2144">
        <v>99</v>
      </c>
      <c r="Q2144" t="s">
        <v>4612</v>
      </c>
    </row>
    <row r="2145" spans="1:17" x14ac:dyDescent="0.3">
      <c r="A2145" t="s">
        <v>17</v>
      </c>
      <c r="B2145" t="str">
        <f>"605189"</f>
        <v>605189</v>
      </c>
      <c r="C2145" t="s">
        <v>4613</v>
      </c>
      <c r="D2145" t="s">
        <v>951</v>
      </c>
      <c r="E2145">
        <v>496430744</v>
      </c>
      <c r="F2145">
        <v>363323878</v>
      </c>
      <c r="G2145">
        <v>221277737</v>
      </c>
      <c r="P2145">
        <v>44</v>
      </c>
      <c r="Q2145" t="s">
        <v>4614</v>
      </c>
    </row>
    <row r="2146" spans="1:17" x14ac:dyDescent="0.3">
      <c r="A2146" t="s">
        <v>75</v>
      </c>
      <c r="B2146" t="str">
        <f>"300790"</f>
        <v>300790</v>
      </c>
      <c r="C2146" t="s">
        <v>4615</v>
      </c>
      <c r="D2146" t="s">
        <v>337</v>
      </c>
      <c r="E2146">
        <v>496154473</v>
      </c>
      <c r="F2146">
        <v>462001313</v>
      </c>
      <c r="G2146">
        <v>435273664</v>
      </c>
      <c r="H2146">
        <v>313671001</v>
      </c>
      <c r="P2146">
        <v>158</v>
      </c>
      <c r="Q2146" t="s">
        <v>4616</v>
      </c>
    </row>
    <row r="2147" spans="1:17" x14ac:dyDescent="0.3">
      <c r="A2147" t="s">
        <v>17</v>
      </c>
      <c r="B2147" t="str">
        <f>"603933"</f>
        <v>603933</v>
      </c>
      <c r="C2147" t="s">
        <v>4617</v>
      </c>
      <c r="D2147" t="s">
        <v>221</v>
      </c>
      <c r="E2147">
        <v>495903243</v>
      </c>
      <c r="F2147">
        <v>437652266</v>
      </c>
      <c r="G2147">
        <v>308043576</v>
      </c>
      <c r="H2147">
        <v>362593298</v>
      </c>
      <c r="I2147">
        <v>361779868</v>
      </c>
      <c r="J2147">
        <v>404751029</v>
      </c>
      <c r="K2147">
        <v>312153853</v>
      </c>
      <c r="P2147">
        <v>122</v>
      </c>
      <c r="Q2147" t="s">
        <v>4618</v>
      </c>
    </row>
    <row r="2148" spans="1:17" x14ac:dyDescent="0.3">
      <c r="A2148" t="s">
        <v>75</v>
      </c>
      <c r="B2148" t="str">
        <f>"300801"</f>
        <v>300801</v>
      </c>
      <c r="C2148" t="s">
        <v>4619</v>
      </c>
      <c r="D2148" t="s">
        <v>292</v>
      </c>
      <c r="E2148">
        <v>495892785</v>
      </c>
      <c r="F2148">
        <v>282699979</v>
      </c>
      <c r="G2148">
        <v>253279631</v>
      </c>
      <c r="H2148">
        <v>243078105</v>
      </c>
      <c r="P2148">
        <v>112</v>
      </c>
      <c r="Q2148" t="s">
        <v>4620</v>
      </c>
    </row>
    <row r="2149" spans="1:17" x14ac:dyDescent="0.3">
      <c r="A2149" t="s">
        <v>17</v>
      </c>
      <c r="B2149" t="str">
        <f>"600650"</f>
        <v>600650</v>
      </c>
      <c r="C2149" t="s">
        <v>4621</v>
      </c>
      <c r="D2149" t="s">
        <v>1195</v>
      </c>
      <c r="E2149">
        <v>495327316</v>
      </c>
      <c r="F2149">
        <v>529777138</v>
      </c>
      <c r="G2149">
        <v>469168845</v>
      </c>
      <c r="H2149">
        <v>598457286</v>
      </c>
      <c r="I2149">
        <v>560045757</v>
      </c>
      <c r="J2149">
        <v>594423135</v>
      </c>
      <c r="K2149">
        <v>631404200</v>
      </c>
      <c r="L2149">
        <v>531588161</v>
      </c>
      <c r="M2149">
        <v>520086176</v>
      </c>
      <c r="N2149">
        <v>507913738</v>
      </c>
      <c r="O2149">
        <v>475698978</v>
      </c>
      <c r="P2149">
        <v>114</v>
      </c>
      <c r="Q2149" t="s">
        <v>4622</v>
      </c>
    </row>
    <row r="2150" spans="1:17" x14ac:dyDescent="0.3">
      <c r="A2150" t="s">
        <v>17</v>
      </c>
      <c r="B2150" t="str">
        <f>"603989"</f>
        <v>603989</v>
      </c>
      <c r="C2150" t="s">
        <v>4623</v>
      </c>
      <c r="D2150" t="s">
        <v>2109</v>
      </c>
      <c r="E2150">
        <v>495308081</v>
      </c>
      <c r="F2150">
        <v>444367998</v>
      </c>
      <c r="G2150">
        <v>438404733</v>
      </c>
      <c r="H2150">
        <v>369514287</v>
      </c>
      <c r="I2150">
        <v>486504759</v>
      </c>
      <c r="J2150">
        <v>474889940</v>
      </c>
      <c r="K2150">
        <v>371179534</v>
      </c>
      <c r="L2150">
        <v>330293468</v>
      </c>
      <c r="P2150">
        <v>12177</v>
      </c>
      <c r="Q2150" t="s">
        <v>4624</v>
      </c>
    </row>
    <row r="2151" spans="1:17" x14ac:dyDescent="0.3">
      <c r="A2151" t="s">
        <v>75</v>
      </c>
      <c r="B2151" t="str">
        <f>"300035"</f>
        <v>300035</v>
      </c>
      <c r="C2151" t="s">
        <v>4625</v>
      </c>
      <c r="D2151" t="s">
        <v>834</v>
      </c>
      <c r="E2151">
        <v>495028733</v>
      </c>
      <c r="F2151">
        <v>123903085</v>
      </c>
      <c r="G2151">
        <v>125669240</v>
      </c>
      <c r="H2151">
        <v>145671296</v>
      </c>
      <c r="I2151">
        <v>73357171</v>
      </c>
      <c r="J2151">
        <v>63820164</v>
      </c>
      <c r="K2151">
        <v>40465881</v>
      </c>
      <c r="L2151">
        <v>32178291</v>
      </c>
      <c r="M2151">
        <v>42813474</v>
      </c>
      <c r="N2151">
        <v>48755248</v>
      </c>
      <c r="O2151">
        <v>71299419</v>
      </c>
      <c r="P2151">
        <v>272</v>
      </c>
      <c r="Q2151" t="s">
        <v>4626</v>
      </c>
    </row>
    <row r="2152" spans="1:17" x14ac:dyDescent="0.3">
      <c r="A2152" t="s">
        <v>75</v>
      </c>
      <c r="B2152" t="str">
        <f>"002922"</f>
        <v>002922</v>
      </c>
      <c r="C2152" t="s">
        <v>4627</v>
      </c>
      <c r="D2152" t="s">
        <v>221</v>
      </c>
      <c r="E2152">
        <v>493865428</v>
      </c>
      <c r="F2152">
        <v>451067142</v>
      </c>
      <c r="G2152">
        <v>268541878</v>
      </c>
      <c r="H2152">
        <v>263552000</v>
      </c>
      <c r="I2152">
        <v>294624388</v>
      </c>
      <c r="J2152">
        <v>225169602</v>
      </c>
      <c r="P2152">
        <v>170</v>
      </c>
      <c r="Q2152" t="s">
        <v>4628</v>
      </c>
    </row>
    <row r="2153" spans="1:17" x14ac:dyDescent="0.3">
      <c r="A2153" t="s">
        <v>17</v>
      </c>
      <c r="B2153" t="str">
        <f>"600283"</f>
        <v>600283</v>
      </c>
      <c r="C2153" t="s">
        <v>4629</v>
      </c>
      <c r="D2153" t="s">
        <v>1107</v>
      </c>
      <c r="E2153">
        <v>493712705</v>
      </c>
      <c r="F2153">
        <v>398021055</v>
      </c>
      <c r="G2153">
        <v>296602754</v>
      </c>
      <c r="H2153">
        <v>278370518</v>
      </c>
      <c r="I2153">
        <v>249380659</v>
      </c>
      <c r="J2153">
        <v>244772051</v>
      </c>
      <c r="K2153">
        <v>273805839</v>
      </c>
      <c r="L2153">
        <v>209504041</v>
      </c>
      <c r="M2153">
        <v>185526494</v>
      </c>
      <c r="N2153">
        <v>163195165</v>
      </c>
      <c r="O2153">
        <v>160257309</v>
      </c>
      <c r="P2153">
        <v>122</v>
      </c>
      <c r="Q2153" t="s">
        <v>4630</v>
      </c>
    </row>
    <row r="2154" spans="1:17" x14ac:dyDescent="0.3">
      <c r="A2154" t="s">
        <v>75</v>
      </c>
      <c r="B2154" t="str">
        <f>"002876"</f>
        <v>002876</v>
      </c>
      <c r="C2154" t="s">
        <v>4631</v>
      </c>
      <c r="D2154" t="s">
        <v>128</v>
      </c>
      <c r="E2154">
        <v>492977605</v>
      </c>
      <c r="F2154">
        <v>534609035</v>
      </c>
      <c r="G2154">
        <v>284984191</v>
      </c>
      <c r="H2154">
        <v>244063511</v>
      </c>
      <c r="I2154">
        <v>199506923</v>
      </c>
      <c r="J2154">
        <v>192458115</v>
      </c>
      <c r="P2154">
        <v>212</v>
      </c>
      <c r="Q2154" t="s">
        <v>4632</v>
      </c>
    </row>
    <row r="2155" spans="1:17" x14ac:dyDescent="0.3">
      <c r="A2155" t="s">
        <v>75</v>
      </c>
      <c r="B2155" t="str">
        <f>"000738"</f>
        <v>000738</v>
      </c>
      <c r="C2155" t="s">
        <v>4633</v>
      </c>
      <c r="D2155" t="s">
        <v>1551</v>
      </c>
      <c r="E2155">
        <v>492311480</v>
      </c>
      <c r="F2155">
        <v>468645058</v>
      </c>
      <c r="G2155">
        <v>313358687</v>
      </c>
      <c r="H2155">
        <v>393211855</v>
      </c>
      <c r="I2155">
        <v>229102368</v>
      </c>
      <c r="J2155">
        <v>308127386</v>
      </c>
      <c r="K2155">
        <v>345745978</v>
      </c>
      <c r="L2155">
        <v>291222986</v>
      </c>
      <c r="M2155">
        <v>289524997</v>
      </c>
      <c r="N2155">
        <v>360219227</v>
      </c>
      <c r="O2155">
        <v>281126576</v>
      </c>
      <c r="P2155">
        <v>324</v>
      </c>
      <c r="Q2155" t="s">
        <v>4634</v>
      </c>
    </row>
    <row r="2156" spans="1:17" x14ac:dyDescent="0.3">
      <c r="A2156" t="s">
        <v>75</v>
      </c>
      <c r="B2156" t="str">
        <f>"300699"</f>
        <v>300699</v>
      </c>
      <c r="C2156" t="s">
        <v>4635</v>
      </c>
      <c r="D2156" t="s">
        <v>1551</v>
      </c>
      <c r="E2156">
        <v>492094216</v>
      </c>
      <c r="F2156">
        <v>310983398</v>
      </c>
      <c r="G2156">
        <v>338816888</v>
      </c>
      <c r="H2156">
        <v>427107657</v>
      </c>
      <c r="I2156">
        <v>224443873</v>
      </c>
      <c r="J2156">
        <v>200797689</v>
      </c>
      <c r="P2156">
        <v>914</v>
      </c>
      <c r="Q2156" t="s">
        <v>4636</v>
      </c>
    </row>
    <row r="2157" spans="1:17" x14ac:dyDescent="0.3">
      <c r="A2157" t="s">
        <v>17</v>
      </c>
      <c r="B2157" t="str">
        <f>"688697"</f>
        <v>688697</v>
      </c>
      <c r="C2157" t="s">
        <v>4637</v>
      </c>
      <c r="D2157" t="s">
        <v>3360</v>
      </c>
      <c r="E2157">
        <v>491043371</v>
      </c>
      <c r="P2157">
        <v>16</v>
      </c>
      <c r="Q2157" t="s">
        <v>4638</v>
      </c>
    </row>
    <row r="2158" spans="1:17" x14ac:dyDescent="0.3">
      <c r="A2158" t="s">
        <v>75</v>
      </c>
      <c r="B2158" t="str">
        <f>"000510"</f>
        <v>000510</v>
      </c>
      <c r="C2158" t="s">
        <v>4639</v>
      </c>
      <c r="D2158" t="s">
        <v>311</v>
      </c>
      <c r="E2158">
        <v>490859064</v>
      </c>
      <c r="F2158">
        <v>669473921</v>
      </c>
      <c r="G2158">
        <v>694053186</v>
      </c>
      <c r="H2158">
        <v>738727907</v>
      </c>
      <c r="I2158">
        <v>519249342</v>
      </c>
      <c r="J2158">
        <v>476078775</v>
      </c>
      <c r="K2158">
        <v>337375237</v>
      </c>
      <c r="L2158">
        <v>452455428</v>
      </c>
      <c r="M2158">
        <v>579284525</v>
      </c>
      <c r="N2158">
        <v>553976572</v>
      </c>
      <c r="O2158">
        <v>602820272</v>
      </c>
      <c r="P2158">
        <v>128</v>
      </c>
      <c r="Q2158" t="s">
        <v>4640</v>
      </c>
    </row>
    <row r="2159" spans="1:17" x14ac:dyDescent="0.3">
      <c r="A2159" t="s">
        <v>75</v>
      </c>
      <c r="B2159" t="str">
        <f>"300493"</f>
        <v>300493</v>
      </c>
      <c r="C2159" t="s">
        <v>4641</v>
      </c>
      <c r="D2159" t="s">
        <v>221</v>
      </c>
      <c r="E2159">
        <v>490279754</v>
      </c>
      <c r="F2159">
        <v>456286413</v>
      </c>
      <c r="G2159">
        <v>351899247</v>
      </c>
      <c r="H2159">
        <v>413054682</v>
      </c>
      <c r="I2159">
        <v>505332041</v>
      </c>
      <c r="J2159">
        <v>428270847</v>
      </c>
      <c r="K2159">
        <v>322553167</v>
      </c>
      <c r="L2159">
        <v>0</v>
      </c>
      <c r="P2159">
        <v>187</v>
      </c>
      <c r="Q2159" t="s">
        <v>4642</v>
      </c>
    </row>
    <row r="2160" spans="1:17" x14ac:dyDescent="0.3">
      <c r="A2160" t="s">
        <v>75</v>
      </c>
      <c r="B2160" t="str">
        <f>"002098"</f>
        <v>002098</v>
      </c>
      <c r="C2160" t="s">
        <v>4643</v>
      </c>
      <c r="D2160" t="s">
        <v>3460</v>
      </c>
      <c r="E2160">
        <v>489675445</v>
      </c>
      <c r="F2160">
        <v>367455900</v>
      </c>
      <c r="G2160">
        <v>446814484</v>
      </c>
      <c r="H2160">
        <v>442584466</v>
      </c>
      <c r="I2160">
        <v>551984065</v>
      </c>
      <c r="J2160">
        <v>271118376</v>
      </c>
      <c r="K2160">
        <v>236790584</v>
      </c>
      <c r="L2160">
        <v>250137470</v>
      </c>
      <c r="M2160">
        <v>221602412</v>
      </c>
      <c r="N2160">
        <v>216563870</v>
      </c>
      <c r="O2160">
        <v>200090996</v>
      </c>
      <c r="P2160">
        <v>111</v>
      </c>
      <c r="Q2160" t="s">
        <v>4644</v>
      </c>
    </row>
    <row r="2161" spans="1:17" x14ac:dyDescent="0.3">
      <c r="A2161" t="s">
        <v>17</v>
      </c>
      <c r="B2161" t="str">
        <f>"600774"</f>
        <v>600774</v>
      </c>
      <c r="C2161" t="s">
        <v>4645</v>
      </c>
      <c r="D2161" t="s">
        <v>359</v>
      </c>
      <c r="E2161">
        <v>489458094</v>
      </c>
      <c r="F2161">
        <v>609462097</v>
      </c>
      <c r="G2161">
        <v>141833145</v>
      </c>
      <c r="H2161">
        <v>360707788</v>
      </c>
      <c r="I2161">
        <v>365114602</v>
      </c>
      <c r="J2161">
        <v>297545630</v>
      </c>
      <c r="K2161">
        <v>300937400</v>
      </c>
      <c r="L2161">
        <v>311718748</v>
      </c>
      <c r="M2161">
        <v>305000797</v>
      </c>
      <c r="N2161">
        <v>295968551</v>
      </c>
      <c r="O2161">
        <v>284194641</v>
      </c>
      <c r="P2161">
        <v>84</v>
      </c>
      <c r="Q2161" t="s">
        <v>4646</v>
      </c>
    </row>
    <row r="2162" spans="1:17" x14ac:dyDescent="0.3">
      <c r="A2162" t="s">
        <v>75</v>
      </c>
      <c r="B2162" t="str">
        <f>"200058"</f>
        <v>200058</v>
      </c>
      <c r="C2162" t="s">
        <v>4647</v>
      </c>
      <c r="E2162">
        <v>488613747.81800002</v>
      </c>
      <c r="F2162">
        <v>437413333.83950001</v>
      </c>
      <c r="G2162">
        <v>189167445.69029999</v>
      </c>
      <c r="H2162">
        <v>336810929.22000003</v>
      </c>
      <c r="I2162">
        <v>482834675.39749998</v>
      </c>
      <c r="J2162">
        <v>487464111.01319999</v>
      </c>
      <c r="K2162">
        <v>324758610.70039999</v>
      </c>
      <c r="L2162">
        <v>453960800</v>
      </c>
      <c r="M2162">
        <v>586015450.11559999</v>
      </c>
      <c r="N2162">
        <v>145933301.93520001</v>
      </c>
      <c r="O2162">
        <v>133255442.979</v>
      </c>
      <c r="P2162">
        <v>7</v>
      </c>
      <c r="Q2162" t="s">
        <v>4648</v>
      </c>
    </row>
    <row r="2163" spans="1:17" x14ac:dyDescent="0.3">
      <c r="A2163" t="s">
        <v>75</v>
      </c>
      <c r="B2163" t="str">
        <f>"300747"</f>
        <v>300747</v>
      </c>
      <c r="C2163" t="s">
        <v>4649</v>
      </c>
      <c r="D2163" t="s">
        <v>1497</v>
      </c>
      <c r="E2163">
        <v>488482128</v>
      </c>
      <c r="F2163">
        <v>291581458</v>
      </c>
      <c r="G2163">
        <v>112658428</v>
      </c>
      <c r="H2163">
        <v>181432111</v>
      </c>
      <c r="I2163">
        <v>0</v>
      </c>
      <c r="J2163">
        <v>0</v>
      </c>
      <c r="P2163">
        <v>3347</v>
      </c>
      <c r="Q2163" t="s">
        <v>4650</v>
      </c>
    </row>
    <row r="2164" spans="1:17" x14ac:dyDescent="0.3">
      <c r="A2164" t="s">
        <v>17</v>
      </c>
      <c r="B2164" t="str">
        <f>"603386"</f>
        <v>603386</v>
      </c>
      <c r="C2164" t="s">
        <v>4651</v>
      </c>
      <c r="D2164" t="s">
        <v>567</v>
      </c>
      <c r="E2164">
        <v>487703423</v>
      </c>
      <c r="F2164">
        <v>380804944</v>
      </c>
      <c r="G2164">
        <v>313057007</v>
      </c>
      <c r="H2164">
        <v>224508666</v>
      </c>
      <c r="I2164">
        <v>195457261</v>
      </c>
      <c r="J2164">
        <v>156087409</v>
      </c>
      <c r="P2164">
        <v>180</v>
      </c>
      <c r="Q2164" t="s">
        <v>4652</v>
      </c>
    </row>
    <row r="2165" spans="1:17" x14ac:dyDescent="0.3">
      <c r="A2165" t="s">
        <v>17</v>
      </c>
      <c r="B2165" t="str">
        <f>"600305"</f>
        <v>600305</v>
      </c>
      <c r="C2165" t="s">
        <v>4653</v>
      </c>
      <c r="D2165" t="s">
        <v>774</v>
      </c>
      <c r="E2165">
        <v>487616233</v>
      </c>
      <c r="F2165">
        <v>602162030</v>
      </c>
      <c r="G2165">
        <v>555506293</v>
      </c>
      <c r="H2165">
        <v>545754290</v>
      </c>
      <c r="I2165">
        <v>517785770</v>
      </c>
      <c r="J2165">
        <v>436999138</v>
      </c>
      <c r="K2165">
        <v>431343683</v>
      </c>
      <c r="L2165">
        <v>431120586</v>
      </c>
      <c r="M2165">
        <v>399204605</v>
      </c>
      <c r="N2165">
        <v>318422577</v>
      </c>
      <c r="O2165">
        <v>243122009</v>
      </c>
      <c r="P2165">
        <v>2155</v>
      </c>
      <c r="Q2165" t="s">
        <v>4654</v>
      </c>
    </row>
    <row r="2166" spans="1:17" x14ac:dyDescent="0.3">
      <c r="A2166" t="s">
        <v>75</v>
      </c>
      <c r="B2166" t="str">
        <f>"002702"</f>
        <v>002702</v>
      </c>
      <c r="C2166" t="s">
        <v>4655</v>
      </c>
      <c r="D2166" t="s">
        <v>1312</v>
      </c>
      <c r="E2166">
        <v>487525249</v>
      </c>
      <c r="F2166">
        <v>558484853</v>
      </c>
      <c r="G2166">
        <v>408257605</v>
      </c>
      <c r="H2166">
        <v>385979756</v>
      </c>
      <c r="I2166">
        <v>335724243</v>
      </c>
      <c r="J2166">
        <v>256294961</v>
      </c>
      <c r="K2166">
        <v>290135298</v>
      </c>
      <c r="L2166">
        <v>277057695</v>
      </c>
      <c r="M2166">
        <v>225935815</v>
      </c>
      <c r="N2166">
        <v>232098378</v>
      </c>
      <c r="O2166">
        <v>212542320</v>
      </c>
      <c r="P2166">
        <v>186</v>
      </c>
      <c r="Q2166" t="s">
        <v>4656</v>
      </c>
    </row>
    <row r="2167" spans="1:17" x14ac:dyDescent="0.3">
      <c r="A2167" t="s">
        <v>75</v>
      </c>
      <c r="B2167" t="str">
        <f>"000665"</f>
        <v>000665</v>
      </c>
      <c r="C2167" t="s">
        <v>4657</v>
      </c>
      <c r="D2167" t="s">
        <v>1991</v>
      </c>
      <c r="E2167">
        <v>487457112</v>
      </c>
      <c r="F2167">
        <v>486316322</v>
      </c>
      <c r="G2167">
        <v>444020290</v>
      </c>
      <c r="H2167">
        <v>489975624</v>
      </c>
      <c r="I2167">
        <v>574972132</v>
      </c>
      <c r="J2167">
        <v>528774808</v>
      </c>
      <c r="K2167">
        <v>594511852</v>
      </c>
      <c r="L2167">
        <v>582310684</v>
      </c>
      <c r="M2167">
        <v>267982511</v>
      </c>
      <c r="N2167">
        <v>256257847</v>
      </c>
      <c r="O2167">
        <v>310563061</v>
      </c>
      <c r="P2167">
        <v>221</v>
      </c>
      <c r="Q2167" t="s">
        <v>4658</v>
      </c>
    </row>
    <row r="2168" spans="1:17" x14ac:dyDescent="0.3">
      <c r="A2168" t="s">
        <v>75</v>
      </c>
      <c r="B2168" t="str">
        <f>"300705"</f>
        <v>300705</v>
      </c>
      <c r="C2168" t="s">
        <v>4659</v>
      </c>
      <c r="D2168" t="s">
        <v>543</v>
      </c>
      <c r="E2168">
        <v>487450520</v>
      </c>
      <c r="F2168">
        <v>278435960</v>
      </c>
      <c r="G2168">
        <v>177197979</v>
      </c>
      <c r="H2168">
        <v>185840367</v>
      </c>
      <c r="I2168">
        <v>171144026</v>
      </c>
      <c r="J2168">
        <v>101099034</v>
      </c>
      <c r="P2168">
        <v>167</v>
      </c>
      <c r="Q2168" t="s">
        <v>4660</v>
      </c>
    </row>
    <row r="2169" spans="1:17" x14ac:dyDescent="0.3">
      <c r="A2169" t="s">
        <v>17</v>
      </c>
      <c r="B2169" t="str">
        <f>"603227"</f>
        <v>603227</v>
      </c>
      <c r="C2169" t="s">
        <v>4661</v>
      </c>
      <c r="D2169" t="s">
        <v>1830</v>
      </c>
      <c r="E2169">
        <v>486713879</v>
      </c>
      <c r="F2169">
        <v>460753597</v>
      </c>
      <c r="G2169">
        <v>107624910</v>
      </c>
      <c r="H2169">
        <v>168477026</v>
      </c>
      <c r="I2169">
        <v>215401794</v>
      </c>
      <c r="J2169">
        <v>118357558</v>
      </c>
      <c r="K2169">
        <v>95790192</v>
      </c>
      <c r="L2169">
        <v>118385593</v>
      </c>
      <c r="M2169">
        <v>118363759</v>
      </c>
      <c r="P2169">
        <v>80</v>
      </c>
      <c r="Q2169" t="s">
        <v>4662</v>
      </c>
    </row>
    <row r="2170" spans="1:17" x14ac:dyDescent="0.3">
      <c r="A2170" t="s">
        <v>75</v>
      </c>
      <c r="B2170" t="str">
        <f>"002811"</f>
        <v>002811</v>
      </c>
      <c r="C2170" t="s">
        <v>4663</v>
      </c>
      <c r="D2170" t="s">
        <v>707</v>
      </c>
      <c r="E2170">
        <v>486350971</v>
      </c>
      <c r="F2170">
        <v>563973912</v>
      </c>
      <c r="G2170">
        <v>451537498</v>
      </c>
      <c r="H2170">
        <v>572003550</v>
      </c>
      <c r="I2170">
        <v>621235552</v>
      </c>
      <c r="J2170">
        <v>326536583</v>
      </c>
      <c r="K2170">
        <v>343497680</v>
      </c>
      <c r="P2170">
        <v>95</v>
      </c>
      <c r="Q2170" t="s">
        <v>4664</v>
      </c>
    </row>
    <row r="2171" spans="1:17" x14ac:dyDescent="0.3">
      <c r="A2171" t="s">
        <v>17</v>
      </c>
      <c r="B2171" t="str">
        <f>"600876"</f>
        <v>600876</v>
      </c>
      <c r="C2171" t="s">
        <v>4665</v>
      </c>
      <c r="D2171" t="s">
        <v>1436</v>
      </c>
      <c r="E2171">
        <v>486333022</v>
      </c>
      <c r="F2171">
        <v>591942253</v>
      </c>
      <c r="G2171">
        <v>300640589</v>
      </c>
      <c r="H2171">
        <v>145467267</v>
      </c>
      <c r="I2171">
        <v>158960741</v>
      </c>
      <c r="J2171">
        <v>24963866</v>
      </c>
      <c r="K2171">
        <v>21000379</v>
      </c>
      <c r="L2171">
        <v>61152674</v>
      </c>
      <c r="M2171">
        <v>59670357</v>
      </c>
      <c r="N2171">
        <v>37860852</v>
      </c>
      <c r="O2171">
        <v>104454269</v>
      </c>
      <c r="P2171">
        <v>175</v>
      </c>
      <c r="Q2171" t="s">
        <v>4666</v>
      </c>
    </row>
    <row r="2172" spans="1:17" x14ac:dyDescent="0.3">
      <c r="A2172" t="s">
        <v>17</v>
      </c>
      <c r="B2172" t="str">
        <f>"600693"</f>
        <v>600693</v>
      </c>
      <c r="C2172" t="s">
        <v>4667</v>
      </c>
      <c r="D2172" t="s">
        <v>582</v>
      </c>
      <c r="E2172">
        <v>485842558</v>
      </c>
      <c r="F2172">
        <v>530467640</v>
      </c>
      <c r="G2172">
        <v>215350108</v>
      </c>
      <c r="H2172">
        <v>1117261091</v>
      </c>
      <c r="I2172">
        <v>778388642</v>
      </c>
      <c r="J2172">
        <v>1100544341</v>
      </c>
      <c r="K2172">
        <v>560487941</v>
      </c>
      <c r="L2172">
        <v>638676682</v>
      </c>
      <c r="M2172">
        <v>574552098</v>
      </c>
      <c r="N2172">
        <v>631851623</v>
      </c>
      <c r="O2172">
        <v>621879113</v>
      </c>
      <c r="P2172">
        <v>103</v>
      </c>
      <c r="Q2172" t="s">
        <v>4668</v>
      </c>
    </row>
    <row r="2173" spans="1:17" x14ac:dyDescent="0.3">
      <c r="A2173" t="s">
        <v>17</v>
      </c>
      <c r="B2173" t="str">
        <f>"688553"</f>
        <v>688553</v>
      </c>
      <c r="C2173" t="s">
        <v>4669</v>
      </c>
      <c r="D2173" t="s">
        <v>543</v>
      </c>
      <c r="E2173">
        <v>485540833</v>
      </c>
      <c r="F2173">
        <v>439596485</v>
      </c>
      <c r="G2173">
        <v>275691135</v>
      </c>
      <c r="P2173">
        <v>30</v>
      </c>
      <c r="Q2173" t="s">
        <v>4670</v>
      </c>
    </row>
    <row r="2174" spans="1:17" x14ac:dyDescent="0.3">
      <c r="A2174" t="s">
        <v>75</v>
      </c>
      <c r="B2174" t="str">
        <f>"300007"</f>
        <v>300007</v>
      </c>
      <c r="C2174" t="s">
        <v>4671</v>
      </c>
      <c r="D2174" t="s">
        <v>2549</v>
      </c>
      <c r="E2174">
        <v>485483949</v>
      </c>
      <c r="F2174">
        <v>427621392</v>
      </c>
      <c r="G2174">
        <v>339178622</v>
      </c>
      <c r="H2174">
        <v>349430952</v>
      </c>
      <c r="I2174">
        <v>330019419</v>
      </c>
      <c r="J2174">
        <v>278012433</v>
      </c>
      <c r="K2174">
        <v>192435354</v>
      </c>
      <c r="L2174">
        <v>124824660</v>
      </c>
      <c r="M2174">
        <v>61403351</v>
      </c>
      <c r="N2174">
        <v>51961947</v>
      </c>
      <c r="O2174">
        <v>52580586</v>
      </c>
      <c r="P2174">
        <v>314</v>
      </c>
      <c r="Q2174" t="s">
        <v>4672</v>
      </c>
    </row>
    <row r="2175" spans="1:17" x14ac:dyDescent="0.3">
      <c r="A2175" t="s">
        <v>17</v>
      </c>
      <c r="B2175" t="str">
        <f>"603308"</f>
        <v>603308</v>
      </c>
      <c r="C2175" t="s">
        <v>4673</v>
      </c>
      <c r="D2175" t="s">
        <v>153</v>
      </c>
      <c r="E2175">
        <v>485290277</v>
      </c>
      <c r="F2175">
        <v>350928256</v>
      </c>
      <c r="G2175">
        <v>383125847</v>
      </c>
      <c r="H2175">
        <v>535193427</v>
      </c>
      <c r="I2175">
        <v>402315272</v>
      </c>
      <c r="J2175">
        <v>330376789</v>
      </c>
      <c r="K2175">
        <v>386385125</v>
      </c>
      <c r="L2175">
        <v>372649383</v>
      </c>
      <c r="M2175">
        <v>276714148</v>
      </c>
      <c r="N2175">
        <v>325243330</v>
      </c>
      <c r="P2175">
        <v>233</v>
      </c>
      <c r="Q2175" t="s">
        <v>4674</v>
      </c>
    </row>
    <row r="2176" spans="1:17" x14ac:dyDescent="0.3">
      <c r="A2176" t="s">
        <v>17</v>
      </c>
      <c r="B2176" t="str">
        <f>"600032"</f>
        <v>600032</v>
      </c>
      <c r="C2176" t="s">
        <v>4675</v>
      </c>
      <c r="D2176" t="s">
        <v>3126</v>
      </c>
      <c r="E2176">
        <v>484846286</v>
      </c>
      <c r="F2176">
        <v>156410670</v>
      </c>
      <c r="G2176">
        <v>168380898</v>
      </c>
      <c r="P2176">
        <v>81</v>
      </c>
      <c r="Q2176" t="s">
        <v>4676</v>
      </c>
    </row>
    <row r="2177" spans="1:17" x14ac:dyDescent="0.3">
      <c r="A2177" t="s">
        <v>75</v>
      </c>
      <c r="B2177" t="str">
        <f>"300528"</f>
        <v>300528</v>
      </c>
      <c r="C2177" t="s">
        <v>4677</v>
      </c>
      <c r="D2177" t="s">
        <v>1155</v>
      </c>
      <c r="E2177">
        <v>484793519</v>
      </c>
      <c r="F2177">
        <v>591552603</v>
      </c>
      <c r="G2177">
        <v>191266743</v>
      </c>
      <c r="H2177">
        <v>513298212</v>
      </c>
      <c r="I2177">
        <v>505548542</v>
      </c>
      <c r="J2177">
        <v>460193021</v>
      </c>
      <c r="K2177">
        <v>452368512</v>
      </c>
      <c r="L2177">
        <v>261563886</v>
      </c>
      <c r="P2177">
        <v>81</v>
      </c>
      <c r="Q2177" t="s">
        <v>4678</v>
      </c>
    </row>
    <row r="2178" spans="1:17" x14ac:dyDescent="0.3">
      <c r="A2178" t="s">
        <v>75</v>
      </c>
      <c r="B2178" t="str">
        <f>"002631"</f>
        <v>002631</v>
      </c>
      <c r="C2178" t="s">
        <v>4679</v>
      </c>
      <c r="D2178" t="s">
        <v>1004</v>
      </c>
      <c r="E2178">
        <v>484306295</v>
      </c>
      <c r="F2178">
        <v>414831654</v>
      </c>
      <c r="G2178">
        <v>266249027</v>
      </c>
      <c r="H2178">
        <v>311064622</v>
      </c>
      <c r="I2178">
        <v>358848925</v>
      </c>
      <c r="J2178">
        <v>265685795</v>
      </c>
      <c r="K2178">
        <v>230612042</v>
      </c>
      <c r="L2178">
        <v>125838387</v>
      </c>
      <c r="M2178">
        <v>125502320</v>
      </c>
      <c r="N2178">
        <v>86342194</v>
      </c>
      <c r="O2178">
        <v>26725285</v>
      </c>
      <c r="P2178">
        <v>156</v>
      </c>
      <c r="Q2178" t="s">
        <v>4680</v>
      </c>
    </row>
    <row r="2179" spans="1:17" x14ac:dyDescent="0.3">
      <c r="A2179" t="s">
        <v>17</v>
      </c>
      <c r="B2179" t="str">
        <f>"688516"</f>
        <v>688516</v>
      </c>
      <c r="C2179" t="s">
        <v>4681</v>
      </c>
      <c r="D2179" t="s">
        <v>2212</v>
      </c>
      <c r="E2179">
        <v>484219784</v>
      </c>
      <c r="F2179">
        <v>409346020</v>
      </c>
      <c r="G2179">
        <v>168128856</v>
      </c>
      <c r="H2179">
        <v>142210689</v>
      </c>
      <c r="P2179">
        <v>152</v>
      </c>
      <c r="Q2179" t="s">
        <v>4682</v>
      </c>
    </row>
    <row r="2180" spans="1:17" x14ac:dyDescent="0.3">
      <c r="A2180" t="s">
        <v>75</v>
      </c>
      <c r="B2180" t="str">
        <f>"002688"</f>
        <v>002688</v>
      </c>
      <c r="C2180" t="s">
        <v>4683</v>
      </c>
      <c r="D2180" t="s">
        <v>3609</v>
      </c>
      <c r="E2180">
        <v>483989303</v>
      </c>
      <c r="F2180">
        <v>445902607</v>
      </c>
      <c r="G2180">
        <v>392264631</v>
      </c>
      <c r="H2180">
        <v>365302805</v>
      </c>
      <c r="I2180">
        <v>350394260</v>
      </c>
      <c r="J2180">
        <v>334503893</v>
      </c>
      <c r="K2180">
        <v>369863545</v>
      </c>
      <c r="L2180">
        <v>302767309</v>
      </c>
      <c r="M2180">
        <v>164591128</v>
      </c>
      <c r="N2180">
        <v>213543804</v>
      </c>
      <c r="O2180">
        <v>144705796</v>
      </c>
      <c r="P2180">
        <v>167</v>
      </c>
      <c r="Q2180" t="s">
        <v>4684</v>
      </c>
    </row>
    <row r="2181" spans="1:17" x14ac:dyDescent="0.3">
      <c r="A2181" t="s">
        <v>75</v>
      </c>
      <c r="B2181" t="str">
        <f>"300566"</f>
        <v>300566</v>
      </c>
      <c r="C2181" t="s">
        <v>4685</v>
      </c>
      <c r="D2181" t="s">
        <v>975</v>
      </c>
      <c r="E2181">
        <v>483140498</v>
      </c>
      <c r="F2181">
        <v>390605090</v>
      </c>
      <c r="G2181">
        <v>271368906</v>
      </c>
      <c r="H2181">
        <v>263474391</v>
      </c>
      <c r="I2181">
        <v>148891798</v>
      </c>
      <c r="J2181">
        <v>121224629</v>
      </c>
      <c r="K2181">
        <v>187506243</v>
      </c>
      <c r="P2181">
        <v>197</v>
      </c>
      <c r="Q2181" t="s">
        <v>4686</v>
      </c>
    </row>
    <row r="2182" spans="1:17" x14ac:dyDescent="0.3">
      <c r="A2182" t="s">
        <v>17</v>
      </c>
      <c r="B2182" t="str">
        <f>"603803"</f>
        <v>603803</v>
      </c>
      <c r="C2182" t="s">
        <v>4687</v>
      </c>
      <c r="D2182" t="s">
        <v>556</v>
      </c>
      <c r="E2182">
        <v>482963458</v>
      </c>
      <c r="F2182">
        <v>402848996</v>
      </c>
      <c r="G2182">
        <v>403358779</v>
      </c>
      <c r="H2182">
        <v>820319720</v>
      </c>
      <c r="I2182">
        <v>402237996</v>
      </c>
      <c r="J2182">
        <v>384998486</v>
      </c>
      <c r="K2182">
        <v>484133328</v>
      </c>
      <c r="P2182">
        <v>153</v>
      </c>
      <c r="Q2182" t="s">
        <v>4688</v>
      </c>
    </row>
    <row r="2183" spans="1:17" x14ac:dyDescent="0.3">
      <c r="A2183" t="s">
        <v>17</v>
      </c>
      <c r="B2183" t="str">
        <f>"688106"</f>
        <v>688106</v>
      </c>
      <c r="C2183" t="s">
        <v>4689</v>
      </c>
      <c r="D2183" t="s">
        <v>1853</v>
      </c>
      <c r="E2183">
        <v>482425798</v>
      </c>
      <c r="F2183">
        <v>440688289</v>
      </c>
      <c r="G2183">
        <v>262596106</v>
      </c>
      <c r="H2183">
        <v>282880166</v>
      </c>
      <c r="P2183">
        <v>136</v>
      </c>
      <c r="Q2183" t="s">
        <v>4690</v>
      </c>
    </row>
    <row r="2184" spans="1:17" x14ac:dyDescent="0.3">
      <c r="A2184" t="s">
        <v>75</v>
      </c>
      <c r="B2184" t="str">
        <f>"002350"</f>
        <v>002350</v>
      </c>
      <c r="C2184" t="s">
        <v>4691</v>
      </c>
      <c r="D2184" t="s">
        <v>546</v>
      </c>
      <c r="E2184">
        <v>482006708</v>
      </c>
      <c r="F2184">
        <v>500512642</v>
      </c>
      <c r="G2184">
        <v>460344720</v>
      </c>
      <c r="H2184">
        <v>655007062</v>
      </c>
      <c r="I2184">
        <v>552185252</v>
      </c>
      <c r="J2184">
        <v>321021048</v>
      </c>
      <c r="K2184">
        <v>312674315</v>
      </c>
      <c r="L2184">
        <v>262619354</v>
      </c>
      <c r="M2184">
        <v>184883250</v>
      </c>
      <c r="N2184">
        <v>199252395</v>
      </c>
      <c r="O2184">
        <v>236692798</v>
      </c>
      <c r="P2184">
        <v>104</v>
      </c>
      <c r="Q2184" t="s">
        <v>4692</v>
      </c>
    </row>
    <row r="2185" spans="1:17" x14ac:dyDescent="0.3">
      <c r="A2185" t="s">
        <v>75</v>
      </c>
      <c r="B2185" t="str">
        <f>"000570"</f>
        <v>000570</v>
      </c>
      <c r="C2185" t="s">
        <v>4693</v>
      </c>
      <c r="D2185" t="s">
        <v>172</v>
      </c>
      <c r="E2185">
        <v>481987178</v>
      </c>
      <c r="F2185">
        <v>489688618</v>
      </c>
      <c r="G2185">
        <v>394536275</v>
      </c>
      <c r="H2185">
        <v>385993156</v>
      </c>
      <c r="I2185">
        <v>439612228</v>
      </c>
      <c r="J2185">
        <v>559720974</v>
      </c>
      <c r="K2185">
        <v>570710623</v>
      </c>
      <c r="L2185">
        <v>625633539</v>
      </c>
      <c r="M2185">
        <v>633248455</v>
      </c>
      <c r="N2185">
        <v>809467551</v>
      </c>
      <c r="O2185">
        <v>845225916</v>
      </c>
      <c r="P2185">
        <v>81</v>
      </c>
      <c r="Q2185" t="s">
        <v>4694</v>
      </c>
    </row>
    <row r="2186" spans="1:17" x14ac:dyDescent="0.3">
      <c r="A2186" t="s">
        <v>75</v>
      </c>
      <c r="B2186" t="str">
        <f>"002321"</f>
        <v>002321</v>
      </c>
      <c r="C2186" t="s">
        <v>4695</v>
      </c>
      <c r="D2186" t="s">
        <v>1377</v>
      </c>
      <c r="E2186">
        <v>481821549</v>
      </c>
      <c r="F2186">
        <v>725751924</v>
      </c>
      <c r="G2186">
        <v>947641857</v>
      </c>
      <c r="H2186">
        <v>1504222437</v>
      </c>
      <c r="I2186">
        <v>1418351374</v>
      </c>
      <c r="J2186">
        <v>774997068</v>
      </c>
      <c r="K2186">
        <v>633528345</v>
      </c>
      <c r="L2186">
        <v>537613784</v>
      </c>
      <c r="M2186">
        <v>473467341</v>
      </c>
      <c r="N2186">
        <v>447571775</v>
      </c>
      <c r="O2186">
        <v>440119576</v>
      </c>
      <c r="P2186">
        <v>111</v>
      </c>
      <c r="Q2186" t="s">
        <v>4696</v>
      </c>
    </row>
    <row r="2187" spans="1:17" x14ac:dyDescent="0.3">
      <c r="A2187" t="s">
        <v>75</v>
      </c>
      <c r="B2187" t="str">
        <f>"300666"</f>
        <v>300666</v>
      </c>
      <c r="C2187" t="s">
        <v>4697</v>
      </c>
      <c r="D2187" t="s">
        <v>489</v>
      </c>
      <c r="E2187">
        <v>481568053</v>
      </c>
      <c r="F2187">
        <v>275725461</v>
      </c>
      <c r="G2187">
        <v>231543017</v>
      </c>
      <c r="H2187">
        <v>161576601</v>
      </c>
      <c r="I2187">
        <v>149391639</v>
      </c>
      <c r="J2187">
        <v>133738611</v>
      </c>
      <c r="K2187">
        <v>84296590</v>
      </c>
      <c r="P2187">
        <v>519</v>
      </c>
      <c r="Q2187" t="s">
        <v>4698</v>
      </c>
    </row>
    <row r="2188" spans="1:17" x14ac:dyDescent="0.3">
      <c r="A2188" t="s">
        <v>75</v>
      </c>
      <c r="B2188" t="str">
        <f>"300741"</f>
        <v>300741</v>
      </c>
      <c r="C2188" t="s">
        <v>4699</v>
      </c>
      <c r="D2188" t="s">
        <v>1291</v>
      </c>
      <c r="E2188">
        <v>481539627</v>
      </c>
      <c r="F2188">
        <v>595250254</v>
      </c>
      <c r="G2188">
        <v>470976074</v>
      </c>
      <c r="H2188">
        <v>510821405</v>
      </c>
      <c r="I2188">
        <v>758910723</v>
      </c>
      <c r="J2188">
        <v>742148668</v>
      </c>
      <c r="P2188">
        <v>458</v>
      </c>
      <c r="Q2188" t="s">
        <v>4700</v>
      </c>
    </row>
    <row r="2189" spans="1:17" x14ac:dyDescent="0.3">
      <c r="A2189" t="s">
        <v>75</v>
      </c>
      <c r="B2189" t="str">
        <f>"300558"</f>
        <v>300558</v>
      </c>
      <c r="C2189" t="s">
        <v>4701</v>
      </c>
      <c r="D2189" t="s">
        <v>543</v>
      </c>
      <c r="E2189">
        <v>480896718</v>
      </c>
      <c r="F2189">
        <v>597293001</v>
      </c>
      <c r="G2189">
        <v>593501098</v>
      </c>
      <c r="H2189">
        <v>382007851</v>
      </c>
      <c r="I2189">
        <v>350979602</v>
      </c>
      <c r="J2189">
        <v>267444411</v>
      </c>
      <c r="K2189">
        <v>298219638</v>
      </c>
      <c r="P2189">
        <v>756</v>
      </c>
      <c r="Q2189" t="s">
        <v>4702</v>
      </c>
    </row>
    <row r="2190" spans="1:17" x14ac:dyDescent="0.3">
      <c r="A2190" t="s">
        <v>75</v>
      </c>
      <c r="B2190" t="str">
        <f>"002522"</f>
        <v>002522</v>
      </c>
      <c r="C2190" t="s">
        <v>4703</v>
      </c>
      <c r="D2190" t="s">
        <v>2029</v>
      </c>
      <c r="E2190">
        <v>480243601</v>
      </c>
      <c r="F2190">
        <v>433292869</v>
      </c>
      <c r="G2190">
        <v>271577857</v>
      </c>
      <c r="H2190">
        <v>301088397</v>
      </c>
      <c r="I2190">
        <v>259507578</v>
      </c>
      <c r="J2190">
        <v>142926523</v>
      </c>
      <c r="K2190">
        <v>123338255</v>
      </c>
      <c r="L2190">
        <v>136449887</v>
      </c>
      <c r="M2190">
        <v>122004558</v>
      </c>
      <c r="N2190">
        <v>127693297</v>
      </c>
      <c r="O2190">
        <v>115960076</v>
      </c>
      <c r="P2190">
        <v>367</v>
      </c>
      <c r="Q2190" t="s">
        <v>4704</v>
      </c>
    </row>
    <row r="2191" spans="1:17" x14ac:dyDescent="0.3">
      <c r="A2191" t="s">
        <v>17</v>
      </c>
      <c r="B2191" t="str">
        <f>"688001"</f>
        <v>688001</v>
      </c>
      <c r="C2191" t="s">
        <v>4705</v>
      </c>
      <c r="D2191" t="s">
        <v>2549</v>
      </c>
      <c r="E2191">
        <v>480221010</v>
      </c>
      <c r="F2191">
        <v>418545269</v>
      </c>
      <c r="G2191">
        <v>253164804</v>
      </c>
      <c r="H2191">
        <v>0</v>
      </c>
      <c r="I2191">
        <v>0</v>
      </c>
      <c r="P2191">
        <v>169</v>
      </c>
      <c r="Q2191" t="s">
        <v>4706</v>
      </c>
    </row>
    <row r="2192" spans="1:17" x14ac:dyDescent="0.3">
      <c r="A2192" t="s">
        <v>75</v>
      </c>
      <c r="B2192" t="str">
        <f>"300391"</f>
        <v>300391</v>
      </c>
      <c r="C2192" t="s">
        <v>4707</v>
      </c>
      <c r="D2192" t="s">
        <v>172</v>
      </c>
      <c r="E2192">
        <v>480150552</v>
      </c>
      <c r="F2192">
        <v>678380108</v>
      </c>
      <c r="G2192">
        <v>77584838</v>
      </c>
      <c r="H2192">
        <v>109241086</v>
      </c>
      <c r="I2192">
        <v>80449496</v>
      </c>
      <c r="J2192">
        <v>40168605</v>
      </c>
      <c r="K2192">
        <v>16679155</v>
      </c>
      <c r="L2192">
        <v>19629664</v>
      </c>
      <c r="M2192">
        <v>28974403</v>
      </c>
      <c r="N2192">
        <v>33754638</v>
      </c>
      <c r="P2192">
        <v>80</v>
      </c>
      <c r="Q2192" t="s">
        <v>4708</v>
      </c>
    </row>
    <row r="2193" spans="1:17" x14ac:dyDescent="0.3">
      <c r="A2193" t="s">
        <v>17</v>
      </c>
      <c r="B2193" t="str">
        <f>"600167"</f>
        <v>600167</v>
      </c>
      <c r="C2193" t="s">
        <v>4709</v>
      </c>
      <c r="D2193" t="s">
        <v>446</v>
      </c>
      <c r="E2193">
        <v>479346594</v>
      </c>
      <c r="F2193">
        <v>504514544</v>
      </c>
      <c r="G2193">
        <v>295318898</v>
      </c>
      <c r="H2193">
        <v>308788724</v>
      </c>
      <c r="I2193">
        <v>196293632</v>
      </c>
      <c r="J2193">
        <v>247330461</v>
      </c>
      <c r="K2193">
        <v>14390575</v>
      </c>
      <c r="L2193">
        <v>21143583</v>
      </c>
      <c r="M2193">
        <v>19159270</v>
      </c>
      <c r="N2193">
        <v>52962147</v>
      </c>
      <c r="O2193">
        <v>36479860</v>
      </c>
      <c r="P2193">
        <v>39750</v>
      </c>
      <c r="Q2193" t="s">
        <v>4710</v>
      </c>
    </row>
    <row r="2194" spans="1:17" x14ac:dyDescent="0.3">
      <c r="A2194" t="s">
        <v>17</v>
      </c>
      <c r="B2194" t="str">
        <f>"600793"</f>
        <v>600793</v>
      </c>
      <c r="C2194" t="s">
        <v>4711</v>
      </c>
      <c r="D2194" t="s">
        <v>2183</v>
      </c>
      <c r="E2194">
        <v>478666547</v>
      </c>
      <c r="F2194">
        <v>412996700</v>
      </c>
      <c r="G2194">
        <v>302477532</v>
      </c>
      <c r="H2194">
        <v>251026902</v>
      </c>
      <c r="I2194">
        <v>272721641</v>
      </c>
      <c r="J2194">
        <v>290903841</v>
      </c>
      <c r="K2194">
        <v>140592065</v>
      </c>
      <c r="L2194">
        <v>29938</v>
      </c>
      <c r="M2194">
        <v>2264559</v>
      </c>
      <c r="N2194">
        <v>1173615</v>
      </c>
      <c r="O2194">
        <v>606651</v>
      </c>
      <c r="P2194">
        <v>109</v>
      </c>
      <c r="Q2194" t="s">
        <v>4712</v>
      </c>
    </row>
    <row r="2195" spans="1:17" x14ac:dyDescent="0.3">
      <c r="A2195" t="s">
        <v>75</v>
      </c>
      <c r="B2195" t="str">
        <f>"300687"</f>
        <v>300687</v>
      </c>
      <c r="C2195" t="s">
        <v>4713</v>
      </c>
      <c r="D2195" t="s">
        <v>224</v>
      </c>
      <c r="E2195">
        <v>477797211</v>
      </c>
      <c r="F2195">
        <v>429923546</v>
      </c>
      <c r="G2195">
        <v>231767890</v>
      </c>
      <c r="H2195">
        <v>201291753</v>
      </c>
      <c r="I2195">
        <v>116221329</v>
      </c>
      <c r="J2195">
        <v>206401935</v>
      </c>
      <c r="K2195">
        <v>132433392</v>
      </c>
      <c r="P2195">
        <v>266</v>
      </c>
      <c r="Q2195" t="s">
        <v>4714</v>
      </c>
    </row>
    <row r="2196" spans="1:17" x14ac:dyDescent="0.3">
      <c r="A2196" t="s">
        <v>75</v>
      </c>
      <c r="B2196" t="str">
        <f>"300887"</f>
        <v>300887</v>
      </c>
      <c r="C2196" t="s">
        <v>4715</v>
      </c>
      <c r="D2196" t="s">
        <v>3153</v>
      </c>
      <c r="E2196">
        <v>477382562</v>
      </c>
      <c r="F2196">
        <v>276578972</v>
      </c>
      <c r="G2196">
        <v>171222573</v>
      </c>
      <c r="P2196">
        <v>117</v>
      </c>
      <c r="Q2196" t="s">
        <v>4716</v>
      </c>
    </row>
    <row r="2197" spans="1:17" x14ac:dyDescent="0.3">
      <c r="A2197" t="s">
        <v>17</v>
      </c>
      <c r="B2197" t="str">
        <f>"600526"</f>
        <v>600526</v>
      </c>
      <c r="C2197" t="s">
        <v>4717</v>
      </c>
      <c r="D2197" t="s">
        <v>1642</v>
      </c>
      <c r="E2197">
        <v>477205739</v>
      </c>
      <c r="F2197">
        <v>368390307</v>
      </c>
      <c r="G2197">
        <v>534835509</v>
      </c>
      <c r="H2197">
        <v>658739336</v>
      </c>
      <c r="I2197">
        <v>545229625</v>
      </c>
      <c r="J2197">
        <v>494893717</v>
      </c>
      <c r="K2197">
        <v>974105182</v>
      </c>
      <c r="L2197">
        <v>846575869</v>
      </c>
      <c r="M2197">
        <v>558498267</v>
      </c>
      <c r="N2197">
        <v>335527875</v>
      </c>
      <c r="O2197">
        <v>375873835</v>
      </c>
      <c r="P2197">
        <v>114</v>
      </c>
      <c r="Q2197" t="s">
        <v>4718</v>
      </c>
    </row>
    <row r="2198" spans="1:17" x14ac:dyDescent="0.3">
      <c r="A2198" t="s">
        <v>75</v>
      </c>
      <c r="B2198" t="str">
        <f>"002438"</f>
        <v>002438</v>
      </c>
      <c r="C2198" t="s">
        <v>4719</v>
      </c>
      <c r="D2198" t="s">
        <v>153</v>
      </c>
      <c r="E2198">
        <v>476849561</v>
      </c>
      <c r="F2198">
        <v>460932110</v>
      </c>
      <c r="G2198">
        <v>278455419</v>
      </c>
      <c r="H2198">
        <v>337065670</v>
      </c>
      <c r="I2198">
        <v>235902001</v>
      </c>
      <c r="J2198">
        <v>193602717</v>
      </c>
      <c r="K2198">
        <v>136838112</v>
      </c>
      <c r="L2198">
        <v>85369389</v>
      </c>
      <c r="M2198">
        <v>95936105</v>
      </c>
      <c r="N2198">
        <v>121104048</v>
      </c>
      <c r="O2198">
        <v>83428960</v>
      </c>
      <c r="P2198">
        <v>185</v>
      </c>
      <c r="Q2198" t="s">
        <v>4720</v>
      </c>
    </row>
    <row r="2199" spans="1:17" x14ac:dyDescent="0.3">
      <c r="A2199" t="s">
        <v>75</v>
      </c>
      <c r="B2199" t="str">
        <f>"300532"</f>
        <v>300532</v>
      </c>
      <c r="C2199" t="s">
        <v>4721</v>
      </c>
      <c r="D2199" t="s">
        <v>224</v>
      </c>
      <c r="E2199">
        <v>476839146</v>
      </c>
      <c r="F2199">
        <v>208187721</v>
      </c>
      <c r="G2199">
        <v>131091538</v>
      </c>
      <c r="H2199">
        <v>185368276</v>
      </c>
      <c r="I2199">
        <v>51472291</v>
      </c>
      <c r="J2199">
        <v>80416017</v>
      </c>
      <c r="K2199">
        <v>74437463</v>
      </c>
      <c r="P2199">
        <v>220</v>
      </c>
      <c r="Q2199" t="s">
        <v>4722</v>
      </c>
    </row>
    <row r="2200" spans="1:17" x14ac:dyDescent="0.3">
      <c r="A2200" t="s">
        <v>75</v>
      </c>
      <c r="B2200" t="str">
        <f>"002022"</f>
        <v>002022</v>
      </c>
      <c r="C2200" t="s">
        <v>4723</v>
      </c>
      <c r="D2200" t="s">
        <v>967</v>
      </c>
      <c r="E2200">
        <v>476639751</v>
      </c>
      <c r="F2200">
        <v>1438242669</v>
      </c>
      <c r="G2200">
        <v>629894372</v>
      </c>
      <c r="H2200">
        <v>486469151</v>
      </c>
      <c r="I2200">
        <v>462119593</v>
      </c>
      <c r="J2200">
        <v>402138272</v>
      </c>
      <c r="K2200">
        <v>390998995</v>
      </c>
      <c r="L2200">
        <v>347413683</v>
      </c>
      <c r="M2200">
        <v>357498732</v>
      </c>
      <c r="N2200">
        <v>316532433</v>
      </c>
      <c r="O2200">
        <v>260837690</v>
      </c>
      <c r="P2200">
        <v>1024</v>
      </c>
      <c r="Q2200" t="s">
        <v>4724</v>
      </c>
    </row>
    <row r="2201" spans="1:17" x14ac:dyDescent="0.3">
      <c r="A2201" t="s">
        <v>75</v>
      </c>
      <c r="B2201" t="str">
        <f>"000685"</f>
        <v>000685</v>
      </c>
      <c r="C2201" t="s">
        <v>4725</v>
      </c>
      <c r="D2201" t="s">
        <v>1107</v>
      </c>
      <c r="E2201">
        <v>476379372</v>
      </c>
      <c r="F2201">
        <v>572294205</v>
      </c>
      <c r="G2201">
        <v>377067497</v>
      </c>
      <c r="H2201">
        <v>448336580</v>
      </c>
      <c r="I2201">
        <v>541993590</v>
      </c>
      <c r="J2201">
        <v>370065725</v>
      </c>
      <c r="K2201">
        <v>328659783</v>
      </c>
      <c r="L2201">
        <v>249170784</v>
      </c>
      <c r="M2201">
        <v>236443676</v>
      </c>
      <c r="N2201">
        <v>174686234</v>
      </c>
      <c r="O2201">
        <v>152944879</v>
      </c>
      <c r="P2201">
        <v>511</v>
      </c>
      <c r="Q2201" t="s">
        <v>4726</v>
      </c>
    </row>
    <row r="2202" spans="1:17" x14ac:dyDescent="0.3">
      <c r="A2202" t="s">
        <v>17</v>
      </c>
      <c r="B2202" t="str">
        <f>"603339"</f>
        <v>603339</v>
      </c>
      <c r="C2202" t="s">
        <v>4727</v>
      </c>
      <c r="D2202" t="s">
        <v>2626</v>
      </c>
      <c r="E2202">
        <v>475891931</v>
      </c>
      <c r="F2202">
        <v>334933887</v>
      </c>
      <c r="G2202">
        <v>207385288</v>
      </c>
      <c r="H2202">
        <v>266280966</v>
      </c>
      <c r="I2202">
        <v>262460858</v>
      </c>
      <c r="J2202">
        <v>260632276</v>
      </c>
      <c r="K2202">
        <v>180295448</v>
      </c>
      <c r="L2202">
        <v>204824768</v>
      </c>
      <c r="P2202">
        <v>163</v>
      </c>
      <c r="Q2202" t="s">
        <v>4728</v>
      </c>
    </row>
    <row r="2203" spans="1:17" x14ac:dyDescent="0.3">
      <c r="A2203" t="s">
        <v>75</v>
      </c>
      <c r="B2203" t="str">
        <f>"300715"</f>
        <v>300715</v>
      </c>
      <c r="C2203" t="s">
        <v>4729</v>
      </c>
      <c r="D2203" t="s">
        <v>752</v>
      </c>
      <c r="E2203">
        <v>475813868</v>
      </c>
      <c r="F2203">
        <v>311146364</v>
      </c>
      <c r="G2203">
        <v>173614441</v>
      </c>
      <c r="H2203">
        <v>179265250</v>
      </c>
      <c r="I2203">
        <v>92517234</v>
      </c>
      <c r="J2203">
        <v>86835227</v>
      </c>
      <c r="P2203">
        <v>413</v>
      </c>
      <c r="Q2203" t="s">
        <v>4730</v>
      </c>
    </row>
    <row r="2204" spans="1:17" x14ac:dyDescent="0.3">
      <c r="A2204" t="s">
        <v>75</v>
      </c>
      <c r="B2204" t="str">
        <f>"300562"</f>
        <v>300562</v>
      </c>
      <c r="C2204" t="s">
        <v>4731</v>
      </c>
      <c r="D2204" t="s">
        <v>334</v>
      </c>
      <c r="E2204">
        <v>475523215</v>
      </c>
      <c r="F2204">
        <v>463944910</v>
      </c>
      <c r="G2204">
        <v>232921832</v>
      </c>
      <c r="H2204">
        <v>213927731</v>
      </c>
      <c r="I2204">
        <v>203743076</v>
      </c>
      <c r="J2204">
        <v>203940020</v>
      </c>
      <c r="K2204">
        <v>180329865</v>
      </c>
      <c r="P2204">
        <v>155</v>
      </c>
      <c r="Q2204" t="s">
        <v>4732</v>
      </c>
    </row>
    <row r="2205" spans="1:17" x14ac:dyDescent="0.3">
      <c r="A2205" t="s">
        <v>17</v>
      </c>
      <c r="B2205" t="str">
        <f>"603161"</f>
        <v>603161</v>
      </c>
      <c r="C2205" t="s">
        <v>4733</v>
      </c>
      <c r="D2205" t="s">
        <v>172</v>
      </c>
      <c r="E2205">
        <v>475294375</v>
      </c>
      <c r="F2205">
        <v>512662739</v>
      </c>
      <c r="G2205">
        <v>538024451</v>
      </c>
      <c r="H2205">
        <v>488975734</v>
      </c>
      <c r="I2205">
        <v>202232694</v>
      </c>
      <c r="J2205">
        <v>164556288</v>
      </c>
      <c r="P2205">
        <v>81</v>
      </c>
      <c r="Q2205" t="s">
        <v>4734</v>
      </c>
    </row>
    <row r="2206" spans="1:17" x14ac:dyDescent="0.3">
      <c r="A2206" t="s">
        <v>75</v>
      </c>
      <c r="B2206" t="str">
        <f>"002565"</f>
        <v>002565</v>
      </c>
      <c r="C2206" t="s">
        <v>4735</v>
      </c>
      <c r="D2206" t="s">
        <v>1176</v>
      </c>
      <c r="E2206">
        <v>475058739</v>
      </c>
      <c r="F2206">
        <v>475312590</v>
      </c>
      <c r="G2206">
        <v>299757973</v>
      </c>
      <c r="H2206">
        <v>379296238</v>
      </c>
      <c r="I2206">
        <v>324290352</v>
      </c>
      <c r="J2206">
        <v>349929065</v>
      </c>
      <c r="K2206">
        <v>393325646</v>
      </c>
      <c r="L2206">
        <v>399743376</v>
      </c>
      <c r="M2206">
        <v>468482146</v>
      </c>
      <c r="N2206">
        <v>412003394</v>
      </c>
      <c r="O2206">
        <v>302789047</v>
      </c>
      <c r="P2206">
        <v>107</v>
      </c>
      <c r="Q2206" t="s">
        <v>4736</v>
      </c>
    </row>
    <row r="2207" spans="1:17" x14ac:dyDescent="0.3">
      <c r="A2207" t="s">
        <v>75</v>
      </c>
      <c r="B2207" t="str">
        <f>"002334"</f>
        <v>002334</v>
      </c>
      <c r="C2207" t="s">
        <v>4737</v>
      </c>
      <c r="D2207" t="s">
        <v>1352</v>
      </c>
      <c r="E2207">
        <v>475028263</v>
      </c>
      <c r="F2207">
        <v>375307968</v>
      </c>
      <c r="G2207">
        <v>266621923</v>
      </c>
      <c r="H2207">
        <v>376960892</v>
      </c>
      <c r="I2207">
        <v>242891855</v>
      </c>
      <c r="J2207">
        <v>200758683</v>
      </c>
      <c r="K2207">
        <v>129499452</v>
      </c>
      <c r="L2207">
        <v>128086555</v>
      </c>
      <c r="M2207">
        <v>115141687</v>
      </c>
      <c r="N2207">
        <v>110139312</v>
      </c>
      <c r="O2207">
        <v>71869419</v>
      </c>
      <c r="P2207">
        <v>222</v>
      </c>
      <c r="Q2207" t="s">
        <v>4738</v>
      </c>
    </row>
    <row r="2208" spans="1:17" x14ac:dyDescent="0.3">
      <c r="A2208" t="s">
        <v>17</v>
      </c>
      <c r="B2208" t="str">
        <f>"601595"</f>
        <v>601595</v>
      </c>
      <c r="C2208" t="s">
        <v>4739</v>
      </c>
      <c r="D2208" t="s">
        <v>2532</v>
      </c>
      <c r="E2208">
        <v>474329649</v>
      </c>
      <c r="F2208">
        <v>712617731</v>
      </c>
      <c r="G2208">
        <v>147769672</v>
      </c>
      <c r="H2208">
        <v>715431246</v>
      </c>
      <c r="I2208">
        <v>701598416</v>
      </c>
      <c r="J2208">
        <v>686901288</v>
      </c>
      <c r="K2208">
        <v>639260152</v>
      </c>
      <c r="L2208">
        <v>0</v>
      </c>
      <c r="P2208">
        <v>158</v>
      </c>
      <c r="Q2208" t="s">
        <v>4740</v>
      </c>
    </row>
    <row r="2209" spans="1:17" x14ac:dyDescent="0.3">
      <c r="A2209" t="s">
        <v>75</v>
      </c>
      <c r="B2209" t="str">
        <f>"301268"</f>
        <v>301268</v>
      </c>
      <c r="C2209" t="s">
        <v>4741</v>
      </c>
      <c r="E2209">
        <v>474197255</v>
      </c>
      <c r="P2209">
        <v>2</v>
      </c>
      <c r="Q2209" t="s">
        <v>4742</v>
      </c>
    </row>
    <row r="2210" spans="1:17" x14ac:dyDescent="0.3">
      <c r="A2210" t="s">
        <v>75</v>
      </c>
      <c r="B2210" t="str">
        <f>"000713"</f>
        <v>000713</v>
      </c>
      <c r="C2210" t="s">
        <v>4743</v>
      </c>
      <c r="D2210" t="s">
        <v>3670</v>
      </c>
      <c r="E2210">
        <v>474173952</v>
      </c>
      <c r="F2210">
        <v>481395226</v>
      </c>
      <c r="G2210">
        <v>471488649</v>
      </c>
      <c r="H2210">
        <v>438855041</v>
      </c>
      <c r="I2210">
        <v>315774882</v>
      </c>
      <c r="J2210">
        <v>249172682</v>
      </c>
      <c r="K2210">
        <v>179532682</v>
      </c>
      <c r="L2210">
        <v>222633354</v>
      </c>
      <c r="M2210">
        <v>304519596</v>
      </c>
      <c r="N2210">
        <v>328658298</v>
      </c>
      <c r="O2210">
        <v>299347566</v>
      </c>
      <c r="P2210">
        <v>237</v>
      </c>
      <c r="Q2210" t="s">
        <v>4744</v>
      </c>
    </row>
    <row r="2211" spans="1:17" x14ac:dyDescent="0.3">
      <c r="A2211" t="s">
        <v>17</v>
      </c>
      <c r="B2211" t="str">
        <f>"603126"</f>
        <v>603126</v>
      </c>
      <c r="C2211" t="s">
        <v>4745</v>
      </c>
      <c r="D2211" t="s">
        <v>1187</v>
      </c>
      <c r="E2211">
        <v>473917476</v>
      </c>
      <c r="F2211">
        <v>493822756</v>
      </c>
      <c r="G2211">
        <v>393024517</v>
      </c>
      <c r="H2211">
        <v>408865907</v>
      </c>
      <c r="I2211">
        <v>462016504</v>
      </c>
      <c r="J2211">
        <v>401383370</v>
      </c>
      <c r="K2211">
        <v>366664520</v>
      </c>
      <c r="L2211">
        <v>254790389</v>
      </c>
      <c r="M2211">
        <v>0</v>
      </c>
      <c r="N2211">
        <v>0</v>
      </c>
      <c r="P2211">
        <v>196</v>
      </c>
      <c r="Q2211" t="s">
        <v>4746</v>
      </c>
    </row>
    <row r="2212" spans="1:17" x14ac:dyDescent="0.3">
      <c r="A2212" t="s">
        <v>75</v>
      </c>
      <c r="B2212" t="str">
        <f>"300894"</f>
        <v>300894</v>
      </c>
      <c r="C2212" t="s">
        <v>4747</v>
      </c>
      <c r="D2212" t="s">
        <v>1680</v>
      </c>
      <c r="E2212">
        <v>473432604</v>
      </c>
      <c r="F2212">
        <v>320556389</v>
      </c>
      <c r="G2212">
        <v>158946686</v>
      </c>
      <c r="P2212">
        <v>230</v>
      </c>
      <c r="Q2212" t="s">
        <v>4748</v>
      </c>
    </row>
    <row r="2213" spans="1:17" x14ac:dyDescent="0.3">
      <c r="A2213" t="s">
        <v>75</v>
      </c>
      <c r="B2213" t="str">
        <f>"002590"</f>
        <v>002590</v>
      </c>
      <c r="C2213" t="s">
        <v>4749</v>
      </c>
      <c r="D2213" t="s">
        <v>172</v>
      </c>
      <c r="E2213">
        <v>472628023</v>
      </c>
      <c r="F2213">
        <v>440425460</v>
      </c>
      <c r="G2213">
        <v>414889305</v>
      </c>
      <c r="H2213">
        <v>380870705</v>
      </c>
      <c r="I2213">
        <v>417842739</v>
      </c>
      <c r="J2213">
        <v>369389442</v>
      </c>
      <c r="K2213">
        <v>266239196</v>
      </c>
      <c r="L2213">
        <v>331687092</v>
      </c>
      <c r="M2213">
        <v>220284172</v>
      </c>
      <c r="N2213">
        <v>157330420</v>
      </c>
      <c r="O2213">
        <v>130628814</v>
      </c>
      <c r="P2213">
        <v>119</v>
      </c>
      <c r="Q2213" t="s">
        <v>4750</v>
      </c>
    </row>
    <row r="2214" spans="1:17" x14ac:dyDescent="0.3">
      <c r="A2214" t="s">
        <v>75</v>
      </c>
      <c r="B2214" t="str">
        <f>"000880"</f>
        <v>000880</v>
      </c>
      <c r="C2214" t="s">
        <v>4751</v>
      </c>
      <c r="D2214" t="s">
        <v>172</v>
      </c>
      <c r="E2214">
        <v>472607400</v>
      </c>
      <c r="F2214">
        <v>784829923</v>
      </c>
      <c r="G2214">
        <v>648258045</v>
      </c>
      <c r="H2214">
        <v>532198951</v>
      </c>
      <c r="I2214">
        <v>481657764</v>
      </c>
      <c r="J2214">
        <v>346333365</v>
      </c>
      <c r="K2214">
        <v>430293136</v>
      </c>
      <c r="L2214">
        <v>661180655</v>
      </c>
      <c r="M2214">
        <v>612236515</v>
      </c>
      <c r="N2214">
        <v>466517956</v>
      </c>
      <c r="O2214">
        <v>528409096</v>
      </c>
      <c r="P2214">
        <v>102</v>
      </c>
      <c r="Q2214" t="s">
        <v>4752</v>
      </c>
    </row>
    <row r="2215" spans="1:17" x14ac:dyDescent="0.3">
      <c r="A2215" t="s">
        <v>75</v>
      </c>
      <c r="B2215" t="str">
        <f>"002103"</f>
        <v>002103</v>
      </c>
      <c r="C2215" t="s">
        <v>4753</v>
      </c>
      <c r="D2215" t="s">
        <v>622</v>
      </c>
      <c r="E2215">
        <v>472050065</v>
      </c>
      <c r="F2215">
        <v>720295210</v>
      </c>
      <c r="G2215">
        <v>569038691</v>
      </c>
      <c r="H2215">
        <v>583358516</v>
      </c>
      <c r="I2215">
        <v>495418165</v>
      </c>
      <c r="J2215">
        <v>450435653</v>
      </c>
      <c r="K2215">
        <v>394819667</v>
      </c>
      <c r="L2215">
        <v>212075126</v>
      </c>
      <c r="M2215">
        <v>188125641</v>
      </c>
      <c r="N2215">
        <v>211910688</v>
      </c>
      <c r="O2215">
        <v>249710878</v>
      </c>
      <c r="P2215">
        <v>108</v>
      </c>
      <c r="Q2215" t="s">
        <v>4754</v>
      </c>
    </row>
    <row r="2216" spans="1:17" x14ac:dyDescent="0.3">
      <c r="A2216" t="s">
        <v>17</v>
      </c>
      <c r="B2216" t="str">
        <f>"688002"</f>
        <v>688002</v>
      </c>
      <c r="C2216" t="s">
        <v>4755</v>
      </c>
      <c r="D2216" t="s">
        <v>1572</v>
      </c>
      <c r="E2216">
        <v>471272737</v>
      </c>
      <c r="F2216">
        <v>350102426</v>
      </c>
      <c r="G2216">
        <v>253117406</v>
      </c>
      <c r="H2216">
        <v>88946269</v>
      </c>
      <c r="I2216">
        <v>42628346</v>
      </c>
      <c r="P2216">
        <v>407</v>
      </c>
      <c r="Q2216" t="s">
        <v>4756</v>
      </c>
    </row>
    <row r="2217" spans="1:17" x14ac:dyDescent="0.3">
      <c r="A2217" t="s">
        <v>75</v>
      </c>
      <c r="B2217" t="str">
        <f>"002902"</f>
        <v>002902</v>
      </c>
      <c r="C2217" t="s">
        <v>4757</v>
      </c>
      <c r="D2217" t="s">
        <v>169</v>
      </c>
      <c r="E2217">
        <v>471156600</v>
      </c>
      <c r="F2217">
        <v>384825495</v>
      </c>
      <c r="G2217">
        <v>412514290</v>
      </c>
      <c r="H2217">
        <v>387974686</v>
      </c>
      <c r="I2217">
        <v>271534330</v>
      </c>
      <c r="J2217">
        <v>201534372</v>
      </c>
      <c r="P2217">
        <v>216</v>
      </c>
      <c r="Q2217" t="s">
        <v>4758</v>
      </c>
    </row>
    <row r="2218" spans="1:17" x14ac:dyDescent="0.3">
      <c r="A2218" t="s">
        <v>75</v>
      </c>
      <c r="B2218" t="str">
        <f>"000837"</f>
        <v>000837</v>
      </c>
      <c r="C2218" t="s">
        <v>4759</v>
      </c>
      <c r="D2218" t="s">
        <v>3360</v>
      </c>
      <c r="E2218">
        <v>470498802</v>
      </c>
      <c r="F2218">
        <v>620806907</v>
      </c>
      <c r="G2218">
        <v>517141612</v>
      </c>
      <c r="H2218">
        <v>525054158</v>
      </c>
      <c r="I2218">
        <v>444333079</v>
      </c>
      <c r="J2218">
        <v>533317340</v>
      </c>
      <c r="K2218">
        <v>516252086</v>
      </c>
      <c r="L2218">
        <v>427867768</v>
      </c>
      <c r="M2218">
        <v>377497783</v>
      </c>
      <c r="N2218">
        <v>153807092</v>
      </c>
      <c r="O2218">
        <v>162027483</v>
      </c>
      <c r="P2218">
        <v>129</v>
      </c>
      <c r="Q2218" t="s">
        <v>4760</v>
      </c>
    </row>
    <row r="2219" spans="1:17" x14ac:dyDescent="0.3">
      <c r="A2219" t="s">
        <v>75</v>
      </c>
      <c r="B2219" t="str">
        <f>"002391"</f>
        <v>002391</v>
      </c>
      <c r="C2219" t="s">
        <v>4761</v>
      </c>
      <c r="D2219" t="s">
        <v>811</v>
      </c>
      <c r="E2219">
        <v>469752874</v>
      </c>
      <c r="F2219">
        <v>377370483</v>
      </c>
      <c r="G2219">
        <v>360500333</v>
      </c>
      <c r="H2219">
        <v>452705827</v>
      </c>
      <c r="I2219">
        <v>341261124</v>
      </c>
      <c r="J2219">
        <v>323571453</v>
      </c>
      <c r="K2219">
        <v>333255921</v>
      </c>
      <c r="L2219">
        <v>336139057</v>
      </c>
      <c r="M2219">
        <v>234267209</v>
      </c>
      <c r="N2219">
        <v>248360650</v>
      </c>
      <c r="O2219">
        <v>228207725</v>
      </c>
      <c r="P2219">
        <v>192</v>
      </c>
      <c r="Q2219" t="s">
        <v>4762</v>
      </c>
    </row>
    <row r="2220" spans="1:17" x14ac:dyDescent="0.3">
      <c r="A2220" t="s">
        <v>75</v>
      </c>
      <c r="B2220" t="str">
        <f>"003023"</f>
        <v>003023</v>
      </c>
      <c r="C2220" t="s">
        <v>4763</v>
      </c>
      <c r="D2220" t="s">
        <v>939</v>
      </c>
      <c r="E2220">
        <v>469740491</v>
      </c>
      <c r="F2220">
        <v>525860293</v>
      </c>
      <c r="G2220">
        <v>365859752</v>
      </c>
      <c r="P2220">
        <v>49</v>
      </c>
      <c r="Q2220" t="s">
        <v>4764</v>
      </c>
    </row>
    <row r="2221" spans="1:17" x14ac:dyDescent="0.3">
      <c r="A2221" t="s">
        <v>17</v>
      </c>
      <c r="B2221" t="str">
        <f>"600186"</f>
        <v>600186</v>
      </c>
      <c r="C2221" t="s">
        <v>4765</v>
      </c>
      <c r="D2221" t="s">
        <v>774</v>
      </c>
      <c r="E2221">
        <v>469628586</v>
      </c>
      <c r="F2221">
        <v>466305360</v>
      </c>
      <c r="G2221">
        <v>334179946</v>
      </c>
      <c r="H2221">
        <v>348842969</v>
      </c>
      <c r="I2221">
        <v>445301451</v>
      </c>
      <c r="J2221">
        <v>506396845</v>
      </c>
      <c r="K2221">
        <v>501911700</v>
      </c>
      <c r="L2221">
        <v>525721277</v>
      </c>
      <c r="M2221">
        <v>479356536</v>
      </c>
      <c r="N2221">
        <v>675076579</v>
      </c>
      <c r="O2221">
        <v>786437980</v>
      </c>
      <c r="P2221">
        <v>182</v>
      </c>
      <c r="Q2221" t="s">
        <v>4766</v>
      </c>
    </row>
    <row r="2222" spans="1:17" x14ac:dyDescent="0.3">
      <c r="A2222" t="s">
        <v>75</v>
      </c>
      <c r="B2222" t="str">
        <f>"300903"</f>
        <v>300903</v>
      </c>
      <c r="C2222" t="s">
        <v>4767</v>
      </c>
      <c r="D2222" t="s">
        <v>567</v>
      </c>
      <c r="E2222">
        <v>469294196</v>
      </c>
      <c r="F2222">
        <v>399269423</v>
      </c>
      <c r="G2222">
        <v>241155551</v>
      </c>
      <c r="P2222">
        <v>61</v>
      </c>
      <c r="Q2222" t="s">
        <v>4768</v>
      </c>
    </row>
    <row r="2223" spans="1:17" x14ac:dyDescent="0.3">
      <c r="A2223" t="s">
        <v>75</v>
      </c>
      <c r="B2223" t="str">
        <f>"000859"</f>
        <v>000859</v>
      </c>
      <c r="C2223" t="s">
        <v>4769</v>
      </c>
      <c r="D2223" t="s">
        <v>2029</v>
      </c>
      <c r="E2223">
        <v>469249249</v>
      </c>
      <c r="F2223">
        <v>423041325</v>
      </c>
      <c r="G2223">
        <v>292379444</v>
      </c>
      <c r="H2223">
        <v>324336256</v>
      </c>
      <c r="I2223">
        <v>259413251</v>
      </c>
      <c r="J2223">
        <v>258588729</v>
      </c>
      <c r="K2223">
        <v>217763162</v>
      </c>
      <c r="L2223">
        <v>246711390</v>
      </c>
      <c r="M2223">
        <v>307239533</v>
      </c>
      <c r="N2223">
        <v>286834243</v>
      </c>
      <c r="O2223">
        <v>364935724</v>
      </c>
      <c r="P2223">
        <v>118</v>
      </c>
      <c r="Q2223" t="s">
        <v>4770</v>
      </c>
    </row>
    <row r="2224" spans="1:17" x14ac:dyDescent="0.3">
      <c r="A2224" t="s">
        <v>17</v>
      </c>
      <c r="B2224" t="str">
        <f>"600735"</f>
        <v>600735</v>
      </c>
      <c r="C2224" t="s">
        <v>4771</v>
      </c>
      <c r="D2224" t="s">
        <v>4772</v>
      </c>
      <c r="E2224">
        <v>468665987</v>
      </c>
      <c r="F2224">
        <v>310022344</v>
      </c>
      <c r="G2224">
        <v>323638373</v>
      </c>
      <c r="H2224">
        <v>297663581</v>
      </c>
      <c r="I2224">
        <v>354714827</v>
      </c>
      <c r="J2224">
        <v>306968001</v>
      </c>
      <c r="K2224">
        <v>292807450</v>
      </c>
      <c r="L2224">
        <v>300521144</v>
      </c>
      <c r="M2224">
        <v>196987568</v>
      </c>
      <c r="N2224">
        <v>269631939</v>
      </c>
      <c r="O2224">
        <v>295589485</v>
      </c>
      <c r="P2224">
        <v>105</v>
      </c>
      <c r="Q2224" t="s">
        <v>4773</v>
      </c>
    </row>
    <row r="2225" spans="1:17" x14ac:dyDescent="0.3">
      <c r="A2225" t="s">
        <v>75</v>
      </c>
      <c r="B2225" t="str">
        <f>"300520"</f>
        <v>300520</v>
      </c>
      <c r="C2225" t="s">
        <v>4774</v>
      </c>
      <c r="D2225" t="s">
        <v>116</v>
      </c>
      <c r="E2225">
        <v>468428141</v>
      </c>
      <c r="F2225">
        <v>218745672</v>
      </c>
      <c r="G2225">
        <v>258632104</v>
      </c>
      <c r="H2225">
        <v>293613661</v>
      </c>
      <c r="I2225">
        <v>135993361</v>
      </c>
      <c r="J2225">
        <v>59412087</v>
      </c>
      <c r="K2225">
        <v>49682650</v>
      </c>
      <c r="L2225">
        <v>58289073</v>
      </c>
      <c r="P2225">
        <v>255</v>
      </c>
      <c r="Q2225" t="s">
        <v>4775</v>
      </c>
    </row>
    <row r="2226" spans="1:17" x14ac:dyDescent="0.3">
      <c r="A2226" t="s">
        <v>75</v>
      </c>
      <c r="B2226" t="str">
        <f>"301051"</f>
        <v>301051</v>
      </c>
      <c r="C2226" t="s">
        <v>4776</v>
      </c>
      <c r="D2226" t="s">
        <v>55</v>
      </c>
      <c r="E2226">
        <v>467405708</v>
      </c>
      <c r="P2226">
        <v>18</v>
      </c>
      <c r="Q2226" t="s">
        <v>4777</v>
      </c>
    </row>
    <row r="2227" spans="1:17" x14ac:dyDescent="0.3">
      <c r="A2227" t="s">
        <v>75</v>
      </c>
      <c r="B2227" t="str">
        <f>"300483"</f>
        <v>300483</v>
      </c>
      <c r="C2227" t="s">
        <v>4778</v>
      </c>
      <c r="D2227" t="s">
        <v>147</v>
      </c>
      <c r="E2227">
        <v>467119440</v>
      </c>
      <c r="F2227">
        <v>345883616</v>
      </c>
      <c r="G2227">
        <v>265473363</v>
      </c>
      <c r="H2227">
        <v>518579028</v>
      </c>
      <c r="I2227">
        <v>125756089</v>
      </c>
      <c r="J2227">
        <v>99595402</v>
      </c>
      <c r="K2227">
        <v>137071475</v>
      </c>
      <c r="L2227">
        <v>103893801</v>
      </c>
      <c r="M2227">
        <v>94322915</v>
      </c>
      <c r="P2227">
        <v>140</v>
      </c>
      <c r="Q2227" t="s">
        <v>4779</v>
      </c>
    </row>
    <row r="2228" spans="1:17" x14ac:dyDescent="0.3">
      <c r="A2228" t="s">
        <v>17</v>
      </c>
      <c r="B2228" t="str">
        <f>"601996"</f>
        <v>601996</v>
      </c>
      <c r="C2228" t="s">
        <v>4780</v>
      </c>
      <c r="D2228" t="s">
        <v>2153</v>
      </c>
      <c r="E2228">
        <v>466871505</v>
      </c>
      <c r="F2228">
        <v>581175979</v>
      </c>
      <c r="G2228">
        <v>248760446</v>
      </c>
      <c r="H2228">
        <v>308601577</v>
      </c>
      <c r="I2228">
        <v>327427916</v>
      </c>
      <c r="J2228">
        <v>279474532</v>
      </c>
      <c r="K2228">
        <v>232222205</v>
      </c>
      <c r="L2228">
        <v>215535411</v>
      </c>
      <c r="M2228">
        <v>172480658</v>
      </c>
      <c r="N2228">
        <v>128331325</v>
      </c>
      <c r="O2228">
        <v>122559228</v>
      </c>
      <c r="P2228">
        <v>143</v>
      </c>
      <c r="Q2228" t="s">
        <v>4781</v>
      </c>
    </row>
    <row r="2229" spans="1:17" x14ac:dyDescent="0.3">
      <c r="A2229" t="s">
        <v>75</v>
      </c>
      <c r="B2229" t="str">
        <f>"300271"</f>
        <v>300271</v>
      </c>
      <c r="C2229" t="s">
        <v>4782</v>
      </c>
      <c r="D2229" t="s">
        <v>224</v>
      </c>
      <c r="E2229">
        <v>466829247</v>
      </c>
      <c r="F2229">
        <v>432034225</v>
      </c>
      <c r="G2229">
        <v>201356889</v>
      </c>
      <c r="H2229">
        <v>306178711</v>
      </c>
      <c r="I2229">
        <v>188285170</v>
      </c>
      <c r="J2229">
        <v>208163981</v>
      </c>
      <c r="K2229">
        <v>175805199</v>
      </c>
      <c r="L2229">
        <v>131752845</v>
      </c>
      <c r="M2229">
        <v>82980879</v>
      </c>
      <c r="N2229">
        <v>63923879</v>
      </c>
      <c r="O2229">
        <v>78315880</v>
      </c>
      <c r="P2229">
        <v>590</v>
      </c>
      <c r="Q2229" t="s">
        <v>4783</v>
      </c>
    </row>
    <row r="2230" spans="1:17" x14ac:dyDescent="0.3">
      <c r="A2230" t="s">
        <v>17</v>
      </c>
      <c r="B2230" t="str">
        <f>"600962"</f>
        <v>600962</v>
      </c>
      <c r="C2230" t="s">
        <v>4784</v>
      </c>
      <c r="D2230" t="s">
        <v>1856</v>
      </c>
      <c r="E2230">
        <v>466387170</v>
      </c>
      <c r="F2230">
        <v>315315730</v>
      </c>
      <c r="G2230">
        <v>407949985</v>
      </c>
      <c r="H2230">
        <v>265798436</v>
      </c>
      <c r="I2230">
        <v>252076623</v>
      </c>
      <c r="J2230">
        <v>243900485</v>
      </c>
      <c r="K2230">
        <v>287803694</v>
      </c>
      <c r="L2230">
        <v>210864796</v>
      </c>
      <c r="M2230">
        <v>168219788</v>
      </c>
      <c r="N2230">
        <v>296604420</v>
      </c>
      <c r="O2230">
        <v>197127769</v>
      </c>
      <c r="P2230">
        <v>94</v>
      </c>
      <c r="Q2230" t="s">
        <v>4785</v>
      </c>
    </row>
    <row r="2231" spans="1:17" x14ac:dyDescent="0.3">
      <c r="A2231" t="s">
        <v>75</v>
      </c>
      <c r="B2231" t="str">
        <f>"003035"</f>
        <v>003035</v>
      </c>
      <c r="C2231" t="s">
        <v>4786</v>
      </c>
      <c r="D2231" t="s">
        <v>457</v>
      </c>
      <c r="E2231">
        <v>466003685</v>
      </c>
      <c r="F2231">
        <v>341321868</v>
      </c>
      <c r="G2231">
        <v>275568822</v>
      </c>
      <c r="P2231">
        <v>278</v>
      </c>
      <c r="Q2231" t="s">
        <v>4787</v>
      </c>
    </row>
    <row r="2232" spans="1:17" x14ac:dyDescent="0.3">
      <c r="A2232" t="s">
        <v>75</v>
      </c>
      <c r="B2232" t="str">
        <f>"000572"</f>
        <v>000572</v>
      </c>
      <c r="C2232" t="s">
        <v>4788</v>
      </c>
      <c r="D2232" t="s">
        <v>38</v>
      </c>
      <c r="E2232">
        <v>465960015</v>
      </c>
      <c r="F2232">
        <v>554272336</v>
      </c>
      <c r="G2232">
        <v>621244708</v>
      </c>
      <c r="H2232">
        <v>1034173297</v>
      </c>
      <c r="I2232">
        <v>1558284367</v>
      </c>
      <c r="J2232">
        <v>3041321971</v>
      </c>
      <c r="K2232">
        <v>4095611405</v>
      </c>
      <c r="L2232">
        <v>3257613178</v>
      </c>
      <c r="M2232">
        <v>2513863464</v>
      </c>
      <c r="N2232">
        <v>2473944179</v>
      </c>
      <c r="O2232">
        <v>2981532907</v>
      </c>
      <c r="P2232">
        <v>151</v>
      </c>
      <c r="Q2232" t="s">
        <v>4789</v>
      </c>
    </row>
    <row r="2233" spans="1:17" x14ac:dyDescent="0.3">
      <c r="A2233" t="s">
        <v>17</v>
      </c>
      <c r="B2233" t="str">
        <f>"603758"</f>
        <v>603758</v>
      </c>
      <c r="C2233" t="s">
        <v>4790</v>
      </c>
      <c r="D2233" t="s">
        <v>172</v>
      </c>
      <c r="E2233">
        <v>465905490</v>
      </c>
      <c r="F2233">
        <v>319395928</v>
      </c>
      <c r="G2233">
        <v>124059285</v>
      </c>
      <c r="H2233">
        <v>46290226</v>
      </c>
      <c r="I2233">
        <v>292169202</v>
      </c>
      <c r="J2233">
        <v>377697649</v>
      </c>
      <c r="K2233">
        <v>370697369</v>
      </c>
      <c r="P2233">
        <v>133</v>
      </c>
      <c r="Q2233" t="s">
        <v>4791</v>
      </c>
    </row>
    <row r="2234" spans="1:17" x14ac:dyDescent="0.3">
      <c r="A2234" t="s">
        <v>75</v>
      </c>
      <c r="B2234" t="str">
        <f>"002354"</f>
        <v>002354</v>
      </c>
      <c r="C2234" t="s">
        <v>4792</v>
      </c>
      <c r="D2234" t="s">
        <v>1165</v>
      </c>
      <c r="E2234">
        <v>465738654</v>
      </c>
      <c r="F2234">
        <v>256470238</v>
      </c>
      <c r="G2234">
        <v>192178197</v>
      </c>
      <c r="H2234">
        <v>444659775</v>
      </c>
      <c r="I2234">
        <v>517679642</v>
      </c>
      <c r="J2234">
        <v>695390756</v>
      </c>
      <c r="K2234">
        <v>444248507</v>
      </c>
      <c r="L2234">
        <v>149327781</v>
      </c>
      <c r="M2234">
        <v>117216900</v>
      </c>
      <c r="N2234">
        <v>61711367</v>
      </c>
      <c r="O2234">
        <v>76767231</v>
      </c>
      <c r="P2234">
        <v>265</v>
      </c>
      <c r="Q2234" t="s">
        <v>4793</v>
      </c>
    </row>
    <row r="2235" spans="1:17" x14ac:dyDescent="0.3">
      <c r="A2235" t="s">
        <v>75</v>
      </c>
      <c r="B2235" t="str">
        <f>"002772"</f>
        <v>002772</v>
      </c>
      <c r="C2235" t="s">
        <v>4794</v>
      </c>
      <c r="D2235" t="s">
        <v>4334</v>
      </c>
      <c r="E2235">
        <v>465719769</v>
      </c>
      <c r="F2235">
        <v>391544564</v>
      </c>
      <c r="G2235">
        <v>368690738</v>
      </c>
      <c r="H2235">
        <v>303125354</v>
      </c>
      <c r="I2235">
        <v>268123255</v>
      </c>
      <c r="J2235">
        <v>163532740</v>
      </c>
      <c r="K2235">
        <v>179810448</v>
      </c>
      <c r="L2235">
        <v>0</v>
      </c>
      <c r="P2235">
        <v>202</v>
      </c>
      <c r="Q2235" t="s">
        <v>4795</v>
      </c>
    </row>
    <row r="2236" spans="1:17" x14ac:dyDescent="0.3">
      <c r="A2236" t="s">
        <v>75</v>
      </c>
      <c r="B2236" t="str">
        <f>"300933"</f>
        <v>300933</v>
      </c>
      <c r="C2236" t="s">
        <v>4796</v>
      </c>
      <c r="D2236" t="s">
        <v>562</v>
      </c>
      <c r="E2236">
        <v>465557772</v>
      </c>
      <c r="F2236">
        <v>410892078</v>
      </c>
      <c r="G2236">
        <v>277234322</v>
      </c>
      <c r="P2236">
        <v>30</v>
      </c>
      <c r="Q2236" t="s">
        <v>4797</v>
      </c>
    </row>
    <row r="2237" spans="1:17" x14ac:dyDescent="0.3">
      <c r="A2237" t="s">
        <v>75</v>
      </c>
      <c r="B2237" t="str">
        <f>"300523"</f>
        <v>300523</v>
      </c>
      <c r="C2237" t="s">
        <v>4798</v>
      </c>
      <c r="D2237" t="s">
        <v>224</v>
      </c>
      <c r="E2237">
        <v>465250220</v>
      </c>
      <c r="F2237">
        <v>218713187</v>
      </c>
      <c r="G2237">
        <v>167102604</v>
      </c>
      <c r="H2237">
        <v>174612203</v>
      </c>
      <c r="I2237">
        <v>133476244</v>
      </c>
      <c r="J2237">
        <v>50570710</v>
      </c>
      <c r="K2237">
        <v>107563137</v>
      </c>
      <c r="P2237">
        <v>135</v>
      </c>
      <c r="Q2237" t="s">
        <v>4799</v>
      </c>
    </row>
    <row r="2238" spans="1:17" x14ac:dyDescent="0.3">
      <c r="A2238" t="s">
        <v>75</v>
      </c>
      <c r="B2238" t="str">
        <f>"000571"</f>
        <v>000571</v>
      </c>
      <c r="C2238" t="s">
        <v>4800</v>
      </c>
      <c r="D2238" t="s">
        <v>71</v>
      </c>
      <c r="E2238">
        <v>464871628</v>
      </c>
      <c r="F2238">
        <v>155273386</v>
      </c>
      <c r="G2238">
        <v>279164600</v>
      </c>
      <c r="H2238">
        <v>365400302</v>
      </c>
      <c r="I2238">
        <v>496312235</v>
      </c>
      <c r="J2238">
        <v>154848347</v>
      </c>
      <c r="K2238">
        <v>281852392</v>
      </c>
      <c r="L2238">
        <v>139962438</v>
      </c>
      <c r="M2238">
        <v>202188939</v>
      </c>
      <c r="N2238">
        <v>199624142</v>
      </c>
      <c r="O2238">
        <v>229681055</v>
      </c>
      <c r="P2238">
        <v>72</v>
      </c>
      <c r="Q2238" t="s">
        <v>4801</v>
      </c>
    </row>
    <row r="2239" spans="1:17" x14ac:dyDescent="0.3">
      <c r="A2239" t="s">
        <v>75</v>
      </c>
      <c r="B2239" t="str">
        <f>"002448"</f>
        <v>002448</v>
      </c>
      <c r="C2239" t="s">
        <v>4802</v>
      </c>
      <c r="D2239" t="s">
        <v>172</v>
      </c>
      <c r="E2239">
        <v>464713937</v>
      </c>
      <c r="F2239">
        <v>394164909</v>
      </c>
      <c r="G2239">
        <v>271263909</v>
      </c>
      <c r="H2239">
        <v>282697708</v>
      </c>
      <c r="I2239">
        <v>302714337</v>
      </c>
      <c r="J2239">
        <v>236064697</v>
      </c>
      <c r="K2239">
        <v>239168195</v>
      </c>
      <c r="L2239">
        <v>196206454</v>
      </c>
      <c r="M2239">
        <v>192950120</v>
      </c>
      <c r="N2239">
        <v>166515562</v>
      </c>
      <c r="O2239">
        <v>146195781</v>
      </c>
      <c r="P2239">
        <v>194</v>
      </c>
      <c r="Q2239" t="s">
        <v>4803</v>
      </c>
    </row>
    <row r="2240" spans="1:17" x14ac:dyDescent="0.3">
      <c r="A2240" t="s">
        <v>75</v>
      </c>
      <c r="B2240" t="str">
        <f>"002510"</f>
        <v>002510</v>
      </c>
      <c r="C2240" t="s">
        <v>4804</v>
      </c>
      <c r="D2240" t="s">
        <v>1321</v>
      </c>
      <c r="E2240">
        <v>464600091</v>
      </c>
      <c r="F2240">
        <v>437810326</v>
      </c>
      <c r="G2240">
        <v>355229534</v>
      </c>
      <c r="H2240">
        <v>361027638</v>
      </c>
      <c r="I2240">
        <v>242263365</v>
      </c>
      <c r="J2240">
        <v>299161641</v>
      </c>
      <c r="K2240">
        <v>320995068</v>
      </c>
      <c r="L2240">
        <v>309083447</v>
      </c>
      <c r="M2240">
        <v>208990509</v>
      </c>
      <c r="N2240">
        <v>243789442</v>
      </c>
      <c r="O2240">
        <v>151840373</v>
      </c>
      <c r="P2240">
        <v>208</v>
      </c>
      <c r="Q2240" t="s">
        <v>4805</v>
      </c>
    </row>
    <row r="2241" spans="1:17" x14ac:dyDescent="0.3">
      <c r="A2241" t="s">
        <v>17</v>
      </c>
      <c r="B2241" t="str">
        <f>"605108"</f>
        <v>605108</v>
      </c>
      <c r="C2241" t="s">
        <v>4806</v>
      </c>
      <c r="D2241" t="s">
        <v>4807</v>
      </c>
      <c r="E2241">
        <v>464378975</v>
      </c>
      <c r="F2241">
        <v>409713094</v>
      </c>
      <c r="G2241">
        <v>201711917</v>
      </c>
      <c r="P2241">
        <v>104</v>
      </c>
      <c r="Q2241" t="s">
        <v>4808</v>
      </c>
    </row>
    <row r="2242" spans="1:17" x14ac:dyDescent="0.3">
      <c r="A2242" t="s">
        <v>17</v>
      </c>
      <c r="B2242" t="str">
        <f>"688596"</f>
        <v>688596</v>
      </c>
      <c r="C2242" t="s">
        <v>4809</v>
      </c>
      <c r="D2242" t="s">
        <v>1624</v>
      </c>
      <c r="E2242">
        <v>464247869</v>
      </c>
      <c r="F2242">
        <v>303951845</v>
      </c>
      <c r="G2242">
        <v>115906420</v>
      </c>
      <c r="H2242">
        <v>175214987</v>
      </c>
      <c r="P2242">
        <v>61</v>
      </c>
      <c r="Q2242" t="s">
        <v>4810</v>
      </c>
    </row>
    <row r="2243" spans="1:17" x14ac:dyDescent="0.3">
      <c r="A2243" t="s">
        <v>75</v>
      </c>
      <c r="B2243" t="str">
        <f>"300567"</f>
        <v>300567</v>
      </c>
      <c r="C2243" t="s">
        <v>4811</v>
      </c>
      <c r="D2243" t="s">
        <v>2549</v>
      </c>
      <c r="E2243">
        <v>463461052</v>
      </c>
      <c r="F2243">
        <v>454548341</v>
      </c>
      <c r="G2243">
        <v>250453255</v>
      </c>
      <c r="H2243">
        <v>211534974</v>
      </c>
      <c r="I2243">
        <v>147116151</v>
      </c>
      <c r="J2243">
        <v>141839717</v>
      </c>
      <c r="K2243">
        <v>67195508</v>
      </c>
      <c r="P2243">
        <v>1242</v>
      </c>
      <c r="Q2243" t="s">
        <v>4812</v>
      </c>
    </row>
    <row r="2244" spans="1:17" x14ac:dyDescent="0.3">
      <c r="A2244" t="s">
        <v>17</v>
      </c>
      <c r="B2244" t="str">
        <f>"603650"</f>
        <v>603650</v>
      </c>
      <c r="C2244" t="s">
        <v>4813</v>
      </c>
      <c r="D2244" t="s">
        <v>4814</v>
      </c>
      <c r="E2244">
        <v>463426869</v>
      </c>
      <c r="F2244">
        <v>460992545</v>
      </c>
      <c r="G2244">
        <v>359990999</v>
      </c>
      <c r="H2244">
        <v>389123093</v>
      </c>
      <c r="I2244">
        <v>0</v>
      </c>
      <c r="J2244">
        <v>0</v>
      </c>
      <c r="P2244">
        <v>258</v>
      </c>
      <c r="Q2244" t="s">
        <v>4815</v>
      </c>
    </row>
    <row r="2245" spans="1:17" x14ac:dyDescent="0.3">
      <c r="A2245" t="s">
        <v>17</v>
      </c>
      <c r="B2245" t="str">
        <f>"603158"</f>
        <v>603158</v>
      </c>
      <c r="C2245" t="s">
        <v>4816</v>
      </c>
      <c r="D2245" t="s">
        <v>172</v>
      </c>
      <c r="E2245">
        <v>463163328</v>
      </c>
      <c r="F2245">
        <v>485155369</v>
      </c>
      <c r="G2245">
        <v>391626478</v>
      </c>
      <c r="H2245">
        <v>182125127</v>
      </c>
      <c r="I2245">
        <v>273860027</v>
      </c>
      <c r="J2245">
        <v>254569379</v>
      </c>
      <c r="K2245">
        <v>120392497</v>
      </c>
      <c r="L2245">
        <v>142384655</v>
      </c>
      <c r="M2245">
        <v>132975299</v>
      </c>
      <c r="P2245">
        <v>145</v>
      </c>
      <c r="Q2245" t="s">
        <v>4817</v>
      </c>
    </row>
    <row r="2246" spans="1:17" x14ac:dyDescent="0.3">
      <c r="A2246" t="s">
        <v>75</v>
      </c>
      <c r="B2246" t="str">
        <f>"300327"</f>
        <v>300327</v>
      </c>
      <c r="C2246" t="s">
        <v>4818</v>
      </c>
      <c r="D2246" t="s">
        <v>883</v>
      </c>
      <c r="E2246">
        <v>462527846</v>
      </c>
      <c r="F2246">
        <v>330033954</v>
      </c>
      <c r="G2246">
        <v>225453995</v>
      </c>
      <c r="H2246">
        <v>202603122</v>
      </c>
      <c r="I2246">
        <v>208079000</v>
      </c>
      <c r="J2246">
        <v>167601025</v>
      </c>
      <c r="K2246">
        <v>116906762</v>
      </c>
      <c r="L2246">
        <v>98753172</v>
      </c>
      <c r="M2246">
        <v>88594209</v>
      </c>
      <c r="N2246">
        <v>69569665</v>
      </c>
      <c r="O2246">
        <v>46740596</v>
      </c>
      <c r="P2246">
        <v>4063</v>
      </c>
      <c r="Q2246" t="s">
        <v>4819</v>
      </c>
    </row>
    <row r="2247" spans="1:17" x14ac:dyDescent="0.3">
      <c r="A2247" t="s">
        <v>75</v>
      </c>
      <c r="B2247" t="str">
        <f>"000403"</f>
        <v>000403</v>
      </c>
      <c r="C2247" t="s">
        <v>4820</v>
      </c>
      <c r="D2247" t="s">
        <v>2314</v>
      </c>
      <c r="E2247">
        <v>462115287</v>
      </c>
      <c r="F2247">
        <v>350666284</v>
      </c>
      <c r="G2247">
        <v>224711348</v>
      </c>
      <c r="H2247">
        <v>164695344</v>
      </c>
      <c r="I2247">
        <v>167023180</v>
      </c>
      <c r="J2247">
        <v>91622538</v>
      </c>
      <c r="K2247">
        <v>162083144</v>
      </c>
      <c r="L2247">
        <v>107264264</v>
      </c>
      <c r="M2247">
        <v>88548938</v>
      </c>
      <c r="N2247">
        <v>125010146</v>
      </c>
      <c r="O2247">
        <v>131617431</v>
      </c>
      <c r="P2247">
        <v>294</v>
      </c>
      <c r="Q2247" t="s">
        <v>4821</v>
      </c>
    </row>
    <row r="2248" spans="1:17" x14ac:dyDescent="0.3">
      <c r="A2248" t="s">
        <v>75</v>
      </c>
      <c r="B2248" t="str">
        <f>"002596"</f>
        <v>002596</v>
      </c>
      <c r="C2248" t="s">
        <v>4822</v>
      </c>
      <c r="D2248" t="s">
        <v>2242</v>
      </c>
      <c r="E2248">
        <v>461844383</v>
      </c>
      <c r="F2248">
        <v>649214046</v>
      </c>
      <c r="G2248">
        <v>473274171</v>
      </c>
      <c r="H2248">
        <v>553010454</v>
      </c>
      <c r="I2248">
        <v>695560874</v>
      </c>
      <c r="J2248">
        <v>463311670</v>
      </c>
      <c r="K2248">
        <v>384628158</v>
      </c>
      <c r="L2248">
        <v>326125858</v>
      </c>
      <c r="M2248">
        <v>214704623</v>
      </c>
      <c r="N2248">
        <v>218058383</v>
      </c>
      <c r="O2248">
        <v>140430512</v>
      </c>
      <c r="P2248">
        <v>100</v>
      </c>
      <c r="Q2248" t="s">
        <v>4823</v>
      </c>
    </row>
    <row r="2249" spans="1:17" x14ac:dyDescent="0.3">
      <c r="A2249" t="s">
        <v>75</v>
      </c>
      <c r="B2249" t="str">
        <f>"003019"</f>
        <v>003019</v>
      </c>
      <c r="C2249" t="s">
        <v>4824</v>
      </c>
      <c r="D2249" t="s">
        <v>128</v>
      </c>
      <c r="E2249">
        <v>461018351</v>
      </c>
      <c r="F2249">
        <v>267789458</v>
      </c>
      <c r="G2249">
        <v>328128644</v>
      </c>
      <c r="P2249">
        <v>62</v>
      </c>
      <c r="Q2249" t="s">
        <v>4825</v>
      </c>
    </row>
    <row r="2250" spans="1:17" x14ac:dyDescent="0.3">
      <c r="A2250" t="s">
        <v>75</v>
      </c>
      <c r="B2250" t="str">
        <f>"002599"</f>
        <v>002599</v>
      </c>
      <c r="C2250" t="s">
        <v>4826</v>
      </c>
      <c r="D2250" t="s">
        <v>3395</v>
      </c>
      <c r="E2250">
        <v>460870878</v>
      </c>
      <c r="F2250">
        <v>475982949</v>
      </c>
      <c r="G2250">
        <v>302483127</v>
      </c>
      <c r="H2250">
        <v>356858104</v>
      </c>
      <c r="I2250">
        <v>365015161</v>
      </c>
      <c r="J2250">
        <v>223818490</v>
      </c>
      <c r="K2250">
        <v>174237228</v>
      </c>
      <c r="L2250">
        <v>161827586</v>
      </c>
      <c r="M2250">
        <v>146205852</v>
      </c>
      <c r="N2250">
        <v>150638506</v>
      </c>
      <c r="O2250">
        <v>138609810</v>
      </c>
      <c r="P2250">
        <v>87</v>
      </c>
      <c r="Q2250" t="s">
        <v>4827</v>
      </c>
    </row>
    <row r="2251" spans="1:17" x14ac:dyDescent="0.3">
      <c r="A2251" t="s">
        <v>75</v>
      </c>
      <c r="B2251" t="str">
        <f>"000426"</f>
        <v>000426</v>
      </c>
      <c r="C2251" t="s">
        <v>4828</v>
      </c>
      <c r="D2251" t="s">
        <v>375</v>
      </c>
      <c r="E2251">
        <v>460407484</v>
      </c>
      <c r="F2251">
        <v>482532936</v>
      </c>
      <c r="G2251">
        <v>43355150</v>
      </c>
      <c r="H2251">
        <v>260988295</v>
      </c>
      <c r="I2251">
        <v>385981337</v>
      </c>
      <c r="J2251">
        <v>424040380</v>
      </c>
      <c r="K2251">
        <v>81146240</v>
      </c>
      <c r="L2251">
        <v>174302327</v>
      </c>
      <c r="M2251">
        <v>172071824</v>
      </c>
      <c r="N2251">
        <v>180771426</v>
      </c>
      <c r="O2251">
        <v>155658606</v>
      </c>
      <c r="P2251">
        <v>202</v>
      </c>
      <c r="Q2251" t="s">
        <v>4829</v>
      </c>
    </row>
    <row r="2252" spans="1:17" x14ac:dyDescent="0.3">
      <c r="A2252" t="s">
        <v>75</v>
      </c>
      <c r="B2252" t="str">
        <f>"300500"</f>
        <v>300500</v>
      </c>
      <c r="C2252" t="s">
        <v>4830</v>
      </c>
      <c r="D2252" t="s">
        <v>2118</v>
      </c>
      <c r="E2252">
        <v>460305475</v>
      </c>
      <c r="F2252">
        <v>468764221</v>
      </c>
      <c r="G2252">
        <v>333563930</v>
      </c>
      <c r="H2252">
        <v>234272870</v>
      </c>
      <c r="I2252">
        <v>141872682</v>
      </c>
      <c r="J2252">
        <v>80386131</v>
      </c>
      <c r="K2252">
        <v>94209980</v>
      </c>
      <c r="L2252">
        <v>79608897</v>
      </c>
      <c r="P2252">
        <v>100</v>
      </c>
      <c r="Q2252" t="s">
        <v>4831</v>
      </c>
    </row>
    <row r="2253" spans="1:17" x14ac:dyDescent="0.3">
      <c r="A2253" t="s">
        <v>75</v>
      </c>
      <c r="B2253" t="str">
        <f>"300349"</f>
        <v>300349</v>
      </c>
      <c r="C2253" t="s">
        <v>4832</v>
      </c>
      <c r="D2253" t="s">
        <v>2549</v>
      </c>
      <c r="E2253">
        <v>460292909</v>
      </c>
      <c r="F2253">
        <v>452475381</v>
      </c>
      <c r="G2253">
        <v>418425677</v>
      </c>
      <c r="H2253">
        <v>354277277</v>
      </c>
      <c r="I2253">
        <v>363018087</v>
      </c>
      <c r="J2253">
        <v>287396242</v>
      </c>
      <c r="K2253">
        <v>93840099</v>
      </c>
      <c r="L2253">
        <v>100319883</v>
      </c>
      <c r="M2253">
        <v>94457755</v>
      </c>
      <c r="N2253">
        <v>43391731</v>
      </c>
      <c r="O2253">
        <v>26294375</v>
      </c>
      <c r="P2253">
        <v>395</v>
      </c>
      <c r="Q2253" t="s">
        <v>4833</v>
      </c>
    </row>
    <row r="2254" spans="1:17" x14ac:dyDescent="0.3">
      <c r="A2254" t="s">
        <v>75</v>
      </c>
      <c r="B2254" t="str">
        <f>"300633"</f>
        <v>300633</v>
      </c>
      <c r="C2254" t="s">
        <v>4834</v>
      </c>
      <c r="D2254" t="s">
        <v>334</v>
      </c>
      <c r="E2254">
        <v>459218494</v>
      </c>
      <c r="F2254">
        <v>331662420</v>
      </c>
      <c r="G2254">
        <v>254638843</v>
      </c>
      <c r="H2254">
        <v>312500581</v>
      </c>
      <c r="I2254">
        <v>249346324</v>
      </c>
      <c r="J2254">
        <v>233746131</v>
      </c>
      <c r="K2254">
        <v>164301905</v>
      </c>
      <c r="P2254">
        <v>515</v>
      </c>
      <c r="Q2254" t="s">
        <v>4835</v>
      </c>
    </row>
    <row r="2255" spans="1:17" x14ac:dyDescent="0.3">
      <c r="A2255" t="s">
        <v>17</v>
      </c>
      <c r="B2255" t="str">
        <f>"603716"</f>
        <v>603716</v>
      </c>
      <c r="C2255" t="s">
        <v>4836</v>
      </c>
      <c r="D2255" t="s">
        <v>123</v>
      </c>
      <c r="E2255">
        <v>459048889</v>
      </c>
      <c r="F2255">
        <v>543377854</v>
      </c>
      <c r="G2255">
        <v>252713992</v>
      </c>
      <c r="H2255">
        <v>390647837</v>
      </c>
      <c r="I2255">
        <v>212700206</v>
      </c>
      <c r="J2255">
        <v>165485703</v>
      </c>
      <c r="K2255">
        <v>129679384</v>
      </c>
      <c r="P2255">
        <v>137</v>
      </c>
      <c r="Q2255" t="s">
        <v>4837</v>
      </c>
    </row>
    <row r="2256" spans="1:17" x14ac:dyDescent="0.3">
      <c r="A2256" t="s">
        <v>75</v>
      </c>
      <c r="B2256" t="str">
        <f>"002905"</f>
        <v>002905</v>
      </c>
      <c r="C2256" t="s">
        <v>4838</v>
      </c>
      <c r="D2256" t="s">
        <v>1155</v>
      </c>
      <c r="E2256">
        <v>458986809</v>
      </c>
      <c r="F2256">
        <v>583658155</v>
      </c>
      <c r="G2256">
        <v>138987636</v>
      </c>
      <c r="H2256">
        <v>767421015</v>
      </c>
      <c r="I2256">
        <v>794366421</v>
      </c>
      <c r="J2256">
        <v>653967021</v>
      </c>
      <c r="P2256">
        <v>133</v>
      </c>
      <c r="Q2256" t="s">
        <v>4839</v>
      </c>
    </row>
    <row r="2257" spans="1:17" x14ac:dyDescent="0.3">
      <c r="A2257" t="s">
        <v>17</v>
      </c>
      <c r="B2257" t="str">
        <f>"605500"</f>
        <v>605500</v>
      </c>
      <c r="C2257" t="s">
        <v>4840</v>
      </c>
      <c r="D2257" t="s">
        <v>540</v>
      </c>
      <c r="E2257">
        <v>458478247</v>
      </c>
      <c r="F2257">
        <v>653599378</v>
      </c>
      <c r="G2257">
        <v>391146572</v>
      </c>
      <c r="P2257">
        <v>37</v>
      </c>
      <c r="Q2257" t="s">
        <v>4841</v>
      </c>
    </row>
    <row r="2258" spans="1:17" x14ac:dyDescent="0.3">
      <c r="A2258" t="s">
        <v>75</v>
      </c>
      <c r="B2258" t="str">
        <f>"002781"</f>
        <v>002781</v>
      </c>
      <c r="C2258" t="s">
        <v>4842</v>
      </c>
      <c r="D2258" t="s">
        <v>707</v>
      </c>
      <c r="E2258">
        <v>457413444</v>
      </c>
      <c r="F2258">
        <v>758537827</v>
      </c>
      <c r="G2258">
        <v>916258466</v>
      </c>
      <c r="H2258">
        <v>1147964275</v>
      </c>
      <c r="I2258">
        <v>1076336704</v>
      </c>
      <c r="J2258">
        <v>964525062</v>
      </c>
      <c r="K2258">
        <v>719696775</v>
      </c>
      <c r="L2258">
        <v>839047275</v>
      </c>
      <c r="P2258">
        <v>68</v>
      </c>
      <c r="Q2258" t="s">
        <v>4843</v>
      </c>
    </row>
    <row r="2259" spans="1:17" x14ac:dyDescent="0.3">
      <c r="A2259" t="s">
        <v>75</v>
      </c>
      <c r="B2259" t="str">
        <f>"300008"</f>
        <v>300008</v>
      </c>
      <c r="C2259" t="s">
        <v>4844</v>
      </c>
      <c r="D2259" t="s">
        <v>465</v>
      </c>
      <c r="E2259">
        <v>457169543</v>
      </c>
      <c r="F2259">
        <v>191034244</v>
      </c>
      <c r="G2259">
        <v>90435508</v>
      </c>
      <c r="H2259">
        <v>217431686</v>
      </c>
      <c r="I2259">
        <v>243126563</v>
      </c>
      <c r="J2259">
        <v>169629152</v>
      </c>
      <c r="K2259">
        <v>236374947</v>
      </c>
      <c r="L2259">
        <v>114506012</v>
      </c>
      <c r="M2259">
        <v>41871493</v>
      </c>
      <c r="N2259">
        <v>43464097</v>
      </c>
      <c r="O2259">
        <v>35246568</v>
      </c>
      <c r="P2259">
        <v>107</v>
      </c>
      <c r="Q2259" t="s">
        <v>4845</v>
      </c>
    </row>
    <row r="2260" spans="1:17" x14ac:dyDescent="0.3">
      <c r="A2260" t="s">
        <v>75</v>
      </c>
      <c r="B2260" t="str">
        <f>"002376"</f>
        <v>002376</v>
      </c>
      <c r="C2260" t="s">
        <v>4846</v>
      </c>
      <c r="D2260" t="s">
        <v>508</v>
      </c>
      <c r="E2260">
        <v>457013967</v>
      </c>
      <c r="F2260">
        <v>485759129</v>
      </c>
      <c r="G2260">
        <v>484598897</v>
      </c>
      <c r="H2260">
        <v>452198831</v>
      </c>
      <c r="I2260">
        <v>477982753</v>
      </c>
      <c r="J2260">
        <v>499183121</v>
      </c>
      <c r="K2260">
        <v>340388084</v>
      </c>
      <c r="L2260">
        <v>301250085</v>
      </c>
      <c r="M2260">
        <v>175869272</v>
      </c>
      <c r="N2260">
        <v>129883418</v>
      </c>
      <c r="O2260">
        <v>124814535</v>
      </c>
      <c r="P2260">
        <v>298</v>
      </c>
      <c r="Q2260" t="s">
        <v>4847</v>
      </c>
    </row>
    <row r="2261" spans="1:17" x14ac:dyDescent="0.3">
      <c r="A2261" t="s">
        <v>75</v>
      </c>
      <c r="B2261" t="str">
        <f>"002967"</f>
        <v>002967</v>
      </c>
      <c r="C2261" t="s">
        <v>4848</v>
      </c>
      <c r="D2261" t="s">
        <v>3153</v>
      </c>
      <c r="E2261">
        <v>456708883</v>
      </c>
      <c r="F2261">
        <v>377790952</v>
      </c>
      <c r="G2261">
        <v>227374064</v>
      </c>
      <c r="H2261">
        <v>242795863</v>
      </c>
      <c r="I2261">
        <v>159438172</v>
      </c>
      <c r="P2261">
        <v>236</v>
      </c>
      <c r="Q2261" t="s">
        <v>4849</v>
      </c>
    </row>
    <row r="2262" spans="1:17" x14ac:dyDescent="0.3">
      <c r="A2262" t="s">
        <v>75</v>
      </c>
      <c r="B2262" t="str">
        <f>"002886"</f>
        <v>002886</v>
      </c>
      <c r="C2262" t="s">
        <v>4850</v>
      </c>
      <c r="D2262" t="s">
        <v>639</v>
      </c>
      <c r="E2262">
        <v>456500073</v>
      </c>
      <c r="F2262">
        <v>357926609</v>
      </c>
      <c r="G2262">
        <v>277031007</v>
      </c>
      <c r="H2262">
        <v>209584757</v>
      </c>
      <c r="I2262">
        <v>98002212</v>
      </c>
      <c r="J2262">
        <v>0</v>
      </c>
      <c r="K2262">
        <v>0</v>
      </c>
      <c r="P2262">
        <v>190</v>
      </c>
      <c r="Q2262" t="s">
        <v>4851</v>
      </c>
    </row>
    <row r="2263" spans="1:17" x14ac:dyDescent="0.3">
      <c r="A2263" t="s">
        <v>75</v>
      </c>
      <c r="B2263" t="str">
        <f>"300225"</f>
        <v>300225</v>
      </c>
      <c r="C2263" t="s">
        <v>4852</v>
      </c>
      <c r="D2263" t="s">
        <v>4853</v>
      </c>
      <c r="E2263">
        <v>455746999</v>
      </c>
      <c r="F2263">
        <v>231926113</v>
      </c>
      <c r="G2263">
        <v>239672046</v>
      </c>
      <c r="H2263">
        <v>213131360</v>
      </c>
      <c r="I2263">
        <v>199023012</v>
      </c>
      <c r="J2263">
        <v>199429127</v>
      </c>
      <c r="K2263">
        <v>196100040</v>
      </c>
      <c r="L2263">
        <v>181603548</v>
      </c>
      <c r="M2263">
        <v>191218946</v>
      </c>
      <c r="N2263">
        <v>142353565</v>
      </c>
      <c r="O2263">
        <v>161341654</v>
      </c>
      <c r="P2263">
        <v>94</v>
      </c>
      <c r="Q2263" t="s">
        <v>4854</v>
      </c>
    </row>
    <row r="2264" spans="1:17" x14ac:dyDescent="0.3">
      <c r="A2264" t="s">
        <v>17</v>
      </c>
      <c r="B2264" t="str">
        <f>"605066"</f>
        <v>605066</v>
      </c>
      <c r="C2264" t="s">
        <v>4855</v>
      </c>
      <c r="D2264" t="s">
        <v>546</v>
      </c>
      <c r="E2264">
        <v>454955140</v>
      </c>
      <c r="F2264">
        <v>475475835</v>
      </c>
      <c r="G2264">
        <v>263655657</v>
      </c>
      <c r="H2264">
        <v>318822123</v>
      </c>
      <c r="P2264">
        <v>54</v>
      </c>
      <c r="Q2264" t="s">
        <v>4856</v>
      </c>
    </row>
    <row r="2265" spans="1:17" x14ac:dyDescent="0.3">
      <c r="A2265" t="s">
        <v>75</v>
      </c>
      <c r="B2265" t="str">
        <f>"002053"</f>
        <v>002053</v>
      </c>
      <c r="C2265" t="s">
        <v>4857</v>
      </c>
      <c r="D2265" t="s">
        <v>1275</v>
      </c>
      <c r="E2265">
        <v>453547390</v>
      </c>
      <c r="F2265">
        <v>369275198</v>
      </c>
      <c r="G2265">
        <v>369455502</v>
      </c>
      <c r="H2265">
        <v>280645049</v>
      </c>
      <c r="I2265">
        <v>204306307</v>
      </c>
      <c r="J2265">
        <v>277522758</v>
      </c>
      <c r="K2265">
        <v>329488064</v>
      </c>
      <c r="L2265">
        <v>297061511</v>
      </c>
      <c r="M2265">
        <v>264749811</v>
      </c>
      <c r="N2265">
        <v>492427985</v>
      </c>
      <c r="O2265">
        <v>389012048</v>
      </c>
      <c r="P2265">
        <v>105</v>
      </c>
      <c r="Q2265" t="s">
        <v>4858</v>
      </c>
    </row>
    <row r="2266" spans="1:17" x14ac:dyDescent="0.3">
      <c r="A2266" t="s">
        <v>75</v>
      </c>
      <c r="B2266" t="str">
        <f>"000779"</f>
        <v>000779</v>
      </c>
      <c r="C2266" t="s">
        <v>4859</v>
      </c>
      <c r="D2266" t="s">
        <v>2118</v>
      </c>
      <c r="E2266">
        <v>452985249</v>
      </c>
      <c r="F2266">
        <v>400479297</v>
      </c>
      <c r="G2266">
        <v>305264920</v>
      </c>
      <c r="H2266">
        <v>363095231</v>
      </c>
      <c r="I2266">
        <v>65476250</v>
      </c>
      <c r="J2266">
        <v>54152324</v>
      </c>
      <c r="K2266">
        <v>39264218</v>
      </c>
      <c r="L2266">
        <v>27496937</v>
      </c>
      <c r="M2266">
        <v>49153065</v>
      </c>
      <c r="N2266">
        <v>39466571</v>
      </c>
      <c r="O2266">
        <v>41516352</v>
      </c>
      <c r="P2266">
        <v>165</v>
      </c>
      <c r="Q2266" t="s">
        <v>4860</v>
      </c>
    </row>
    <row r="2267" spans="1:17" x14ac:dyDescent="0.3">
      <c r="A2267" t="s">
        <v>17</v>
      </c>
      <c r="B2267" t="str">
        <f>"688161"</f>
        <v>688161</v>
      </c>
      <c r="C2267" t="s">
        <v>4861</v>
      </c>
      <c r="D2267" t="s">
        <v>1538</v>
      </c>
      <c r="E2267">
        <v>452337106</v>
      </c>
      <c r="F2267">
        <v>432096415</v>
      </c>
      <c r="G2267">
        <v>329687914</v>
      </c>
      <c r="P2267">
        <v>101</v>
      </c>
      <c r="Q2267" t="s">
        <v>4862</v>
      </c>
    </row>
    <row r="2268" spans="1:17" x14ac:dyDescent="0.3">
      <c r="A2268" t="s">
        <v>75</v>
      </c>
      <c r="B2268" t="str">
        <f>"002940"</f>
        <v>002940</v>
      </c>
      <c r="C2268" t="s">
        <v>4863</v>
      </c>
      <c r="D2268" t="s">
        <v>543</v>
      </c>
      <c r="E2268">
        <v>452233658</v>
      </c>
      <c r="F2268">
        <v>387243028</v>
      </c>
      <c r="G2268">
        <v>352203535</v>
      </c>
      <c r="H2268">
        <v>474238226</v>
      </c>
      <c r="I2268">
        <v>339941266</v>
      </c>
      <c r="P2268">
        <v>148</v>
      </c>
      <c r="Q2268" t="s">
        <v>4864</v>
      </c>
    </row>
    <row r="2269" spans="1:17" x14ac:dyDescent="0.3">
      <c r="A2269" t="s">
        <v>75</v>
      </c>
      <c r="B2269" t="str">
        <f>"300195"</f>
        <v>300195</v>
      </c>
      <c r="C2269" t="s">
        <v>4865</v>
      </c>
      <c r="D2269" t="s">
        <v>3158</v>
      </c>
      <c r="E2269">
        <v>452219148</v>
      </c>
      <c r="F2269">
        <v>269070475</v>
      </c>
      <c r="G2269">
        <v>293732302</v>
      </c>
      <c r="H2269">
        <v>412139097</v>
      </c>
      <c r="I2269">
        <v>331358999</v>
      </c>
      <c r="J2269">
        <v>305785412</v>
      </c>
      <c r="K2269">
        <v>268078087</v>
      </c>
      <c r="L2269">
        <v>273947926</v>
      </c>
      <c r="M2269">
        <v>80976302</v>
      </c>
      <c r="N2269">
        <v>130526721</v>
      </c>
      <c r="O2269">
        <v>102733638</v>
      </c>
      <c r="P2269">
        <v>90</v>
      </c>
      <c r="Q2269" t="s">
        <v>4866</v>
      </c>
    </row>
    <row r="2270" spans="1:17" x14ac:dyDescent="0.3">
      <c r="A2270" t="s">
        <v>75</v>
      </c>
      <c r="B2270" t="str">
        <f>"002782"</f>
        <v>002782</v>
      </c>
      <c r="C2270" t="s">
        <v>4867</v>
      </c>
      <c r="D2270" t="s">
        <v>55</v>
      </c>
      <c r="E2270">
        <v>451068699</v>
      </c>
      <c r="F2270">
        <v>328296354</v>
      </c>
      <c r="G2270">
        <v>323370810</v>
      </c>
      <c r="H2270">
        <v>297496059</v>
      </c>
      <c r="I2270">
        <v>284232460</v>
      </c>
      <c r="J2270">
        <v>215071898</v>
      </c>
      <c r="K2270">
        <v>215758092</v>
      </c>
      <c r="L2270">
        <v>0</v>
      </c>
      <c r="M2270">
        <v>0</v>
      </c>
      <c r="P2270">
        <v>167</v>
      </c>
      <c r="Q2270" t="s">
        <v>4868</v>
      </c>
    </row>
    <row r="2271" spans="1:17" x14ac:dyDescent="0.3">
      <c r="A2271" t="s">
        <v>17</v>
      </c>
      <c r="B2271" t="str">
        <f>"605488"</f>
        <v>605488</v>
      </c>
      <c r="C2271" t="s">
        <v>4869</v>
      </c>
      <c r="D2271" t="s">
        <v>3251</v>
      </c>
      <c r="E2271">
        <v>450576604</v>
      </c>
      <c r="F2271">
        <v>305929792</v>
      </c>
      <c r="G2271">
        <v>215063044</v>
      </c>
      <c r="P2271">
        <v>28</v>
      </c>
      <c r="Q2271" t="s">
        <v>4870</v>
      </c>
    </row>
    <row r="2272" spans="1:17" x14ac:dyDescent="0.3">
      <c r="A2272" t="s">
        <v>75</v>
      </c>
      <c r="B2272" t="str">
        <f>"002646"</f>
        <v>002646</v>
      </c>
      <c r="C2272" t="s">
        <v>4871</v>
      </c>
      <c r="D2272" t="s">
        <v>201</v>
      </c>
      <c r="E2272">
        <v>449859463</v>
      </c>
      <c r="F2272">
        <v>442773386</v>
      </c>
      <c r="G2272">
        <v>213879275</v>
      </c>
      <c r="H2272">
        <v>447582185</v>
      </c>
      <c r="I2272">
        <v>548553996</v>
      </c>
      <c r="J2272">
        <v>475782424</v>
      </c>
      <c r="K2272">
        <v>596747141</v>
      </c>
      <c r="L2272">
        <v>629949062</v>
      </c>
      <c r="M2272">
        <v>592875871</v>
      </c>
      <c r="N2272">
        <v>621382260</v>
      </c>
      <c r="O2272">
        <v>528530295</v>
      </c>
      <c r="P2272">
        <v>254</v>
      </c>
      <c r="Q2272" t="s">
        <v>4872</v>
      </c>
    </row>
    <row r="2273" spans="1:17" x14ac:dyDescent="0.3">
      <c r="A2273" t="s">
        <v>17</v>
      </c>
      <c r="B2273" t="str">
        <f>"603070"</f>
        <v>603070</v>
      </c>
      <c r="C2273" t="s">
        <v>4873</v>
      </c>
      <c r="E2273">
        <v>449231370</v>
      </c>
      <c r="P2273">
        <v>10</v>
      </c>
      <c r="Q2273" t="s">
        <v>4874</v>
      </c>
    </row>
    <row r="2274" spans="1:17" x14ac:dyDescent="0.3">
      <c r="A2274" t="s">
        <v>75</v>
      </c>
      <c r="B2274" t="str">
        <f>"002981"</f>
        <v>002981</v>
      </c>
      <c r="C2274" t="s">
        <v>4875</v>
      </c>
      <c r="D2274" t="s">
        <v>55</v>
      </c>
      <c r="E2274">
        <v>449203385</v>
      </c>
      <c r="F2274">
        <v>320753778</v>
      </c>
      <c r="G2274">
        <v>202367217</v>
      </c>
      <c r="H2274">
        <v>142630952</v>
      </c>
      <c r="P2274">
        <v>73</v>
      </c>
      <c r="Q2274" t="s">
        <v>4876</v>
      </c>
    </row>
    <row r="2275" spans="1:17" x14ac:dyDescent="0.3">
      <c r="A2275" t="s">
        <v>75</v>
      </c>
      <c r="B2275" t="str">
        <f>"300896"</f>
        <v>300896</v>
      </c>
      <c r="C2275" t="s">
        <v>4877</v>
      </c>
      <c r="D2275" t="s">
        <v>2433</v>
      </c>
      <c r="E2275">
        <v>449056281</v>
      </c>
      <c r="F2275">
        <v>261866690</v>
      </c>
      <c r="G2275">
        <v>0</v>
      </c>
      <c r="H2275">
        <v>0</v>
      </c>
      <c r="P2275">
        <v>1332</v>
      </c>
      <c r="Q2275" t="s">
        <v>4878</v>
      </c>
    </row>
    <row r="2276" spans="1:17" x14ac:dyDescent="0.3">
      <c r="A2276" t="s">
        <v>17</v>
      </c>
      <c r="B2276" t="str">
        <f>"603333"</f>
        <v>603333</v>
      </c>
      <c r="C2276" t="s">
        <v>4879</v>
      </c>
      <c r="D2276" t="s">
        <v>562</v>
      </c>
      <c r="E2276">
        <v>448556910</v>
      </c>
      <c r="F2276">
        <v>382076320</v>
      </c>
      <c r="G2276">
        <v>398843562</v>
      </c>
      <c r="H2276">
        <v>272851099</v>
      </c>
      <c r="I2276">
        <v>222064426</v>
      </c>
      <c r="J2276">
        <v>147774870</v>
      </c>
      <c r="K2276">
        <v>132782023</v>
      </c>
      <c r="L2276">
        <v>190878262</v>
      </c>
      <c r="M2276">
        <v>221875771</v>
      </c>
      <c r="N2276">
        <v>191490292</v>
      </c>
      <c r="O2276">
        <v>259454663</v>
      </c>
      <c r="P2276">
        <v>134</v>
      </c>
      <c r="Q2276" t="s">
        <v>4880</v>
      </c>
    </row>
    <row r="2277" spans="1:17" x14ac:dyDescent="0.3">
      <c r="A2277" t="s">
        <v>75</v>
      </c>
      <c r="B2277" t="str">
        <f>"002753"</f>
        <v>002753</v>
      </c>
      <c r="C2277" t="s">
        <v>4881</v>
      </c>
      <c r="D2277" t="s">
        <v>4065</v>
      </c>
      <c r="E2277">
        <v>448149279</v>
      </c>
      <c r="F2277">
        <v>379238852</v>
      </c>
      <c r="G2277">
        <v>350550657</v>
      </c>
      <c r="H2277">
        <v>354445263</v>
      </c>
      <c r="I2277">
        <v>242818372</v>
      </c>
      <c r="J2277">
        <v>159249286</v>
      </c>
      <c r="K2277">
        <v>104463340</v>
      </c>
      <c r="L2277">
        <v>0</v>
      </c>
      <c r="M2277">
        <v>0</v>
      </c>
      <c r="P2277">
        <v>170</v>
      </c>
      <c r="Q2277" t="s">
        <v>4882</v>
      </c>
    </row>
    <row r="2278" spans="1:17" x14ac:dyDescent="0.3">
      <c r="A2278" t="s">
        <v>75</v>
      </c>
      <c r="B2278" t="str">
        <f>"002099"</f>
        <v>002099</v>
      </c>
      <c r="C2278" t="s">
        <v>4883</v>
      </c>
      <c r="D2278" t="s">
        <v>1242</v>
      </c>
      <c r="E2278">
        <v>447587576</v>
      </c>
      <c r="F2278">
        <v>383597000</v>
      </c>
      <c r="G2278">
        <v>429637280</v>
      </c>
      <c r="H2278">
        <v>541622540</v>
      </c>
      <c r="I2278">
        <v>451980619</v>
      </c>
      <c r="J2278">
        <v>584696156</v>
      </c>
      <c r="K2278">
        <v>599847312</v>
      </c>
      <c r="L2278">
        <v>662868619</v>
      </c>
      <c r="M2278">
        <v>291456748</v>
      </c>
      <c r="N2278">
        <v>256845487</v>
      </c>
      <c r="O2278">
        <v>297875655</v>
      </c>
      <c r="P2278">
        <v>298</v>
      </c>
      <c r="Q2278" t="s">
        <v>4884</v>
      </c>
    </row>
    <row r="2279" spans="1:17" x14ac:dyDescent="0.3">
      <c r="A2279" t="s">
        <v>17</v>
      </c>
      <c r="B2279" t="str">
        <f>"603677"</f>
        <v>603677</v>
      </c>
      <c r="C2279" t="s">
        <v>4885</v>
      </c>
      <c r="D2279" t="s">
        <v>1063</v>
      </c>
      <c r="E2279">
        <v>447419221</v>
      </c>
      <c r="F2279">
        <v>409949156</v>
      </c>
      <c r="G2279">
        <v>306166215</v>
      </c>
      <c r="H2279">
        <v>367258380</v>
      </c>
      <c r="I2279">
        <v>270321521</v>
      </c>
      <c r="J2279">
        <v>205236002</v>
      </c>
      <c r="K2279">
        <v>298884767</v>
      </c>
      <c r="P2279">
        <v>124</v>
      </c>
      <c r="Q2279" t="s">
        <v>4886</v>
      </c>
    </row>
    <row r="2280" spans="1:17" x14ac:dyDescent="0.3">
      <c r="A2280" t="s">
        <v>75</v>
      </c>
      <c r="B2280" t="str">
        <f>"002825"</f>
        <v>002825</v>
      </c>
      <c r="C2280" t="s">
        <v>4887</v>
      </c>
      <c r="D2280" t="s">
        <v>3251</v>
      </c>
      <c r="E2280">
        <v>447209376</v>
      </c>
      <c r="F2280">
        <v>378334249</v>
      </c>
      <c r="G2280">
        <v>275682850</v>
      </c>
      <c r="H2280">
        <v>196047971</v>
      </c>
      <c r="I2280">
        <v>195308198</v>
      </c>
      <c r="J2280">
        <v>147694112</v>
      </c>
      <c r="K2280">
        <v>127876950</v>
      </c>
      <c r="P2280">
        <v>100</v>
      </c>
      <c r="Q2280" t="s">
        <v>4888</v>
      </c>
    </row>
    <row r="2281" spans="1:17" x14ac:dyDescent="0.3">
      <c r="A2281" t="s">
        <v>75</v>
      </c>
      <c r="B2281" t="str">
        <f>"300599"</f>
        <v>300599</v>
      </c>
      <c r="C2281" t="s">
        <v>4889</v>
      </c>
      <c r="D2281" t="s">
        <v>1583</v>
      </c>
      <c r="E2281">
        <v>446429995</v>
      </c>
      <c r="F2281">
        <v>443688820</v>
      </c>
      <c r="G2281">
        <v>329122680</v>
      </c>
      <c r="H2281">
        <v>392295631</v>
      </c>
      <c r="I2281">
        <v>374180463</v>
      </c>
      <c r="J2281">
        <v>241056527</v>
      </c>
      <c r="K2281">
        <v>185787340</v>
      </c>
      <c r="P2281">
        <v>102</v>
      </c>
      <c r="Q2281" t="s">
        <v>4890</v>
      </c>
    </row>
    <row r="2282" spans="1:17" x14ac:dyDescent="0.3">
      <c r="A2282" t="s">
        <v>75</v>
      </c>
      <c r="B2282" t="str">
        <f>"002800"</f>
        <v>002800</v>
      </c>
      <c r="C2282" t="s">
        <v>4891</v>
      </c>
      <c r="D2282" t="s">
        <v>608</v>
      </c>
      <c r="E2282">
        <v>445468938</v>
      </c>
      <c r="F2282">
        <v>276065026</v>
      </c>
      <c r="G2282">
        <v>169309176</v>
      </c>
      <c r="H2282">
        <v>421485361</v>
      </c>
      <c r="I2282">
        <v>155682418</v>
      </c>
      <c r="J2282">
        <v>111292825</v>
      </c>
      <c r="K2282">
        <v>73569141</v>
      </c>
      <c r="L2282">
        <v>102695037</v>
      </c>
      <c r="P2282">
        <v>86</v>
      </c>
      <c r="Q2282" t="s">
        <v>4892</v>
      </c>
    </row>
    <row r="2283" spans="1:17" x14ac:dyDescent="0.3">
      <c r="A2283" t="s">
        <v>17</v>
      </c>
      <c r="B2283" t="str">
        <f>"605268"</f>
        <v>605268</v>
      </c>
      <c r="C2283" t="s">
        <v>4893</v>
      </c>
      <c r="D2283" t="s">
        <v>1004</v>
      </c>
      <c r="E2283">
        <v>445359904</v>
      </c>
      <c r="F2283">
        <v>281662409</v>
      </c>
      <c r="G2283">
        <v>248097032</v>
      </c>
      <c r="P2283">
        <v>60</v>
      </c>
      <c r="Q2283" t="s">
        <v>4894</v>
      </c>
    </row>
    <row r="2284" spans="1:17" x14ac:dyDescent="0.3">
      <c r="A2284" t="s">
        <v>75</v>
      </c>
      <c r="B2284" t="str">
        <f>"002005"</f>
        <v>002005</v>
      </c>
      <c r="C2284" t="s">
        <v>4895</v>
      </c>
      <c r="D2284" t="s">
        <v>939</v>
      </c>
      <c r="E2284">
        <v>445187813</v>
      </c>
      <c r="F2284">
        <v>645585850</v>
      </c>
      <c r="G2284">
        <v>493816268</v>
      </c>
      <c r="H2284">
        <v>837905101</v>
      </c>
      <c r="I2284">
        <v>906083381</v>
      </c>
      <c r="J2284">
        <v>921352377</v>
      </c>
      <c r="K2284">
        <v>879943862</v>
      </c>
      <c r="L2284">
        <v>967923801</v>
      </c>
      <c r="M2284">
        <v>689079165</v>
      </c>
      <c r="N2284">
        <v>544318333</v>
      </c>
      <c r="O2284">
        <v>712213853</v>
      </c>
      <c r="P2284">
        <v>74</v>
      </c>
      <c r="Q2284" t="s">
        <v>4896</v>
      </c>
    </row>
    <row r="2285" spans="1:17" x14ac:dyDescent="0.3">
      <c r="A2285" t="s">
        <v>75</v>
      </c>
      <c r="B2285" t="str">
        <f>"000593"</f>
        <v>000593</v>
      </c>
      <c r="C2285" t="s">
        <v>4897</v>
      </c>
      <c r="D2285" t="s">
        <v>147</v>
      </c>
      <c r="E2285">
        <v>445143348</v>
      </c>
      <c r="F2285">
        <v>465329253</v>
      </c>
      <c r="G2285">
        <v>304594645</v>
      </c>
      <c r="H2285">
        <v>242211288</v>
      </c>
      <c r="I2285">
        <v>143263132</v>
      </c>
      <c r="J2285">
        <v>156763717</v>
      </c>
      <c r="K2285">
        <v>123432496</v>
      </c>
      <c r="L2285">
        <v>128803368</v>
      </c>
      <c r="M2285">
        <v>121965905</v>
      </c>
      <c r="N2285">
        <v>132774029</v>
      </c>
      <c r="O2285">
        <v>129473681</v>
      </c>
      <c r="P2285">
        <v>80</v>
      </c>
      <c r="Q2285" t="s">
        <v>4898</v>
      </c>
    </row>
    <row r="2286" spans="1:17" x14ac:dyDescent="0.3">
      <c r="A2286" t="s">
        <v>17</v>
      </c>
      <c r="B2286" t="str">
        <f>"605077"</f>
        <v>605077</v>
      </c>
      <c r="C2286" t="s">
        <v>4899</v>
      </c>
      <c r="D2286" t="s">
        <v>1291</v>
      </c>
      <c r="E2286">
        <v>444431594</v>
      </c>
      <c r="F2286">
        <v>298244487</v>
      </c>
      <c r="G2286">
        <v>346249083</v>
      </c>
      <c r="P2286">
        <v>88</v>
      </c>
      <c r="Q2286" t="s">
        <v>4900</v>
      </c>
    </row>
    <row r="2287" spans="1:17" x14ac:dyDescent="0.3">
      <c r="A2287" t="s">
        <v>75</v>
      </c>
      <c r="B2287" t="str">
        <f>"300732"</f>
        <v>300732</v>
      </c>
      <c r="C2287" t="s">
        <v>4901</v>
      </c>
      <c r="D2287" t="s">
        <v>2118</v>
      </c>
      <c r="E2287">
        <v>444294329</v>
      </c>
      <c r="F2287">
        <v>401451197</v>
      </c>
      <c r="G2287">
        <v>214175312</v>
      </c>
      <c r="H2287">
        <v>237838654</v>
      </c>
      <c r="I2287">
        <v>106944888</v>
      </c>
      <c r="J2287">
        <v>115977415</v>
      </c>
      <c r="P2287">
        <v>151</v>
      </c>
      <c r="Q2287" t="s">
        <v>4902</v>
      </c>
    </row>
    <row r="2288" spans="1:17" x14ac:dyDescent="0.3">
      <c r="A2288" t="s">
        <v>75</v>
      </c>
      <c r="B2288" t="str">
        <f>"000669"</f>
        <v>000669</v>
      </c>
      <c r="C2288" t="s">
        <v>4903</v>
      </c>
      <c r="D2288" t="s">
        <v>147</v>
      </c>
      <c r="E2288">
        <v>444124879</v>
      </c>
      <c r="F2288">
        <v>463922035</v>
      </c>
      <c r="G2288">
        <v>603808331</v>
      </c>
      <c r="H2288">
        <v>1202331293</v>
      </c>
      <c r="I2288">
        <v>1237419205</v>
      </c>
      <c r="J2288">
        <v>818722815</v>
      </c>
      <c r="K2288">
        <v>505070088</v>
      </c>
      <c r="L2288">
        <v>513021320</v>
      </c>
      <c r="M2288">
        <v>407742899</v>
      </c>
      <c r="N2288">
        <v>329213102</v>
      </c>
      <c r="O2288">
        <v>5448924</v>
      </c>
      <c r="P2288">
        <v>83</v>
      </c>
      <c r="Q2288" t="s">
        <v>4904</v>
      </c>
    </row>
    <row r="2289" spans="1:17" x14ac:dyDescent="0.3">
      <c r="A2289" t="s">
        <v>17</v>
      </c>
      <c r="B2289" t="str">
        <f>"688232"</f>
        <v>688232</v>
      </c>
      <c r="C2289" t="s">
        <v>4905</v>
      </c>
      <c r="D2289" t="s">
        <v>116</v>
      </c>
      <c r="E2289">
        <v>444053262</v>
      </c>
      <c r="G2289">
        <v>270196731</v>
      </c>
      <c r="P2289">
        <v>26</v>
      </c>
      <c r="Q2289" t="s">
        <v>4906</v>
      </c>
    </row>
    <row r="2290" spans="1:17" x14ac:dyDescent="0.3">
      <c r="A2290" t="s">
        <v>17</v>
      </c>
      <c r="B2290" t="str">
        <f>"688082"</f>
        <v>688082</v>
      </c>
      <c r="C2290" t="s">
        <v>4907</v>
      </c>
      <c r="D2290" t="s">
        <v>1859</v>
      </c>
      <c r="E2290">
        <v>444035401</v>
      </c>
      <c r="P2290">
        <v>35</v>
      </c>
      <c r="Q2290" t="s">
        <v>4908</v>
      </c>
    </row>
    <row r="2291" spans="1:17" x14ac:dyDescent="0.3">
      <c r="A2291" t="s">
        <v>75</v>
      </c>
      <c r="B2291" t="str">
        <f>"300981"</f>
        <v>300981</v>
      </c>
      <c r="C2291" t="s">
        <v>4909</v>
      </c>
      <c r="D2291" t="s">
        <v>1538</v>
      </c>
      <c r="E2291">
        <v>443825752</v>
      </c>
      <c r="F2291">
        <v>1821125631</v>
      </c>
      <c r="G2291">
        <v>375882345</v>
      </c>
      <c r="P2291">
        <v>127</v>
      </c>
      <c r="Q2291" t="s">
        <v>4910</v>
      </c>
    </row>
    <row r="2292" spans="1:17" x14ac:dyDescent="0.3">
      <c r="A2292" t="s">
        <v>17</v>
      </c>
      <c r="B2292" t="str">
        <f>"601208"</f>
        <v>601208</v>
      </c>
      <c r="C2292" t="s">
        <v>4911</v>
      </c>
      <c r="D2292" t="s">
        <v>2029</v>
      </c>
      <c r="E2292">
        <v>442548027</v>
      </c>
      <c r="F2292">
        <v>322974795</v>
      </c>
      <c r="G2292">
        <v>191074538</v>
      </c>
      <c r="H2292">
        <v>186863639</v>
      </c>
      <c r="I2292">
        <v>237048509</v>
      </c>
      <c r="J2292">
        <v>248967424</v>
      </c>
      <c r="K2292">
        <v>254881245</v>
      </c>
      <c r="L2292">
        <v>182142070</v>
      </c>
      <c r="M2292">
        <v>167022567</v>
      </c>
      <c r="N2292">
        <v>336244308</v>
      </c>
      <c r="O2292">
        <v>319705496</v>
      </c>
      <c r="P2292">
        <v>3074</v>
      </c>
      <c r="Q2292" t="s">
        <v>4912</v>
      </c>
    </row>
    <row r="2293" spans="1:17" x14ac:dyDescent="0.3">
      <c r="A2293" t="s">
        <v>75</v>
      </c>
      <c r="B2293" t="str">
        <f>"000931"</f>
        <v>000931</v>
      </c>
      <c r="C2293" t="s">
        <v>4913</v>
      </c>
      <c r="D2293" t="s">
        <v>543</v>
      </c>
      <c r="E2293">
        <v>442194177</v>
      </c>
      <c r="F2293">
        <v>464774275</v>
      </c>
      <c r="G2293">
        <v>357574742</v>
      </c>
      <c r="H2293">
        <v>444871533</v>
      </c>
      <c r="I2293">
        <v>376316070</v>
      </c>
      <c r="J2293">
        <v>247846281</v>
      </c>
      <c r="K2293">
        <v>279195863</v>
      </c>
      <c r="L2293">
        <v>149072847</v>
      </c>
      <c r="M2293">
        <v>634288201</v>
      </c>
      <c r="N2293">
        <v>661744645</v>
      </c>
      <c r="O2293">
        <v>547226657</v>
      </c>
      <c r="P2293">
        <v>142</v>
      </c>
      <c r="Q2293" t="s">
        <v>4914</v>
      </c>
    </row>
    <row r="2294" spans="1:17" x14ac:dyDescent="0.3">
      <c r="A2294" t="s">
        <v>17</v>
      </c>
      <c r="B2294" t="str">
        <f>"600071"</f>
        <v>600071</v>
      </c>
      <c r="C2294" t="s">
        <v>4915</v>
      </c>
      <c r="D2294" t="s">
        <v>975</v>
      </c>
      <c r="E2294">
        <v>441585056</v>
      </c>
      <c r="F2294">
        <v>361915906</v>
      </c>
      <c r="G2294">
        <v>222725879</v>
      </c>
      <c r="H2294">
        <v>189681425</v>
      </c>
      <c r="I2294">
        <v>153255972</v>
      </c>
      <c r="J2294">
        <v>164028564</v>
      </c>
      <c r="K2294">
        <v>160509978</v>
      </c>
      <c r="L2294">
        <v>155268276</v>
      </c>
      <c r="M2294">
        <v>195476594</v>
      </c>
      <c r="N2294">
        <v>165444973</v>
      </c>
      <c r="O2294">
        <v>338932023</v>
      </c>
      <c r="P2294">
        <v>97</v>
      </c>
      <c r="Q2294" t="s">
        <v>4916</v>
      </c>
    </row>
    <row r="2295" spans="1:17" x14ac:dyDescent="0.3">
      <c r="A2295" t="s">
        <v>75</v>
      </c>
      <c r="B2295" t="str">
        <f>"002069"</f>
        <v>002069</v>
      </c>
      <c r="C2295" t="s">
        <v>4917</v>
      </c>
      <c r="D2295" t="s">
        <v>2597</v>
      </c>
      <c r="E2295">
        <v>441536847</v>
      </c>
      <c r="F2295">
        <v>384709970</v>
      </c>
      <c r="G2295">
        <v>408307848</v>
      </c>
      <c r="H2295">
        <v>586762763</v>
      </c>
      <c r="I2295">
        <v>772801223</v>
      </c>
      <c r="J2295">
        <v>685132384</v>
      </c>
      <c r="K2295">
        <v>658793464</v>
      </c>
      <c r="L2295">
        <v>676372982</v>
      </c>
      <c r="M2295">
        <v>596977691</v>
      </c>
      <c r="N2295">
        <v>547691176</v>
      </c>
      <c r="O2295">
        <v>577808566</v>
      </c>
      <c r="P2295">
        <v>406</v>
      </c>
      <c r="Q2295" t="s">
        <v>4918</v>
      </c>
    </row>
    <row r="2296" spans="1:17" x14ac:dyDescent="0.3">
      <c r="A2296" t="s">
        <v>75</v>
      </c>
      <c r="B2296" t="str">
        <f>"002884"</f>
        <v>002884</v>
      </c>
      <c r="C2296" t="s">
        <v>4919</v>
      </c>
      <c r="D2296" t="s">
        <v>1424</v>
      </c>
      <c r="E2296">
        <v>441403203</v>
      </c>
      <c r="F2296">
        <v>396833398</v>
      </c>
      <c r="G2296">
        <v>228383504</v>
      </c>
      <c r="H2296">
        <v>261698456</v>
      </c>
      <c r="I2296">
        <v>219112210</v>
      </c>
      <c r="J2296">
        <v>0</v>
      </c>
      <c r="K2296">
        <v>0</v>
      </c>
      <c r="P2296">
        <v>995</v>
      </c>
      <c r="Q2296" t="s">
        <v>4920</v>
      </c>
    </row>
    <row r="2297" spans="1:17" x14ac:dyDescent="0.3">
      <c r="A2297" t="s">
        <v>17</v>
      </c>
      <c r="B2297" t="str">
        <f>"603111"</f>
        <v>603111</v>
      </c>
      <c r="C2297" t="s">
        <v>4921</v>
      </c>
      <c r="D2297" t="s">
        <v>156</v>
      </c>
      <c r="E2297">
        <v>440556431</v>
      </c>
      <c r="F2297">
        <v>695944687</v>
      </c>
      <c r="G2297">
        <v>429348904</v>
      </c>
      <c r="H2297">
        <v>612914298</v>
      </c>
      <c r="I2297">
        <v>574791183</v>
      </c>
      <c r="J2297">
        <v>395551104</v>
      </c>
      <c r="K2297">
        <v>421995689</v>
      </c>
      <c r="L2297">
        <v>264162943</v>
      </c>
      <c r="M2297">
        <v>0</v>
      </c>
      <c r="P2297">
        <v>440</v>
      </c>
      <c r="Q2297" t="s">
        <v>4922</v>
      </c>
    </row>
    <row r="2298" spans="1:17" x14ac:dyDescent="0.3">
      <c r="A2298" t="s">
        <v>75</v>
      </c>
      <c r="B2298" t="str">
        <f>"300533"</f>
        <v>300533</v>
      </c>
      <c r="C2298" t="s">
        <v>4923</v>
      </c>
      <c r="D2298" t="s">
        <v>1165</v>
      </c>
      <c r="E2298">
        <v>440499118</v>
      </c>
      <c r="F2298">
        <v>142113568</v>
      </c>
      <c r="G2298">
        <v>111919494</v>
      </c>
      <c r="H2298">
        <v>107419903</v>
      </c>
      <c r="I2298">
        <v>55079130</v>
      </c>
      <c r="J2298">
        <v>62199742</v>
      </c>
      <c r="K2298">
        <v>87255519</v>
      </c>
      <c r="L2298">
        <v>92212380</v>
      </c>
      <c r="P2298">
        <v>131</v>
      </c>
      <c r="Q2298" t="s">
        <v>4924</v>
      </c>
    </row>
    <row r="2299" spans="1:17" x14ac:dyDescent="0.3">
      <c r="A2299" t="s">
        <v>17</v>
      </c>
      <c r="B2299" t="str">
        <f>"688408"</f>
        <v>688408</v>
      </c>
      <c r="C2299" t="s">
        <v>4925</v>
      </c>
      <c r="D2299" t="s">
        <v>1512</v>
      </c>
      <c r="E2299">
        <v>440274225</v>
      </c>
      <c r="F2299">
        <v>600472122</v>
      </c>
      <c r="G2299">
        <v>396246298</v>
      </c>
      <c r="P2299">
        <v>114</v>
      </c>
      <c r="Q2299" t="s">
        <v>4926</v>
      </c>
    </row>
    <row r="2300" spans="1:17" x14ac:dyDescent="0.3">
      <c r="A2300" t="s">
        <v>75</v>
      </c>
      <c r="B2300" t="str">
        <f>"300541"</f>
        <v>300541</v>
      </c>
      <c r="C2300" t="s">
        <v>4927</v>
      </c>
      <c r="D2300" t="s">
        <v>224</v>
      </c>
      <c r="E2300">
        <v>440077669</v>
      </c>
      <c r="F2300">
        <v>557990944</v>
      </c>
      <c r="G2300">
        <v>840806765</v>
      </c>
      <c r="H2300">
        <v>376324659</v>
      </c>
      <c r="I2300">
        <v>146256723</v>
      </c>
      <c r="J2300">
        <v>172041466</v>
      </c>
      <c r="K2300">
        <v>77955006</v>
      </c>
      <c r="P2300">
        <v>177</v>
      </c>
      <c r="Q2300" t="s">
        <v>4928</v>
      </c>
    </row>
    <row r="2301" spans="1:17" x14ac:dyDescent="0.3">
      <c r="A2301" t="s">
        <v>17</v>
      </c>
      <c r="B2301" t="str">
        <f>"688208"</f>
        <v>688208</v>
      </c>
      <c r="C2301" t="s">
        <v>4929</v>
      </c>
      <c r="D2301" t="s">
        <v>508</v>
      </c>
      <c r="E2301">
        <v>439744576</v>
      </c>
      <c r="F2301">
        <v>461176769</v>
      </c>
      <c r="G2301">
        <v>340977269</v>
      </c>
      <c r="H2301">
        <v>240785034</v>
      </c>
      <c r="P2301">
        <v>220</v>
      </c>
      <c r="Q2301" t="s">
        <v>4930</v>
      </c>
    </row>
    <row r="2302" spans="1:17" x14ac:dyDescent="0.3">
      <c r="A2302" t="s">
        <v>75</v>
      </c>
      <c r="B2302" t="str">
        <f>"002790"</f>
        <v>002790</v>
      </c>
      <c r="C2302" t="s">
        <v>4931</v>
      </c>
      <c r="D2302" t="s">
        <v>2617</v>
      </c>
      <c r="E2302">
        <v>439645640</v>
      </c>
      <c r="F2302">
        <v>355578168</v>
      </c>
      <c r="G2302">
        <v>234375248</v>
      </c>
      <c r="H2302">
        <v>276878523</v>
      </c>
      <c r="I2302">
        <v>197950681</v>
      </c>
      <c r="J2302">
        <v>216655656</v>
      </c>
      <c r="K2302">
        <v>196090722</v>
      </c>
      <c r="L2302">
        <v>158912138</v>
      </c>
      <c r="P2302">
        <v>138</v>
      </c>
      <c r="Q2302" t="s">
        <v>4932</v>
      </c>
    </row>
    <row r="2303" spans="1:17" x14ac:dyDescent="0.3">
      <c r="A2303" t="s">
        <v>75</v>
      </c>
      <c r="B2303" t="str">
        <f>"300228"</f>
        <v>300228</v>
      </c>
      <c r="C2303" t="s">
        <v>4933</v>
      </c>
      <c r="D2303" t="s">
        <v>153</v>
      </c>
      <c r="E2303">
        <v>438892009</v>
      </c>
      <c r="F2303">
        <v>392135909</v>
      </c>
      <c r="G2303">
        <v>392713872</v>
      </c>
      <c r="H2303">
        <v>357385151</v>
      </c>
      <c r="I2303">
        <v>409383371</v>
      </c>
      <c r="J2303">
        <v>504463122</v>
      </c>
      <c r="K2303">
        <v>181936125</v>
      </c>
      <c r="L2303">
        <v>493507212</v>
      </c>
      <c r="M2303">
        <v>333570825</v>
      </c>
      <c r="N2303">
        <v>337887234</v>
      </c>
      <c r="O2303">
        <v>259708578</v>
      </c>
      <c r="P2303">
        <v>128</v>
      </c>
      <c r="Q2303" t="s">
        <v>4934</v>
      </c>
    </row>
    <row r="2304" spans="1:17" x14ac:dyDescent="0.3">
      <c r="A2304" t="s">
        <v>17</v>
      </c>
      <c r="B2304" t="str">
        <f>"601778"</f>
        <v>601778</v>
      </c>
      <c r="C2304" t="s">
        <v>4935</v>
      </c>
      <c r="D2304" t="s">
        <v>3126</v>
      </c>
      <c r="E2304">
        <v>438327582</v>
      </c>
      <c r="F2304">
        <v>575439043</v>
      </c>
      <c r="G2304">
        <v>490051853</v>
      </c>
      <c r="H2304">
        <v>510844023</v>
      </c>
      <c r="P2304">
        <v>221</v>
      </c>
      <c r="Q2304" t="s">
        <v>4936</v>
      </c>
    </row>
    <row r="2305" spans="1:17" x14ac:dyDescent="0.3">
      <c r="A2305" t="s">
        <v>75</v>
      </c>
      <c r="B2305" t="str">
        <f>"002639"</f>
        <v>002639</v>
      </c>
      <c r="C2305" t="s">
        <v>4937</v>
      </c>
      <c r="D2305" t="s">
        <v>2626</v>
      </c>
      <c r="E2305">
        <v>438220805</v>
      </c>
      <c r="F2305">
        <v>420009148</v>
      </c>
      <c r="G2305">
        <v>227471542</v>
      </c>
      <c r="H2305">
        <v>341452329</v>
      </c>
      <c r="I2305">
        <v>239929678</v>
      </c>
      <c r="J2305">
        <v>177909492</v>
      </c>
      <c r="K2305">
        <v>123595487</v>
      </c>
      <c r="L2305">
        <v>124845904</v>
      </c>
      <c r="M2305">
        <v>96428303</v>
      </c>
      <c r="N2305">
        <v>60109229</v>
      </c>
      <c r="O2305">
        <v>37034049</v>
      </c>
      <c r="P2305">
        <v>228</v>
      </c>
      <c r="Q2305" t="s">
        <v>4938</v>
      </c>
    </row>
    <row r="2306" spans="1:17" x14ac:dyDescent="0.3">
      <c r="A2306" t="s">
        <v>17</v>
      </c>
      <c r="B2306" t="str">
        <f>"603536"</f>
        <v>603536</v>
      </c>
      <c r="C2306" t="s">
        <v>4939</v>
      </c>
      <c r="D2306" t="s">
        <v>1312</v>
      </c>
      <c r="E2306">
        <v>437976762</v>
      </c>
      <c r="F2306">
        <v>348750842</v>
      </c>
      <c r="G2306">
        <v>255571308</v>
      </c>
      <c r="H2306">
        <v>280995647</v>
      </c>
      <c r="I2306">
        <v>279984971</v>
      </c>
      <c r="J2306">
        <v>215247521</v>
      </c>
      <c r="P2306">
        <v>125</v>
      </c>
      <c r="Q2306" t="s">
        <v>4940</v>
      </c>
    </row>
    <row r="2307" spans="1:17" x14ac:dyDescent="0.3">
      <c r="A2307" t="s">
        <v>75</v>
      </c>
      <c r="B2307" t="str">
        <f>"002229"</f>
        <v>002229</v>
      </c>
      <c r="C2307" t="s">
        <v>4941</v>
      </c>
      <c r="D2307" t="s">
        <v>3395</v>
      </c>
      <c r="E2307">
        <v>437633826</v>
      </c>
      <c r="F2307">
        <v>107807729</v>
      </c>
      <c r="G2307">
        <v>58952372</v>
      </c>
      <c r="H2307">
        <v>104052018</v>
      </c>
      <c r="I2307">
        <v>151163571</v>
      </c>
      <c r="J2307">
        <v>128198146</v>
      </c>
      <c r="K2307">
        <v>164853328</v>
      </c>
      <c r="L2307">
        <v>139660595</v>
      </c>
      <c r="M2307">
        <v>109705068</v>
      </c>
      <c r="N2307">
        <v>111384980</v>
      </c>
      <c r="O2307">
        <v>78968035</v>
      </c>
      <c r="P2307">
        <v>118</v>
      </c>
      <c r="Q2307" t="s">
        <v>4942</v>
      </c>
    </row>
    <row r="2308" spans="1:17" x14ac:dyDescent="0.3">
      <c r="A2308" t="s">
        <v>17</v>
      </c>
      <c r="B2308" t="str">
        <f>"601008"</f>
        <v>601008</v>
      </c>
      <c r="C2308" t="s">
        <v>4943</v>
      </c>
      <c r="D2308" t="s">
        <v>383</v>
      </c>
      <c r="E2308">
        <v>437529295</v>
      </c>
      <c r="F2308">
        <v>397191556</v>
      </c>
      <c r="G2308">
        <v>343046310</v>
      </c>
      <c r="H2308">
        <v>275382776</v>
      </c>
      <c r="I2308">
        <v>298780752</v>
      </c>
      <c r="J2308">
        <v>265768647</v>
      </c>
      <c r="K2308">
        <v>270156126</v>
      </c>
      <c r="L2308">
        <v>286013936</v>
      </c>
      <c r="M2308">
        <v>333043984</v>
      </c>
      <c r="N2308">
        <v>359261532</v>
      </c>
      <c r="O2308">
        <v>330858771</v>
      </c>
      <c r="P2308">
        <v>131</v>
      </c>
      <c r="Q2308" t="s">
        <v>4944</v>
      </c>
    </row>
    <row r="2309" spans="1:17" x14ac:dyDescent="0.3">
      <c r="A2309" t="s">
        <v>75</v>
      </c>
      <c r="B2309" t="str">
        <f>"003006"</f>
        <v>003006</v>
      </c>
      <c r="C2309" t="s">
        <v>4945</v>
      </c>
      <c r="D2309" t="s">
        <v>1636</v>
      </c>
      <c r="E2309">
        <v>436756662</v>
      </c>
      <c r="F2309">
        <v>454356816</v>
      </c>
      <c r="G2309">
        <v>377702229</v>
      </c>
      <c r="P2309">
        <v>172</v>
      </c>
      <c r="Q2309" t="s">
        <v>4946</v>
      </c>
    </row>
    <row r="2310" spans="1:17" x14ac:dyDescent="0.3">
      <c r="A2310" t="s">
        <v>17</v>
      </c>
      <c r="B2310" t="str">
        <f>"603998"</f>
        <v>603998</v>
      </c>
      <c r="C2310" t="s">
        <v>4947</v>
      </c>
      <c r="D2310" t="s">
        <v>321</v>
      </c>
      <c r="E2310">
        <v>435519917</v>
      </c>
      <c r="F2310">
        <v>333388283</v>
      </c>
      <c r="G2310">
        <v>255855047</v>
      </c>
      <c r="H2310">
        <v>227998110</v>
      </c>
      <c r="I2310">
        <v>221000072</v>
      </c>
      <c r="J2310">
        <v>116222876</v>
      </c>
      <c r="K2310">
        <v>89575241</v>
      </c>
      <c r="L2310">
        <v>83000140</v>
      </c>
      <c r="M2310">
        <v>71271784</v>
      </c>
      <c r="P2310">
        <v>126</v>
      </c>
      <c r="Q2310" t="s">
        <v>4948</v>
      </c>
    </row>
    <row r="2311" spans="1:17" x14ac:dyDescent="0.3">
      <c r="A2311" t="s">
        <v>75</v>
      </c>
      <c r="B2311" t="str">
        <f>"300381"</f>
        <v>300381</v>
      </c>
      <c r="C2311" t="s">
        <v>4949</v>
      </c>
      <c r="D2311" t="s">
        <v>1242</v>
      </c>
      <c r="E2311">
        <v>435479129</v>
      </c>
      <c r="F2311">
        <v>403229114</v>
      </c>
      <c r="G2311">
        <v>319503245</v>
      </c>
      <c r="H2311">
        <v>243584086</v>
      </c>
      <c r="I2311">
        <v>380309920</v>
      </c>
      <c r="J2311">
        <v>261492903</v>
      </c>
      <c r="K2311">
        <v>261350596</v>
      </c>
      <c r="L2311">
        <v>112286311</v>
      </c>
      <c r="M2311">
        <v>70718380</v>
      </c>
      <c r="N2311">
        <v>82762223</v>
      </c>
      <c r="P2311">
        <v>160</v>
      </c>
      <c r="Q2311" t="s">
        <v>4950</v>
      </c>
    </row>
    <row r="2312" spans="1:17" x14ac:dyDescent="0.3">
      <c r="A2312" t="s">
        <v>75</v>
      </c>
      <c r="B2312" t="str">
        <f>"300459"</f>
        <v>300459</v>
      </c>
      <c r="C2312" t="s">
        <v>4951</v>
      </c>
      <c r="D2312" t="s">
        <v>1165</v>
      </c>
      <c r="E2312">
        <v>434857081</v>
      </c>
      <c r="F2312">
        <v>492650274</v>
      </c>
      <c r="G2312">
        <v>402198245</v>
      </c>
      <c r="H2312">
        <v>1513188072</v>
      </c>
      <c r="I2312">
        <v>566114141</v>
      </c>
      <c r="J2312">
        <v>337849465</v>
      </c>
      <c r="K2312">
        <v>146464818</v>
      </c>
      <c r="L2312">
        <v>0</v>
      </c>
      <c r="M2312">
        <v>0</v>
      </c>
      <c r="P2312">
        <v>287</v>
      </c>
      <c r="Q2312" t="s">
        <v>4952</v>
      </c>
    </row>
    <row r="2313" spans="1:17" x14ac:dyDescent="0.3">
      <c r="A2313" t="s">
        <v>75</v>
      </c>
      <c r="B2313" t="str">
        <f>"000566"</f>
        <v>000566</v>
      </c>
      <c r="C2313" t="s">
        <v>4953</v>
      </c>
      <c r="D2313" t="s">
        <v>543</v>
      </c>
      <c r="E2313">
        <v>434637118</v>
      </c>
      <c r="F2313">
        <v>537246690</v>
      </c>
      <c r="G2313">
        <v>460451748</v>
      </c>
      <c r="H2313">
        <v>518335248</v>
      </c>
      <c r="I2313">
        <v>543992734</v>
      </c>
      <c r="J2313">
        <v>230749538</v>
      </c>
      <c r="K2313">
        <v>229089761</v>
      </c>
      <c r="L2313">
        <v>168297197</v>
      </c>
      <c r="M2313">
        <v>288225782</v>
      </c>
      <c r="N2313">
        <v>327535583</v>
      </c>
      <c r="O2313">
        <v>217515046</v>
      </c>
      <c r="P2313">
        <v>195</v>
      </c>
      <c r="Q2313" t="s">
        <v>4954</v>
      </c>
    </row>
    <row r="2314" spans="1:17" x14ac:dyDescent="0.3">
      <c r="A2314" t="s">
        <v>17</v>
      </c>
      <c r="B2314" t="str">
        <f>"600513"</f>
        <v>600513</v>
      </c>
      <c r="C2314" t="s">
        <v>4955</v>
      </c>
      <c r="D2314" t="s">
        <v>543</v>
      </c>
      <c r="E2314">
        <v>434256874</v>
      </c>
      <c r="F2314">
        <v>367151219</v>
      </c>
      <c r="G2314">
        <v>321356556</v>
      </c>
      <c r="H2314">
        <v>360860148</v>
      </c>
      <c r="I2314">
        <v>261165404</v>
      </c>
      <c r="J2314">
        <v>138191281</v>
      </c>
      <c r="K2314">
        <v>130668100</v>
      </c>
      <c r="L2314">
        <v>139691352</v>
      </c>
      <c r="M2314">
        <v>142137586</v>
      </c>
      <c r="N2314">
        <v>81649601</v>
      </c>
      <c r="O2314">
        <v>84016151</v>
      </c>
      <c r="P2314">
        <v>144</v>
      </c>
      <c r="Q2314" t="s">
        <v>4956</v>
      </c>
    </row>
    <row r="2315" spans="1:17" x14ac:dyDescent="0.3">
      <c r="A2315" t="s">
        <v>17</v>
      </c>
      <c r="B2315" t="str">
        <f>"600425"</f>
        <v>600425</v>
      </c>
      <c r="C2315" t="s">
        <v>4957</v>
      </c>
      <c r="D2315" t="s">
        <v>191</v>
      </c>
      <c r="E2315">
        <v>434214771</v>
      </c>
      <c r="F2315">
        <v>375671481</v>
      </c>
      <c r="G2315">
        <v>220159283</v>
      </c>
      <c r="H2315">
        <v>288944936</v>
      </c>
      <c r="I2315">
        <v>102768908</v>
      </c>
      <c r="J2315">
        <v>239671155</v>
      </c>
      <c r="K2315">
        <v>146172272</v>
      </c>
      <c r="L2315">
        <v>179794328</v>
      </c>
      <c r="M2315">
        <v>388397632</v>
      </c>
      <c r="N2315">
        <v>352912892</v>
      </c>
      <c r="O2315">
        <v>299181125</v>
      </c>
      <c r="P2315">
        <v>167</v>
      </c>
      <c r="Q2315" t="s">
        <v>4958</v>
      </c>
    </row>
    <row r="2316" spans="1:17" x14ac:dyDescent="0.3">
      <c r="A2316" t="s">
        <v>17</v>
      </c>
      <c r="B2316" t="str">
        <f>"605567"</f>
        <v>605567</v>
      </c>
      <c r="C2316" t="s">
        <v>4959</v>
      </c>
      <c r="D2316" t="s">
        <v>1312</v>
      </c>
      <c r="E2316">
        <v>433597751</v>
      </c>
      <c r="P2316">
        <v>32</v>
      </c>
      <c r="Q2316" t="s">
        <v>4960</v>
      </c>
    </row>
    <row r="2317" spans="1:17" x14ac:dyDescent="0.3">
      <c r="A2317" t="s">
        <v>75</v>
      </c>
      <c r="B2317" t="str">
        <f>"002598"</f>
        <v>002598</v>
      </c>
      <c r="C2317" t="s">
        <v>4961</v>
      </c>
      <c r="D2317" t="s">
        <v>1424</v>
      </c>
      <c r="E2317">
        <v>433524036</v>
      </c>
      <c r="F2317">
        <v>331190054</v>
      </c>
      <c r="G2317">
        <v>195129060</v>
      </c>
      <c r="H2317">
        <v>269164253</v>
      </c>
      <c r="I2317">
        <v>191334951</v>
      </c>
      <c r="J2317">
        <v>160841661</v>
      </c>
      <c r="K2317">
        <v>102031255</v>
      </c>
      <c r="L2317">
        <v>109869863</v>
      </c>
      <c r="M2317">
        <v>134349583</v>
      </c>
      <c r="N2317">
        <v>129134388</v>
      </c>
      <c r="O2317">
        <v>149735444</v>
      </c>
      <c r="P2317">
        <v>88</v>
      </c>
      <c r="Q2317" t="s">
        <v>4962</v>
      </c>
    </row>
    <row r="2318" spans="1:17" x14ac:dyDescent="0.3">
      <c r="A2318" t="s">
        <v>17</v>
      </c>
      <c r="B2318" t="str">
        <f>"603357"</f>
        <v>603357</v>
      </c>
      <c r="C2318" t="s">
        <v>4963</v>
      </c>
      <c r="D2318" t="s">
        <v>2118</v>
      </c>
      <c r="E2318">
        <v>433351483</v>
      </c>
      <c r="F2318">
        <v>504219023</v>
      </c>
      <c r="G2318">
        <v>361858385</v>
      </c>
      <c r="H2318">
        <v>310493352</v>
      </c>
      <c r="I2318">
        <v>273884297</v>
      </c>
      <c r="J2318">
        <v>181904621</v>
      </c>
      <c r="K2318">
        <v>246557919</v>
      </c>
      <c r="P2318">
        <v>361</v>
      </c>
      <c r="Q2318" t="s">
        <v>4964</v>
      </c>
    </row>
    <row r="2319" spans="1:17" x14ac:dyDescent="0.3">
      <c r="A2319" t="s">
        <v>75</v>
      </c>
      <c r="B2319" t="str">
        <f>"300218"</f>
        <v>300218</v>
      </c>
      <c r="C2319" t="s">
        <v>4965</v>
      </c>
      <c r="D2319" t="s">
        <v>3251</v>
      </c>
      <c r="E2319">
        <v>432973143</v>
      </c>
      <c r="F2319">
        <v>378374966</v>
      </c>
      <c r="G2319">
        <v>285823820</v>
      </c>
      <c r="H2319">
        <v>363098280</v>
      </c>
      <c r="I2319">
        <v>407174019</v>
      </c>
      <c r="J2319">
        <v>360725646</v>
      </c>
      <c r="K2319">
        <v>361053423</v>
      </c>
      <c r="L2319">
        <v>318747362</v>
      </c>
      <c r="M2319">
        <v>288524372</v>
      </c>
      <c r="N2319">
        <v>254484137</v>
      </c>
      <c r="O2319">
        <v>222863067</v>
      </c>
      <c r="P2319">
        <v>108</v>
      </c>
      <c r="Q2319" t="s">
        <v>4966</v>
      </c>
    </row>
    <row r="2320" spans="1:17" x14ac:dyDescent="0.3">
      <c r="A2320" t="s">
        <v>75</v>
      </c>
      <c r="B2320" t="str">
        <f>"300283"</f>
        <v>300283</v>
      </c>
      <c r="C2320" t="s">
        <v>4967</v>
      </c>
      <c r="D2320" t="s">
        <v>546</v>
      </c>
      <c r="E2320">
        <v>432966780</v>
      </c>
      <c r="F2320">
        <v>539753375</v>
      </c>
      <c r="G2320">
        <v>287798213</v>
      </c>
      <c r="H2320">
        <v>383216550</v>
      </c>
      <c r="I2320">
        <v>275304041</v>
      </c>
      <c r="J2320">
        <v>203106992</v>
      </c>
      <c r="K2320">
        <v>163900364</v>
      </c>
      <c r="L2320">
        <v>180430880</v>
      </c>
      <c r="M2320">
        <v>150754242</v>
      </c>
      <c r="N2320">
        <v>184723541</v>
      </c>
      <c r="O2320">
        <v>179942581</v>
      </c>
      <c r="P2320">
        <v>58</v>
      </c>
      <c r="Q2320" t="s">
        <v>4968</v>
      </c>
    </row>
    <row r="2321" spans="1:17" x14ac:dyDescent="0.3">
      <c r="A2321" t="s">
        <v>17</v>
      </c>
      <c r="B2321" t="str">
        <f>"603217"</f>
        <v>603217</v>
      </c>
      <c r="C2321" t="s">
        <v>4969</v>
      </c>
      <c r="D2321" t="s">
        <v>292</v>
      </c>
      <c r="E2321">
        <v>432604475</v>
      </c>
      <c r="F2321">
        <v>296892205</v>
      </c>
      <c r="G2321">
        <v>183727093</v>
      </c>
      <c r="H2321">
        <v>0</v>
      </c>
      <c r="I2321">
        <v>0</v>
      </c>
      <c r="P2321">
        <v>71</v>
      </c>
      <c r="Q2321" t="s">
        <v>4970</v>
      </c>
    </row>
    <row r="2322" spans="1:17" x14ac:dyDescent="0.3">
      <c r="A2322" t="s">
        <v>75</v>
      </c>
      <c r="B2322" t="str">
        <f>"003020"</f>
        <v>003020</v>
      </c>
      <c r="C2322" t="s">
        <v>4971</v>
      </c>
      <c r="D2322" t="s">
        <v>543</v>
      </c>
      <c r="E2322">
        <v>432467898</v>
      </c>
      <c r="F2322">
        <v>408702302</v>
      </c>
      <c r="G2322">
        <v>356557977</v>
      </c>
      <c r="P2322">
        <v>78</v>
      </c>
      <c r="Q2322" t="s">
        <v>4972</v>
      </c>
    </row>
    <row r="2323" spans="1:17" x14ac:dyDescent="0.3">
      <c r="A2323" t="s">
        <v>75</v>
      </c>
      <c r="B2323" t="str">
        <f>"002732"</f>
        <v>002732</v>
      </c>
      <c r="C2323" t="s">
        <v>4973</v>
      </c>
      <c r="D2323" t="s">
        <v>215</v>
      </c>
      <c r="E2323">
        <v>432456615</v>
      </c>
      <c r="F2323">
        <v>448714368</v>
      </c>
      <c r="G2323">
        <v>273514105</v>
      </c>
      <c r="H2323">
        <v>314519185</v>
      </c>
      <c r="I2323">
        <v>274357551</v>
      </c>
      <c r="J2323">
        <v>271061867</v>
      </c>
      <c r="K2323">
        <v>201255296</v>
      </c>
      <c r="L2323">
        <v>206779613</v>
      </c>
      <c r="M2323">
        <v>189368564</v>
      </c>
      <c r="P2323">
        <v>349</v>
      </c>
      <c r="Q2323" t="s">
        <v>4974</v>
      </c>
    </row>
    <row r="2324" spans="1:17" x14ac:dyDescent="0.3">
      <c r="A2324" t="s">
        <v>17</v>
      </c>
      <c r="B2324" t="str">
        <f>"601007"</f>
        <v>601007</v>
      </c>
      <c r="C2324" t="s">
        <v>4975</v>
      </c>
      <c r="D2324" t="s">
        <v>1769</v>
      </c>
      <c r="E2324">
        <v>432414794</v>
      </c>
      <c r="F2324">
        <v>383582079</v>
      </c>
      <c r="G2324">
        <v>289913149</v>
      </c>
      <c r="H2324">
        <v>321623242</v>
      </c>
      <c r="I2324">
        <v>285975802</v>
      </c>
      <c r="J2324">
        <v>242005822</v>
      </c>
      <c r="K2324">
        <v>199856558</v>
      </c>
      <c r="L2324">
        <v>193160048</v>
      </c>
      <c r="M2324">
        <v>166379595</v>
      </c>
      <c r="N2324">
        <v>135525279</v>
      </c>
      <c r="O2324">
        <v>141990771</v>
      </c>
      <c r="P2324">
        <v>111</v>
      </c>
      <c r="Q2324" t="s">
        <v>4976</v>
      </c>
    </row>
    <row r="2325" spans="1:17" x14ac:dyDescent="0.3">
      <c r="A2325" t="s">
        <v>17</v>
      </c>
      <c r="B2325" t="str">
        <f>"688015"</f>
        <v>688015</v>
      </c>
      <c r="C2325" t="s">
        <v>4977</v>
      </c>
      <c r="D2325" t="s">
        <v>156</v>
      </c>
      <c r="E2325">
        <v>431506483</v>
      </c>
      <c r="F2325">
        <v>167510314</v>
      </c>
      <c r="G2325">
        <v>291670540</v>
      </c>
      <c r="H2325">
        <v>400507861</v>
      </c>
      <c r="I2325">
        <v>0</v>
      </c>
      <c r="P2325">
        <v>278</v>
      </c>
      <c r="Q2325" t="s">
        <v>4978</v>
      </c>
    </row>
    <row r="2326" spans="1:17" x14ac:dyDescent="0.3">
      <c r="A2326" t="s">
        <v>75</v>
      </c>
      <c r="B2326" t="str">
        <f>"002968"</f>
        <v>002968</v>
      </c>
      <c r="C2326" t="s">
        <v>4979</v>
      </c>
      <c r="D2326" t="s">
        <v>1742</v>
      </c>
      <c r="E2326">
        <v>430841555</v>
      </c>
      <c r="F2326">
        <v>331475818</v>
      </c>
      <c r="G2326">
        <v>203065910</v>
      </c>
      <c r="H2326">
        <v>177954977</v>
      </c>
      <c r="P2326">
        <v>234</v>
      </c>
      <c r="Q2326" t="s">
        <v>4980</v>
      </c>
    </row>
    <row r="2327" spans="1:17" x14ac:dyDescent="0.3">
      <c r="A2327" t="s">
        <v>75</v>
      </c>
      <c r="B2327" t="str">
        <f>"300042"</f>
        <v>300042</v>
      </c>
      <c r="C2327" t="s">
        <v>4981</v>
      </c>
      <c r="D2327" t="s">
        <v>508</v>
      </c>
      <c r="E2327">
        <v>430526074</v>
      </c>
      <c r="F2327">
        <v>486359748</v>
      </c>
      <c r="G2327">
        <v>291455062</v>
      </c>
      <c r="H2327">
        <v>191570251</v>
      </c>
      <c r="I2327">
        <v>187422328</v>
      </c>
      <c r="J2327">
        <v>219024358</v>
      </c>
      <c r="K2327">
        <v>85125867</v>
      </c>
      <c r="L2327">
        <v>74323964</v>
      </c>
      <c r="M2327">
        <v>51756764</v>
      </c>
      <c r="N2327">
        <v>54224794</v>
      </c>
      <c r="O2327">
        <v>55111811</v>
      </c>
      <c r="P2327">
        <v>116</v>
      </c>
      <c r="Q2327" t="s">
        <v>4982</v>
      </c>
    </row>
    <row r="2328" spans="1:17" x14ac:dyDescent="0.3">
      <c r="A2328" t="s">
        <v>17</v>
      </c>
      <c r="B2328" t="str">
        <f>"600641"</f>
        <v>600641</v>
      </c>
      <c r="C2328" t="s">
        <v>4983</v>
      </c>
      <c r="D2328" t="s">
        <v>65</v>
      </c>
      <c r="E2328">
        <v>430331066</v>
      </c>
      <c r="F2328">
        <v>220695850</v>
      </c>
      <c r="G2328">
        <v>146329512</v>
      </c>
      <c r="H2328">
        <v>559754863</v>
      </c>
      <c r="I2328">
        <v>556571000</v>
      </c>
      <c r="J2328">
        <v>295679061</v>
      </c>
      <c r="K2328">
        <v>905645114</v>
      </c>
      <c r="L2328">
        <v>409273321</v>
      </c>
      <c r="M2328">
        <v>587261282</v>
      </c>
      <c r="N2328">
        <v>347937665</v>
      </c>
      <c r="O2328">
        <v>184521003</v>
      </c>
      <c r="P2328">
        <v>404</v>
      </c>
      <c r="Q2328" t="s">
        <v>4984</v>
      </c>
    </row>
    <row r="2329" spans="1:17" x14ac:dyDescent="0.3">
      <c r="A2329" t="s">
        <v>17</v>
      </c>
      <c r="B2329" t="str">
        <f>"605228"</f>
        <v>605228</v>
      </c>
      <c r="C2329" t="s">
        <v>4985</v>
      </c>
      <c r="D2329" t="s">
        <v>194</v>
      </c>
      <c r="E2329">
        <v>430322174</v>
      </c>
      <c r="F2329">
        <v>444382262</v>
      </c>
      <c r="G2329">
        <v>349535799</v>
      </c>
      <c r="P2329">
        <v>30</v>
      </c>
      <c r="Q2329" t="s">
        <v>4986</v>
      </c>
    </row>
    <row r="2330" spans="1:17" x14ac:dyDescent="0.3">
      <c r="A2330" t="s">
        <v>75</v>
      </c>
      <c r="B2330" t="str">
        <f>"001215"</f>
        <v>001215</v>
      </c>
      <c r="C2330" t="s">
        <v>4987</v>
      </c>
      <c r="D2330" t="s">
        <v>1312</v>
      </c>
      <c r="E2330">
        <v>430043684</v>
      </c>
      <c r="F2330">
        <v>354111259</v>
      </c>
      <c r="P2330">
        <v>59</v>
      </c>
      <c r="Q2330" t="s">
        <v>4988</v>
      </c>
    </row>
    <row r="2331" spans="1:17" x14ac:dyDescent="0.3">
      <c r="A2331" t="s">
        <v>17</v>
      </c>
      <c r="B2331" t="str">
        <f>"600416"</f>
        <v>600416</v>
      </c>
      <c r="C2331" t="s">
        <v>4989</v>
      </c>
      <c r="D2331" t="s">
        <v>660</v>
      </c>
      <c r="E2331">
        <v>429862672</v>
      </c>
      <c r="F2331">
        <v>973874784</v>
      </c>
      <c r="G2331">
        <v>1307364403</v>
      </c>
      <c r="H2331">
        <v>1693348887</v>
      </c>
      <c r="I2331">
        <v>1340101059</v>
      </c>
      <c r="J2331">
        <v>1273900770</v>
      </c>
      <c r="K2331">
        <v>2399038231</v>
      </c>
      <c r="L2331">
        <v>1396270879</v>
      </c>
      <c r="M2331">
        <v>974471073</v>
      </c>
      <c r="N2331">
        <v>793604344</v>
      </c>
      <c r="O2331">
        <v>1278524589</v>
      </c>
      <c r="P2331">
        <v>149</v>
      </c>
      <c r="Q2331" t="s">
        <v>4990</v>
      </c>
    </row>
    <row r="2332" spans="1:17" x14ac:dyDescent="0.3">
      <c r="A2332" t="s">
        <v>17</v>
      </c>
      <c r="B2332" t="str">
        <f>"600802"</f>
        <v>600802</v>
      </c>
      <c r="C2332" t="s">
        <v>4991</v>
      </c>
      <c r="D2332" t="s">
        <v>191</v>
      </c>
      <c r="E2332">
        <v>429757618</v>
      </c>
      <c r="F2332">
        <v>507307811</v>
      </c>
      <c r="G2332">
        <v>452140632</v>
      </c>
      <c r="H2332">
        <v>552647245</v>
      </c>
      <c r="I2332">
        <v>463500383</v>
      </c>
      <c r="J2332">
        <v>382585186</v>
      </c>
      <c r="K2332">
        <v>261360578</v>
      </c>
      <c r="L2332">
        <v>441403949</v>
      </c>
      <c r="M2332">
        <v>478952675</v>
      </c>
      <c r="N2332">
        <v>320234340</v>
      </c>
      <c r="O2332">
        <v>355783830</v>
      </c>
      <c r="P2332">
        <v>248</v>
      </c>
      <c r="Q2332" t="s">
        <v>4992</v>
      </c>
    </row>
    <row r="2333" spans="1:17" x14ac:dyDescent="0.3">
      <c r="A2333" t="s">
        <v>75</v>
      </c>
      <c r="B2333" t="str">
        <f>"002859"</f>
        <v>002859</v>
      </c>
      <c r="C2333" t="s">
        <v>4993</v>
      </c>
      <c r="D2333" t="s">
        <v>221</v>
      </c>
      <c r="E2333">
        <v>429549361</v>
      </c>
      <c r="F2333">
        <v>319955170</v>
      </c>
      <c r="G2333">
        <v>271363332</v>
      </c>
      <c r="H2333">
        <v>362107918</v>
      </c>
      <c r="I2333">
        <v>217478173</v>
      </c>
      <c r="J2333">
        <v>201137979</v>
      </c>
      <c r="K2333">
        <v>140616834</v>
      </c>
      <c r="P2333">
        <v>2969</v>
      </c>
      <c r="Q2333" t="s">
        <v>4994</v>
      </c>
    </row>
    <row r="2334" spans="1:17" x14ac:dyDescent="0.3">
      <c r="A2334" t="s">
        <v>75</v>
      </c>
      <c r="B2334" t="str">
        <f>"002389"</f>
        <v>002389</v>
      </c>
      <c r="C2334" t="s">
        <v>4995</v>
      </c>
      <c r="D2334" t="s">
        <v>1551</v>
      </c>
      <c r="E2334">
        <v>429469555</v>
      </c>
      <c r="F2334">
        <v>656080382</v>
      </c>
      <c r="G2334">
        <v>398944983</v>
      </c>
      <c r="H2334">
        <v>351540600</v>
      </c>
      <c r="I2334">
        <v>471967034</v>
      </c>
      <c r="J2334">
        <v>310640567</v>
      </c>
      <c r="K2334">
        <v>260544234</v>
      </c>
      <c r="L2334">
        <v>243148008</v>
      </c>
      <c r="M2334">
        <v>162042267</v>
      </c>
      <c r="N2334">
        <v>166658763</v>
      </c>
      <c r="O2334">
        <v>119530063</v>
      </c>
      <c r="P2334">
        <v>435</v>
      </c>
      <c r="Q2334" t="s">
        <v>4996</v>
      </c>
    </row>
    <row r="2335" spans="1:17" x14ac:dyDescent="0.3">
      <c r="A2335" t="s">
        <v>75</v>
      </c>
      <c r="B2335" t="str">
        <f>"300261"</f>
        <v>300261</v>
      </c>
      <c r="C2335" t="s">
        <v>4997</v>
      </c>
      <c r="D2335" t="s">
        <v>811</v>
      </c>
      <c r="E2335">
        <v>428911171</v>
      </c>
      <c r="F2335">
        <v>453402234</v>
      </c>
      <c r="G2335">
        <v>650522506</v>
      </c>
      <c r="H2335">
        <v>597006147</v>
      </c>
      <c r="I2335">
        <v>406595178</v>
      </c>
      <c r="J2335">
        <v>355975218</v>
      </c>
      <c r="K2335">
        <v>164096897</v>
      </c>
      <c r="L2335">
        <v>84572220</v>
      </c>
      <c r="M2335">
        <v>142598195</v>
      </c>
      <c r="N2335">
        <v>38050480</v>
      </c>
      <c r="O2335">
        <v>91036335</v>
      </c>
      <c r="P2335">
        <v>139</v>
      </c>
      <c r="Q2335" t="s">
        <v>4998</v>
      </c>
    </row>
    <row r="2336" spans="1:17" x14ac:dyDescent="0.3">
      <c r="A2336" t="s">
        <v>75</v>
      </c>
      <c r="B2336" t="str">
        <f>"301099"</f>
        <v>301099</v>
      </c>
      <c r="C2336" t="s">
        <v>4999</v>
      </c>
      <c r="D2336" t="s">
        <v>2109</v>
      </c>
      <c r="E2336">
        <v>428895835</v>
      </c>
      <c r="F2336">
        <v>227896437</v>
      </c>
      <c r="P2336">
        <v>16</v>
      </c>
      <c r="Q2336" t="s">
        <v>5000</v>
      </c>
    </row>
    <row r="2337" spans="1:17" x14ac:dyDescent="0.3">
      <c r="A2337" t="s">
        <v>17</v>
      </c>
      <c r="B2337" t="str">
        <f>"605008"</f>
        <v>605008</v>
      </c>
      <c r="C2337" t="s">
        <v>5001</v>
      </c>
      <c r="D2337" t="s">
        <v>3251</v>
      </c>
      <c r="E2337">
        <v>428732679</v>
      </c>
      <c r="F2337">
        <v>266325637</v>
      </c>
      <c r="G2337">
        <v>178695977</v>
      </c>
      <c r="P2337">
        <v>66</v>
      </c>
      <c r="Q2337" t="s">
        <v>5002</v>
      </c>
    </row>
    <row r="2338" spans="1:17" x14ac:dyDescent="0.3">
      <c r="A2338" t="s">
        <v>17</v>
      </c>
      <c r="B2338" t="str">
        <f>"600356"</f>
        <v>600356</v>
      </c>
      <c r="C2338" t="s">
        <v>5003</v>
      </c>
      <c r="D2338" t="s">
        <v>2183</v>
      </c>
      <c r="E2338">
        <v>428515667</v>
      </c>
      <c r="F2338">
        <v>417573087</v>
      </c>
      <c r="G2338">
        <v>276958301</v>
      </c>
      <c r="H2338">
        <v>329261688</v>
      </c>
      <c r="I2338">
        <v>290591522</v>
      </c>
      <c r="J2338">
        <v>322855839</v>
      </c>
      <c r="K2338">
        <v>276300033</v>
      </c>
      <c r="L2338">
        <v>290584271</v>
      </c>
      <c r="M2338">
        <v>285402845</v>
      </c>
      <c r="N2338">
        <v>307265936</v>
      </c>
      <c r="O2338">
        <v>320003183</v>
      </c>
      <c r="P2338">
        <v>116</v>
      </c>
      <c r="Q2338" t="s">
        <v>5004</v>
      </c>
    </row>
    <row r="2339" spans="1:17" x14ac:dyDescent="0.3">
      <c r="A2339" t="s">
        <v>75</v>
      </c>
      <c r="B2339" t="str">
        <f>"002194"</f>
        <v>002194</v>
      </c>
      <c r="C2339" t="s">
        <v>5005</v>
      </c>
      <c r="D2339" t="s">
        <v>169</v>
      </c>
      <c r="E2339">
        <v>428099055</v>
      </c>
      <c r="F2339">
        <v>514874474</v>
      </c>
      <c r="G2339">
        <v>425151653</v>
      </c>
      <c r="H2339">
        <v>433557512</v>
      </c>
      <c r="I2339">
        <v>279473859</v>
      </c>
      <c r="J2339">
        <v>202795807</v>
      </c>
      <c r="K2339">
        <v>450760666</v>
      </c>
      <c r="L2339">
        <v>456995301</v>
      </c>
      <c r="M2339">
        <v>254876450</v>
      </c>
      <c r="N2339">
        <v>287869136</v>
      </c>
      <c r="O2339">
        <v>96957951</v>
      </c>
      <c r="P2339">
        <v>906</v>
      </c>
      <c r="Q2339" t="s">
        <v>5006</v>
      </c>
    </row>
    <row r="2340" spans="1:17" x14ac:dyDescent="0.3">
      <c r="A2340" t="s">
        <v>17</v>
      </c>
      <c r="B2340" t="str">
        <f>"688608"</f>
        <v>688608</v>
      </c>
      <c r="C2340" t="s">
        <v>5007</v>
      </c>
      <c r="D2340" t="s">
        <v>883</v>
      </c>
      <c r="E2340">
        <v>427884896</v>
      </c>
      <c r="F2340">
        <v>360737087</v>
      </c>
      <c r="G2340">
        <v>0</v>
      </c>
      <c r="H2340">
        <v>0</v>
      </c>
      <c r="P2340">
        <v>123</v>
      </c>
      <c r="Q2340" t="s">
        <v>5008</v>
      </c>
    </row>
    <row r="2341" spans="1:17" x14ac:dyDescent="0.3">
      <c r="A2341" t="s">
        <v>75</v>
      </c>
      <c r="B2341" t="str">
        <f>"300307"</f>
        <v>300307</v>
      </c>
      <c r="C2341" t="s">
        <v>5009</v>
      </c>
      <c r="D2341" t="s">
        <v>2265</v>
      </c>
      <c r="E2341">
        <v>426709204</v>
      </c>
      <c r="F2341">
        <v>417284630</v>
      </c>
      <c r="G2341">
        <v>243395747</v>
      </c>
      <c r="H2341">
        <v>460581388</v>
      </c>
      <c r="I2341">
        <v>442015334</v>
      </c>
      <c r="J2341">
        <v>380556238</v>
      </c>
      <c r="K2341">
        <v>185409300</v>
      </c>
      <c r="L2341">
        <v>167222633</v>
      </c>
      <c r="M2341">
        <v>195474719</v>
      </c>
      <c r="N2341">
        <v>513763706</v>
      </c>
      <c r="O2341">
        <v>749150695</v>
      </c>
      <c r="P2341">
        <v>2981</v>
      </c>
      <c r="Q2341" t="s">
        <v>5010</v>
      </c>
    </row>
    <row r="2342" spans="1:17" x14ac:dyDescent="0.3">
      <c r="A2342" t="s">
        <v>17</v>
      </c>
      <c r="B2342" t="str">
        <f>"603982"</f>
        <v>603982</v>
      </c>
      <c r="C2342" t="s">
        <v>5011</v>
      </c>
      <c r="D2342" t="s">
        <v>172</v>
      </c>
      <c r="E2342">
        <v>426219477</v>
      </c>
      <c r="F2342">
        <v>411835535</v>
      </c>
      <c r="G2342">
        <v>346798602</v>
      </c>
      <c r="H2342">
        <v>314118310</v>
      </c>
      <c r="I2342">
        <v>294937500</v>
      </c>
      <c r="P2342">
        <v>122</v>
      </c>
      <c r="Q2342" t="s">
        <v>5012</v>
      </c>
    </row>
    <row r="2343" spans="1:17" x14ac:dyDescent="0.3">
      <c r="A2343" t="s">
        <v>17</v>
      </c>
      <c r="B2343" t="str">
        <f>"605111"</f>
        <v>605111</v>
      </c>
      <c r="C2343" t="s">
        <v>5013</v>
      </c>
      <c r="D2343" t="s">
        <v>2728</v>
      </c>
      <c r="E2343">
        <v>425950421</v>
      </c>
      <c r="F2343">
        <v>285480641</v>
      </c>
      <c r="G2343">
        <v>197762281</v>
      </c>
      <c r="P2343">
        <v>332</v>
      </c>
      <c r="Q2343" t="s">
        <v>5014</v>
      </c>
    </row>
    <row r="2344" spans="1:17" x14ac:dyDescent="0.3">
      <c r="A2344" t="s">
        <v>17</v>
      </c>
      <c r="B2344" t="str">
        <f>"603977"</f>
        <v>603977</v>
      </c>
      <c r="C2344" t="s">
        <v>5015</v>
      </c>
      <c r="D2344" t="s">
        <v>1830</v>
      </c>
      <c r="E2344">
        <v>425740001</v>
      </c>
      <c r="F2344">
        <v>337819461</v>
      </c>
      <c r="G2344">
        <v>230091001</v>
      </c>
      <c r="H2344">
        <v>166373737</v>
      </c>
      <c r="I2344">
        <v>100002586</v>
      </c>
      <c r="J2344">
        <v>76634992</v>
      </c>
      <c r="K2344">
        <v>42787717</v>
      </c>
      <c r="P2344">
        <v>87</v>
      </c>
      <c r="Q2344" t="s">
        <v>5016</v>
      </c>
    </row>
    <row r="2345" spans="1:17" x14ac:dyDescent="0.3">
      <c r="A2345" t="s">
        <v>75</v>
      </c>
      <c r="B2345" t="str">
        <f>"002381"</f>
        <v>002381</v>
      </c>
      <c r="C2345" t="s">
        <v>5017</v>
      </c>
      <c r="D2345" t="s">
        <v>3349</v>
      </c>
      <c r="E2345">
        <v>423932133</v>
      </c>
      <c r="F2345">
        <v>337152207</v>
      </c>
      <c r="G2345">
        <v>341781099</v>
      </c>
      <c r="H2345">
        <v>287344033</v>
      </c>
      <c r="I2345">
        <v>266201295</v>
      </c>
      <c r="J2345">
        <v>410520274</v>
      </c>
      <c r="K2345">
        <v>288919803</v>
      </c>
      <c r="L2345">
        <v>240263755</v>
      </c>
      <c r="M2345">
        <v>353501571</v>
      </c>
      <c r="N2345">
        <v>324508848</v>
      </c>
      <c r="O2345">
        <v>333244227</v>
      </c>
      <c r="P2345">
        <v>276</v>
      </c>
      <c r="Q2345" t="s">
        <v>5018</v>
      </c>
    </row>
    <row r="2346" spans="1:17" x14ac:dyDescent="0.3">
      <c r="A2346" t="s">
        <v>17</v>
      </c>
      <c r="B2346" t="str">
        <f>"603595"</f>
        <v>603595</v>
      </c>
      <c r="C2346" t="s">
        <v>5019</v>
      </c>
      <c r="D2346" t="s">
        <v>55</v>
      </c>
      <c r="E2346">
        <v>423840415</v>
      </c>
      <c r="F2346">
        <v>389420090</v>
      </c>
      <c r="G2346">
        <v>272953280</v>
      </c>
      <c r="H2346">
        <v>125480068</v>
      </c>
      <c r="I2346">
        <v>163973243</v>
      </c>
      <c r="J2346">
        <v>104728931</v>
      </c>
      <c r="K2346">
        <v>86819644</v>
      </c>
      <c r="P2346">
        <v>184</v>
      </c>
      <c r="Q2346" t="s">
        <v>5020</v>
      </c>
    </row>
    <row r="2347" spans="1:17" x14ac:dyDescent="0.3">
      <c r="A2347" t="s">
        <v>75</v>
      </c>
      <c r="B2347" t="str">
        <f>"002167"</f>
        <v>002167</v>
      </c>
      <c r="C2347" t="s">
        <v>5021</v>
      </c>
      <c r="D2347" t="s">
        <v>364</v>
      </c>
      <c r="E2347">
        <v>422583876</v>
      </c>
      <c r="F2347">
        <v>279699865</v>
      </c>
      <c r="G2347">
        <v>185344013</v>
      </c>
      <c r="H2347">
        <v>87910990</v>
      </c>
      <c r="I2347">
        <v>291824092</v>
      </c>
      <c r="J2347">
        <v>215544361</v>
      </c>
      <c r="K2347">
        <v>201588744</v>
      </c>
      <c r="L2347">
        <v>210598270</v>
      </c>
      <c r="M2347">
        <v>86901798</v>
      </c>
      <c r="N2347">
        <v>120776405</v>
      </c>
      <c r="O2347">
        <v>125117614</v>
      </c>
      <c r="P2347">
        <v>111</v>
      </c>
      <c r="Q2347" t="s">
        <v>5022</v>
      </c>
    </row>
    <row r="2348" spans="1:17" x14ac:dyDescent="0.3">
      <c r="A2348" t="s">
        <v>75</v>
      </c>
      <c r="B2348" t="str">
        <f>"300505"</f>
        <v>300505</v>
      </c>
      <c r="C2348" t="s">
        <v>5023</v>
      </c>
      <c r="D2348" t="s">
        <v>354</v>
      </c>
      <c r="E2348">
        <v>422145641</v>
      </c>
      <c r="F2348">
        <v>217172730</v>
      </c>
      <c r="G2348">
        <v>203781474</v>
      </c>
      <c r="H2348">
        <v>246481202</v>
      </c>
      <c r="I2348">
        <v>153869006</v>
      </c>
      <c r="J2348">
        <v>127461826</v>
      </c>
      <c r="K2348">
        <v>109436107</v>
      </c>
      <c r="L2348">
        <v>91282042</v>
      </c>
      <c r="P2348">
        <v>97</v>
      </c>
      <c r="Q2348" t="s">
        <v>5024</v>
      </c>
    </row>
    <row r="2349" spans="1:17" x14ac:dyDescent="0.3">
      <c r="A2349" t="s">
        <v>75</v>
      </c>
      <c r="B2349" t="str">
        <f>"003011"</f>
        <v>003011</v>
      </c>
      <c r="C2349" t="s">
        <v>5025</v>
      </c>
      <c r="D2349" t="s">
        <v>2153</v>
      </c>
      <c r="E2349">
        <v>421940285</v>
      </c>
      <c r="F2349">
        <v>283425295</v>
      </c>
      <c r="G2349">
        <v>253714660</v>
      </c>
      <c r="P2349">
        <v>89</v>
      </c>
      <c r="Q2349" t="s">
        <v>5026</v>
      </c>
    </row>
    <row r="2350" spans="1:17" x14ac:dyDescent="0.3">
      <c r="A2350" t="s">
        <v>75</v>
      </c>
      <c r="B2350" t="str">
        <f>"300206"</f>
        <v>300206</v>
      </c>
      <c r="C2350" t="s">
        <v>5027</v>
      </c>
      <c r="D2350" t="s">
        <v>334</v>
      </c>
      <c r="E2350">
        <v>421819000</v>
      </c>
      <c r="F2350">
        <v>506456486</v>
      </c>
      <c r="G2350">
        <v>409680003</v>
      </c>
      <c r="H2350">
        <v>300515767</v>
      </c>
      <c r="I2350">
        <v>256054082</v>
      </c>
      <c r="J2350">
        <v>244458178</v>
      </c>
      <c r="K2350">
        <v>165911090</v>
      </c>
      <c r="L2350">
        <v>130459827</v>
      </c>
      <c r="M2350">
        <v>127856951</v>
      </c>
      <c r="N2350">
        <v>104890026</v>
      </c>
      <c r="O2350">
        <v>105955775</v>
      </c>
      <c r="P2350">
        <v>426</v>
      </c>
      <c r="Q2350" t="s">
        <v>5028</v>
      </c>
    </row>
    <row r="2351" spans="1:17" x14ac:dyDescent="0.3">
      <c r="A2351" t="s">
        <v>17</v>
      </c>
      <c r="B2351" t="str">
        <f>"603773"</f>
        <v>603773</v>
      </c>
      <c r="C2351" t="s">
        <v>5029</v>
      </c>
      <c r="D2351" t="s">
        <v>128</v>
      </c>
      <c r="E2351">
        <v>421788256</v>
      </c>
      <c r="F2351">
        <v>203346856</v>
      </c>
      <c r="G2351">
        <v>164273556</v>
      </c>
      <c r="H2351">
        <v>169262002</v>
      </c>
      <c r="I2351">
        <v>230256321</v>
      </c>
      <c r="J2351">
        <v>134272236</v>
      </c>
      <c r="P2351">
        <v>141</v>
      </c>
      <c r="Q2351" t="s">
        <v>5030</v>
      </c>
    </row>
    <row r="2352" spans="1:17" x14ac:dyDescent="0.3">
      <c r="A2352" t="s">
        <v>75</v>
      </c>
      <c r="B2352" t="str">
        <f>"300641"</f>
        <v>300641</v>
      </c>
      <c r="C2352" t="s">
        <v>5031</v>
      </c>
      <c r="D2352" t="s">
        <v>292</v>
      </c>
      <c r="E2352">
        <v>421523707</v>
      </c>
      <c r="F2352">
        <v>470180858</v>
      </c>
      <c r="G2352">
        <v>282363907</v>
      </c>
      <c r="H2352">
        <v>190498246</v>
      </c>
      <c r="I2352">
        <v>299977949</v>
      </c>
      <c r="J2352">
        <v>335900440</v>
      </c>
      <c r="K2352">
        <v>255616137</v>
      </c>
      <c r="P2352">
        <v>79</v>
      </c>
      <c r="Q2352" t="s">
        <v>5032</v>
      </c>
    </row>
    <row r="2353" spans="1:17" x14ac:dyDescent="0.3">
      <c r="A2353" t="s">
        <v>17</v>
      </c>
      <c r="B2353" t="str">
        <f>"603660"</f>
        <v>603660</v>
      </c>
      <c r="C2353" t="s">
        <v>5033</v>
      </c>
      <c r="D2353" t="s">
        <v>508</v>
      </c>
      <c r="E2353">
        <v>421225444</v>
      </c>
      <c r="F2353">
        <v>619983167</v>
      </c>
      <c r="G2353">
        <v>498993572</v>
      </c>
      <c r="H2353">
        <v>643605801</v>
      </c>
      <c r="I2353">
        <v>457164889</v>
      </c>
      <c r="J2353">
        <v>494954536</v>
      </c>
      <c r="K2353">
        <v>302807025</v>
      </c>
      <c r="P2353">
        <v>291</v>
      </c>
      <c r="Q2353" t="s">
        <v>5034</v>
      </c>
    </row>
    <row r="2354" spans="1:17" x14ac:dyDescent="0.3">
      <c r="A2354" t="s">
        <v>75</v>
      </c>
      <c r="B2354" t="str">
        <f>"002259"</f>
        <v>002259</v>
      </c>
      <c r="C2354" t="s">
        <v>5035</v>
      </c>
      <c r="D2354" t="s">
        <v>147</v>
      </c>
      <c r="E2354">
        <v>420808061</v>
      </c>
      <c r="F2354">
        <v>309045376</v>
      </c>
      <c r="G2354">
        <v>104316834</v>
      </c>
      <c r="H2354">
        <v>228599854</v>
      </c>
      <c r="I2354">
        <v>214922576</v>
      </c>
      <c r="J2354">
        <v>277139258</v>
      </c>
      <c r="K2354">
        <v>328403634</v>
      </c>
      <c r="L2354">
        <v>96155410</v>
      </c>
      <c r="M2354">
        <v>196827977</v>
      </c>
      <c r="N2354">
        <v>151725105</v>
      </c>
      <c r="O2354">
        <v>238759459</v>
      </c>
      <c r="P2354">
        <v>59</v>
      </c>
      <c r="Q2354" t="s">
        <v>5036</v>
      </c>
    </row>
    <row r="2355" spans="1:17" x14ac:dyDescent="0.3">
      <c r="A2355" t="s">
        <v>75</v>
      </c>
      <c r="B2355" t="str">
        <f>"000537"</f>
        <v>000537</v>
      </c>
      <c r="C2355" t="s">
        <v>5037</v>
      </c>
      <c r="D2355" t="s">
        <v>65</v>
      </c>
      <c r="E2355">
        <v>419711479</v>
      </c>
      <c r="F2355">
        <v>4524739363</v>
      </c>
      <c r="G2355">
        <v>1071689558</v>
      </c>
      <c r="H2355">
        <v>3988038552</v>
      </c>
      <c r="I2355">
        <v>5043360237</v>
      </c>
      <c r="J2355">
        <v>1435166280</v>
      </c>
      <c r="K2355">
        <v>798829738</v>
      </c>
      <c r="L2355">
        <v>208015273</v>
      </c>
      <c r="M2355">
        <v>324685813</v>
      </c>
      <c r="N2355">
        <v>383244583</v>
      </c>
      <c r="O2355">
        <v>454133531</v>
      </c>
      <c r="P2355">
        <v>604</v>
      </c>
      <c r="Q2355" t="s">
        <v>5038</v>
      </c>
    </row>
    <row r="2356" spans="1:17" x14ac:dyDescent="0.3">
      <c r="A2356" t="s">
        <v>17</v>
      </c>
      <c r="B2356" t="str">
        <f>"603060"</f>
        <v>603060</v>
      </c>
      <c r="C2356" t="s">
        <v>5039</v>
      </c>
      <c r="D2356" t="s">
        <v>3153</v>
      </c>
      <c r="E2356">
        <v>418573365</v>
      </c>
      <c r="F2356">
        <v>394555304</v>
      </c>
      <c r="G2356">
        <v>194877754</v>
      </c>
      <c r="H2356">
        <v>206628018</v>
      </c>
      <c r="I2356">
        <v>177583664</v>
      </c>
      <c r="J2356">
        <v>170192175</v>
      </c>
      <c r="K2356">
        <v>127848330</v>
      </c>
      <c r="P2356">
        <v>507</v>
      </c>
      <c r="Q2356" t="s">
        <v>5040</v>
      </c>
    </row>
    <row r="2357" spans="1:17" x14ac:dyDescent="0.3">
      <c r="A2357" t="s">
        <v>17</v>
      </c>
      <c r="B2357" t="str">
        <f>"603181"</f>
        <v>603181</v>
      </c>
      <c r="C2357" t="s">
        <v>5041</v>
      </c>
      <c r="D2357" t="s">
        <v>3251</v>
      </c>
      <c r="E2357">
        <v>417980868</v>
      </c>
      <c r="F2357">
        <v>397718981</v>
      </c>
      <c r="G2357">
        <v>271517517</v>
      </c>
      <c r="H2357">
        <v>347378109</v>
      </c>
      <c r="I2357">
        <v>307520832</v>
      </c>
      <c r="J2357">
        <v>469094699</v>
      </c>
      <c r="K2357">
        <v>0</v>
      </c>
      <c r="P2357">
        <v>160</v>
      </c>
      <c r="Q2357" t="s">
        <v>5042</v>
      </c>
    </row>
    <row r="2358" spans="1:17" x14ac:dyDescent="0.3">
      <c r="A2358" t="s">
        <v>75</v>
      </c>
      <c r="B2358" t="str">
        <f>"300598"</f>
        <v>300598</v>
      </c>
      <c r="C2358" t="s">
        <v>5043</v>
      </c>
      <c r="D2358" t="s">
        <v>116</v>
      </c>
      <c r="E2358">
        <v>417856805</v>
      </c>
      <c r="F2358">
        <v>227867878</v>
      </c>
      <c r="G2358">
        <v>143781925</v>
      </c>
      <c r="H2358">
        <v>135930400</v>
      </c>
      <c r="I2358">
        <v>90061248</v>
      </c>
      <c r="J2358">
        <v>90341794</v>
      </c>
      <c r="K2358">
        <v>133282765</v>
      </c>
      <c r="P2358">
        <v>319</v>
      </c>
      <c r="Q2358" t="s">
        <v>5044</v>
      </c>
    </row>
    <row r="2359" spans="1:17" x14ac:dyDescent="0.3">
      <c r="A2359" t="s">
        <v>75</v>
      </c>
      <c r="B2359" t="str">
        <f>"300043"</f>
        <v>300043</v>
      </c>
      <c r="C2359" t="s">
        <v>5045</v>
      </c>
      <c r="D2359" t="s">
        <v>1165</v>
      </c>
      <c r="E2359">
        <v>417326670</v>
      </c>
      <c r="F2359">
        <v>298827565</v>
      </c>
      <c r="G2359">
        <v>525035204</v>
      </c>
      <c r="H2359">
        <v>639992753</v>
      </c>
      <c r="I2359">
        <v>822019966</v>
      </c>
      <c r="J2359">
        <v>791850069</v>
      </c>
      <c r="K2359">
        <v>355460933</v>
      </c>
      <c r="L2359">
        <v>274663402</v>
      </c>
      <c r="M2359">
        <v>598628735</v>
      </c>
      <c r="N2359">
        <v>683522970</v>
      </c>
      <c r="O2359">
        <v>94012445</v>
      </c>
      <c r="P2359">
        <v>183</v>
      </c>
      <c r="Q2359" t="s">
        <v>5046</v>
      </c>
    </row>
    <row r="2360" spans="1:17" x14ac:dyDescent="0.3">
      <c r="A2360" t="s">
        <v>17</v>
      </c>
      <c r="B2360" t="str">
        <f>"600235"</f>
        <v>600235</v>
      </c>
      <c r="C2360" t="s">
        <v>5047</v>
      </c>
      <c r="D2360" t="s">
        <v>2183</v>
      </c>
      <c r="E2360">
        <v>417292643</v>
      </c>
      <c r="F2360">
        <v>401384598</v>
      </c>
      <c r="G2360">
        <v>325936836</v>
      </c>
      <c r="H2360">
        <v>363416662</v>
      </c>
      <c r="I2360">
        <v>357526290</v>
      </c>
      <c r="J2360">
        <v>282093648</v>
      </c>
      <c r="K2360">
        <v>315358338</v>
      </c>
      <c r="L2360">
        <v>385270428</v>
      </c>
      <c r="M2360">
        <v>412316545</v>
      </c>
      <c r="N2360">
        <v>361515733</v>
      </c>
      <c r="O2360">
        <v>387233336</v>
      </c>
      <c r="P2360">
        <v>71</v>
      </c>
      <c r="Q2360" t="s">
        <v>5048</v>
      </c>
    </row>
    <row r="2361" spans="1:17" x14ac:dyDescent="0.3">
      <c r="A2361" t="s">
        <v>75</v>
      </c>
      <c r="B2361" t="str">
        <f>"300258"</f>
        <v>300258</v>
      </c>
      <c r="C2361" t="s">
        <v>5049</v>
      </c>
      <c r="D2361" t="s">
        <v>172</v>
      </c>
      <c r="E2361">
        <v>416401702</v>
      </c>
      <c r="F2361">
        <v>305326528</v>
      </c>
      <c r="G2361">
        <v>306962913</v>
      </c>
      <c r="H2361">
        <v>350303256</v>
      </c>
      <c r="I2361">
        <v>300012888</v>
      </c>
      <c r="J2361">
        <v>258192814</v>
      </c>
      <c r="K2361">
        <v>230701091</v>
      </c>
      <c r="L2361">
        <v>156767836</v>
      </c>
      <c r="M2361">
        <v>150519533</v>
      </c>
      <c r="N2361">
        <v>125683835</v>
      </c>
      <c r="O2361">
        <v>105790617</v>
      </c>
      <c r="P2361">
        <v>330</v>
      </c>
      <c r="Q2361" t="s">
        <v>5050</v>
      </c>
    </row>
    <row r="2362" spans="1:17" x14ac:dyDescent="0.3">
      <c r="A2362" t="s">
        <v>75</v>
      </c>
      <c r="B2362" t="str">
        <f>"301037"</f>
        <v>301037</v>
      </c>
      <c r="C2362" t="s">
        <v>5051</v>
      </c>
      <c r="D2362" t="s">
        <v>4853</v>
      </c>
      <c r="E2362">
        <v>416224506</v>
      </c>
      <c r="F2362">
        <v>370872638</v>
      </c>
      <c r="G2362">
        <v>257228314</v>
      </c>
      <c r="P2362">
        <v>13</v>
      </c>
      <c r="Q2362" t="s">
        <v>5052</v>
      </c>
    </row>
    <row r="2363" spans="1:17" x14ac:dyDescent="0.3">
      <c r="A2363" t="s">
        <v>75</v>
      </c>
      <c r="B2363" t="str">
        <f>"002580"</f>
        <v>002580</v>
      </c>
      <c r="C2363" t="s">
        <v>5053</v>
      </c>
      <c r="D2363" t="s">
        <v>605</v>
      </c>
      <c r="E2363">
        <v>416020732</v>
      </c>
      <c r="F2363">
        <v>407118302</v>
      </c>
      <c r="G2363">
        <v>311609458</v>
      </c>
      <c r="H2363">
        <v>355780360</v>
      </c>
      <c r="I2363">
        <v>347542918</v>
      </c>
      <c r="J2363">
        <v>375038911</v>
      </c>
      <c r="K2363">
        <v>214656601</v>
      </c>
      <c r="L2363">
        <v>238292583</v>
      </c>
      <c r="M2363">
        <v>224553745</v>
      </c>
      <c r="N2363">
        <v>232330786</v>
      </c>
      <c r="O2363">
        <v>200979485</v>
      </c>
      <c r="P2363">
        <v>114</v>
      </c>
      <c r="Q2363" t="s">
        <v>5054</v>
      </c>
    </row>
    <row r="2364" spans="1:17" x14ac:dyDescent="0.3">
      <c r="A2364" t="s">
        <v>17</v>
      </c>
      <c r="B2364" t="str">
        <f>"600523"</f>
        <v>600523</v>
      </c>
      <c r="C2364" t="s">
        <v>5055</v>
      </c>
      <c r="D2364" t="s">
        <v>1321</v>
      </c>
      <c r="E2364">
        <v>415518628</v>
      </c>
      <c r="F2364">
        <v>456629687</v>
      </c>
      <c r="G2364">
        <v>416841476</v>
      </c>
      <c r="H2364">
        <v>541991637</v>
      </c>
      <c r="I2364">
        <v>804876758</v>
      </c>
      <c r="J2364">
        <v>873409765</v>
      </c>
      <c r="K2364">
        <v>797559332</v>
      </c>
      <c r="L2364">
        <v>715063999</v>
      </c>
      <c r="M2364">
        <v>675147530</v>
      </c>
      <c r="N2364">
        <v>566920798</v>
      </c>
      <c r="O2364">
        <v>730549237</v>
      </c>
      <c r="P2364">
        <v>96</v>
      </c>
      <c r="Q2364" t="s">
        <v>5056</v>
      </c>
    </row>
    <row r="2365" spans="1:17" x14ac:dyDescent="0.3">
      <c r="A2365" t="s">
        <v>75</v>
      </c>
      <c r="B2365" t="str">
        <f>"300174"</f>
        <v>300174</v>
      </c>
      <c r="C2365" t="s">
        <v>5057</v>
      </c>
      <c r="D2365" t="s">
        <v>292</v>
      </c>
      <c r="E2365">
        <v>415468746</v>
      </c>
      <c r="F2365">
        <v>276247446</v>
      </c>
      <c r="G2365">
        <v>233927071</v>
      </c>
      <c r="H2365">
        <v>373186270</v>
      </c>
      <c r="I2365">
        <v>453555826</v>
      </c>
      <c r="J2365">
        <v>146595237</v>
      </c>
      <c r="K2365">
        <v>129807584</v>
      </c>
      <c r="L2365">
        <v>94624143</v>
      </c>
      <c r="M2365">
        <v>70186554</v>
      </c>
      <c r="N2365">
        <v>79046488</v>
      </c>
      <c r="O2365">
        <v>67321354</v>
      </c>
      <c r="P2365">
        <v>90</v>
      </c>
      <c r="Q2365" t="s">
        <v>5058</v>
      </c>
    </row>
    <row r="2366" spans="1:17" x14ac:dyDescent="0.3">
      <c r="A2366" t="s">
        <v>75</v>
      </c>
      <c r="B2366" t="str">
        <f>"000631"</f>
        <v>000631</v>
      </c>
      <c r="C2366" t="s">
        <v>5059</v>
      </c>
      <c r="D2366" t="s">
        <v>65</v>
      </c>
      <c r="E2366">
        <v>415305356</v>
      </c>
      <c r="F2366">
        <v>402917946</v>
      </c>
      <c r="G2366">
        <v>73140706</v>
      </c>
      <c r="H2366">
        <v>183382802</v>
      </c>
      <c r="I2366">
        <v>625402581</v>
      </c>
      <c r="J2366">
        <v>703684491</v>
      </c>
      <c r="K2366">
        <v>1280550035</v>
      </c>
      <c r="L2366">
        <v>811746620</v>
      </c>
      <c r="M2366">
        <v>452739567</v>
      </c>
      <c r="N2366">
        <v>737654581</v>
      </c>
      <c r="O2366">
        <v>327473704</v>
      </c>
      <c r="P2366">
        <v>359</v>
      </c>
      <c r="Q2366" t="s">
        <v>5060</v>
      </c>
    </row>
    <row r="2367" spans="1:17" x14ac:dyDescent="0.3">
      <c r="A2367" t="s">
        <v>17</v>
      </c>
      <c r="B2367" t="str">
        <f>"603335"</f>
        <v>603335</v>
      </c>
      <c r="C2367" t="s">
        <v>5061</v>
      </c>
      <c r="D2367" t="s">
        <v>904</v>
      </c>
      <c r="E2367">
        <v>414458580</v>
      </c>
      <c r="F2367">
        <v>252912713</v>
      </c>
      <c r="G2367">
        <v>165829426</v>
      </c>
      <c r="H2367">
        <v>195337874</v>
      </c>
      <c r="I2367">
        <v>176762897</v>
      </c>
      <c r="J2367">
        <v>195678974</v>
      </c>
      <c r="P2367">
        <v>66</v>
      </c>
      <c r="Q2367" t="s">
        <v>5062</v>
      </c>
    </row>
    <row r="2368" spans="1:17" x14ac:dyDescent="0.3">
      <c r="A2368" t="s">
        <v>17</v>
      </c>
      <c r="B2368" t="str">
        <f>"603551"</f>
        <v>603551</v>
      </c>
      <c r="C2368" t="s">
        <v>5063</v>
      </c>
      <c r="D2368" t="s">
        <v>2292</v>
      </c>
      <c r="E2368">
        <v>414226942</v>
      </c>
      <c r="F2368">
        <v>375050721</v>
      </c>
      <c r="G2368">
        <v>145173062</v>
      </c>
      <c r="H2368">
        <v>390857827</v>
      </c>
      <c r="P2368">
        <v>116</v>
      </c>
      <c r="Q2368" t="s">
        <v>5064</v>
      </c>
    </row>
    <row r="2369" spans="1:17" x14ac:dyDescent="0.3">
      <c r="A2369" t="s">
        <v>75</v>
      </c>
      <c r="B2369" t="str">
        <f>"300956"</f>
        <v>300956</v>
      </c>
      <c r="C2369" t="s">
        <v>5065</v>
      </c>
      <c r="D2369" t="s">
        <v>55</v>
      </c>
      <c r="E2369">
        <v>413852810</v>
      </c>
      <c r="F2369">
        <v>401671346</v>
      </c>
      <c r="G2369">
        <v>361040855</v>
      </c>
      <c r="P2369">
        <v>45</v>
      </c>
      <c r="Q2369" t="s">
        <v>5066</v>
      </c>
    </row>
    <row r="2370" spans="1:17" x14ac:dyDescent="0.3">
      <c r="A2370" t="s">
        <v>75</v>
      </c>
      <c r="B2370" t="str">
        <f>"000557"</f>
        <v>000557</v>
      </c>
      <c r="C2370" t="s">
        <v>5067</v>
      </c>
      <c r="D2370" t="s">
        <v>486</v>
      </c>
      <c r="E2370">
        <v>413490382</v>
      </c>
      <c r="F2370">
        <v>227266221</v>
      </c>
      <c r="G2370">
        <v>166505093</v>
      </c>
      <c r="H2370">
        <v>140108592</v>
      </c>
      <c r="I2370">
        <v>117436234</v>
      </c>
      <c r="J2370">
        <v>149964498</v>
      </c>
      <c r="K2370">
        <v>105606442</v>
      </c>
      <c r="L2370">
        <v>2104913</v>
      </c>
      <c r="M2370">
        <v>1498453</v>
      </c>
      <c r="N2370">
        <v>468909</v>
      </c>
      <c r="O2370">
        <v>0</v>
      </c>
      <c r="P2370">
        <v>103</v>
      </c>
      <c r="Q2370" t="s">
        <v>5068</v>
      </c>
    </row>
    <row r="2371" spans="1:17" x14ac:dyDescent="0.3">
      <c r="A2371" t="s">
        <v>75</v>
      </c>
      <c r="B2371" t="str">
        <f>"300458"</f>
        <v>300458</v>
      </c>
      <c r="C2371" t="s">
        <v>5069</v>
      </c>
      <c r="D2371" t="s">
        <v>883</v>
      </c>
      <c r="E2371">
        <v>413207581</v>
      </c>
      <c r="F2371">
        <v>536753717</v>
      </c>
      <c r="G2371">
        <v>286285128</v>
      </c>
      <c r="H2371">
        <v>314919581</v>
      </c>
      <c r="I2371">
        <v>303384817</v>
      </c>
      <c r="J2371">
        <v>223355020</v>
      </c>
      <c r="K2371">
        <v>263174539</v>
      </c>
      <c r="L2371">
        <v>0</v>
      </c>
      <c r="M2371">
        <v>0</v>
      </c>
      <c r="P2371">
        <v>561</v>
      </c>
      <c r="Q2371" t="s">
        <v>5070</v>
      </c>
    </row>
    <row r="2372" spans="1:17" x14ac:dyDescent="0.3">
      <c r="A2372" t="s">
        <v>17</v>
      </c>
      <c r="B2372" t="str">
        <f>"603215"</f>
        <v>603215</v>
      </c>
      <c r="C2372" t="s">
        <v>5071</v>
      </c>
      <c r="E2372">
        <v>411519243</v>
      </c>
      <c r="P2372">
        <v>13</v>
      </c>
      <c r="Q2372" t="s">
        <v>5072</v>
      </c>
    </row>
    <row r="2373" spans="1:17" x14ac:dyDescent="0.3">
      <c r="A2373" t="s">
        <v>17</v>
      </c>
      <c r="B2373" t="str">
        <f>"603356"</f>
        <v>603356</v>
      </c>
      <c r="C2373" t="s">
        <v>5073</v>
      </c>
      <c r="D2373" t="s">
        <v>892</v>
      </c>
      <c r="E2373">
        <v>411504415</v>
      </c>
      <c r="F2373">
        <v>668294261</v>
      </c>
      <c r="G2373">
        <v>318739335</v>
      </c>
      <c r="H2373">
        <v>331195747</v>
      </c>
      <c r="I2373">
        <v>147221034</v>
      </c>
      <c r="J2373">
        <v>152932206</v>
      </c>
      <c r="P2373">
        <v>65</v>
      </c>
      <c r="Q2373" t="s">
        <v>5074</v>
      </c>
    </row>
    <row r="2374" spans="1:17" x14ac:dyDescent="0.3">
      <c r="A2374" t="s">
        <v>75</v>
      </c>
      <c r="B2374" t="str">
        <f>"300181"</f>
        <v>300181</v>
      </c>
      <c r="C2374" t="s">
        <v>5075</v>
      </c>
      <c r="D2374" t="s">
        <v>321</v>
      </c>
      <c r="E2374">
        <v>411488454</v>
      </c>
      <c r="F2374">
        <v>348611659</v>
      </c>
      <c r="G2374">
        <v>202170456</v>
      </c>
      <c r="H2374">
        <v>167145919</v>
      </c>
      <c r="I2374">
        <v>129931216</v>
      </c>
      <c r="J2374">
        <v>128667093</v>
      </c>
      <c r="K2374">
        <v>148501093</v>
      </c>
      <c r="L2374">
        <v>97838753</v>
      </c>
      <c r="M2374">
        <v>74932523</v>
      </c>
      <c r="N2374">
        <v>65214886</v>
      </c>
      <c r="O2374">
        <v>54730450</v>
      </c>
      <c r="P2374">
        <v>174</v>
      </c>
      <c r="Q2374" t="s">
        <v>5076</v>
      </c>
    </row>
    <row r="2375" spans="1:17" x14ac:dyDescent="0.3">
      <c r="A2375" t="s">
        <v>75</v>
      </c>
      <c r="B2375" t="str">
        <f>"002561"</f>
        <v>002561</v>
      </c>
      <c r="C2375" t="s">
        <v>5077</v>
      </c>
      <c r="D2375" t="s">
        <v>582</v>
      </c>
      <c r="E2375">
        <v>410902277</v>
      </c>
      <c r="F2375">
        <v>500469696</v>
      </c>
      <c r="G2375">
        <v>339972486</v>
      </c>
      <c r="H2375">
        <v>643547366</v>
      </c>
      <c r="I2375">
        <v>678721565</v>
      </c>
      <c r="J2375">
        <v>685119506</v>
      </c>
      <c r="K2375">
        <v>662369781</v>
      </c>
      <c r="L2375">
        <v>685505543</v>
      </c>
      <c r="M2375">
        <v>666604120</v>
      </c>
      <c r="N2375">
        <v>679691607</v>
      </c>
      <c r="O2375">
        <v>682905319</v>
      </c>
      <c r="P2375">
        <v>183</v>
      </c>
      <c r="Q2375" t="s">
        <v>5078</v>
      </c>
    </row>
    <row r="2376" spans="1:17" x14ac:dyDescent="0.3">
      <c r="A2376" t="s">
        <v>17</v>
      </c>
      <c r="B2376" t="str">
        <f>"600561"</f>
        <v>600561</v>
      </c>
      <c r="C2376" t="s">
        <v>5079</v>
      </c>
      <c r="D2376" t="s">
        <v>1195</v>
      </c>
      <c r="E2376">
        <v>410847056</v>
      </c>
      <c r="F2376">
        <v>418021664</v>
      </c>
      <c r="G2376">
        <v>363368016</v>
      </c>
      <c r="H2376">
        <v>597102199</v>
      </c>
      <c r="I2376">
        <v>663463899</v>
      </c>
      <c r="J2376">
        <v>723076643</v>
      </c>
      <c r="K2376">
        <v>673048847</v>
      </c>
      <c r="L2376">
        <v>662862444</v>
      </c>
      <c r="M2376">
        <v>709898588</v>
      </c>
      <c r="N2376">
        <v>629592826</v>
      </c>
      <c r="O2376">
        <v>586900854</v>
      </c>
      <c r="P2376">
        <v>59</v>
      </c>
      <c r="Q2376" t="s">
        <v>5080</v>
      </c>
    </row>
    <row r="2377" spans="1:17" x14ac:dyDescent="0.3">
      <c r="A2377" t="s">
        <v>17</v>
      </c>
      <c r="B2377" t="str">
        <f>"603039"</f>
        <v>603039</v>
      </c>
      <c r="C2377" t="s">
        <v>5081</v>
      </c>
      <c r="D2377" t="s">
        <v>989</v>
      </c>
      <c r="E2377">
        <v>410612635</v>
      </c>
      <c r="F2377">
        <v>342782437</v>
      </c>
      <c r="G2377">
        <v>186087294</v>
      </c>
      <c r="H2377">
        <v>216715403</v>
      </c>
      <c r="I2377">
        <v>164178191</v>
      </c>
      <c r="J2377">
        <v>109591499</v>
      </c>
      <c r="K2377">
        <v>77671914</v>
      </c>
      <c r="P2377">
        <v>609</v>
      </c>
      <c r="Q2377" t="s">
        <v>5082</v>
      </c>
    </row>
    <row r="2378" spans="1:17" x14ac:dyDescent="0.3">
      <c r="A2378" t="s">
        <v>17</v>
      </c>
      <c r="B2378" t="str">
        <f>"605577"</f>
        <v>605577</v>
      </c>
      <c r="C2378" t="s">
        <v>5083</v>
      </c>
      <c r="D2378" t="s">
        <v>1433</v>
      </c>
      <c r="E2378">
        <v>409911846</v>
      </c>
      <c r="F2378">
        <v>216483524</v>
      </c>
      <c r="G2378">
        <v>152191524</v>
      </c>
      <c r="P2378">
        <v>19</v>
      </c>
      <c r="Q2378" t="s">
        <v>5084</v>
      </c>
    </row>
    <row r="2379" spans="1:17" x14ac:dyDescent="0.3">
      <c r="A2379" t="s">
        <v>75</v>
      </c>
      <c r="B2379" t="str">
        <f>"003003"</f>
        <v>003003</v>
      </c>
      <c r="C2379" t="s">
        <v>5085</v>
      </c>
      <c r="D2379" t="s">
        <v>5086</v>
      </c>
      <c r="E2379">
        <v>409506143</v>
      </c>
      <c r="F2379">
        <v>260793788</v>
      </c>
      <c r="G2379">
        <v>209666045</v>
      </c>
      <c r="P2379">
        <v>39</v>
      </c>
      <c r="Q2379" t="s">
        <v>5087</v>
      </c>
    </row>
    <row r="2380" spans="1:17" x14ac:dyDescent="0.3">
      <c r="A2380" t="s">
        <v>17</v>
      </c>
      <c r="B2380" t="str">
        <f>"600375"</f>
        <v>600375</v>
      </c>
      <c r="C2380" t="s">
        <v>5088</v>
      </c>
      <c r="D2380" t="s">
        <v>262</v>
      </c>
      <c r="E2380">
        <v>409083207</v>
      </c>
      <c r="F2380">
        <v>863491078</v>
      </c>
      <c r="G2380">
        <v>681453336</v>
      </c>
      <c r="H2380">
        <v>998613438</v>
      </c>
      <c r="I2380">
        <v>862278804</v>
      </c>
      <c r="J2380">
        <v>661664008</v>
      </c>
      <c r="K2380">
        <v>527314958</v>
      </c>
      <c r="L2380">
        <v>414948867</v>
      </c>
      <c r="M2380">
        <v>1184959954</v>
      </c>
      <c r="N2380">
        <v>1002245063</v>
      </c>
      <c r="O2380">
        <v>404110661</v>
      </c>
      <c r="P2380">
        <v>87</v>
      </c>
      <c r="Q2380" t="s">
        <v>5089</v>
      </c>
    </row>
    <row r="2381" spans="1:17" x14ac:dyDescent="0.3">
      <c r="A2381" t="s">
        <v>17</v>
      </c>
      <c r="B2381" t="str">
        <f>"600250"</f>
        <v>600250</v>
      </c>
      <c r="C2381" t="s">
        <v>5090</v>
      </c>
      <c r="D2381" t="s">
        <v>142</v>
      </c>
      <c r="E2381">
        <v>408041880</v>
      </c>
      <c r="F2381">
        <v>429093827</v>
      </c>
      <c r="G2381">
        <v>231304549</v>
      </c>
      <c r="H2381">
        <v>202848320</v>
      </c>
      <c r="I2381">
        <v>365229393</v>
      </c>
      <c r="J2381">
        <v>120256901</v>
      </c>
      <c r="K2381">
        <v>275122591</v>
      </c>
      <c r="L2381">
        <v>346231597</v>
      </c>
      <c r="M2381">
        <v>986114701</v>
      </c>
      <c r="N2381">
        <v>1216168524</v>
      </c>
      <c r="O2381">
        <v>810123450</v>
      </c>
      <c r="P2381">
        <v>70</v>
      </c>
      <c r="Q2381" t="s">
        <v>5091</v>
      </c>
    </row>
    <row r="2382" spans="1:17" x14ac:dyDescent="0.3">
      <c r="A2382" t="s">
        <v>75</v>
      </c>
      <c r="B2382" t="str">
        <f>"002480"</f>
        <v>002480</v>
      </c>
      <c r="C2382" t="s">
        <v>5092</v>
      </c>
      <c r="D2382" t="s">
        <v>153</v>
      </c>
      <c r="E2382">
        <v>407380466</v>
      </c>
      <c r="F2382">
        <v>150635996</v>
      </c>
      <c r="G2382">
        <v>455093011</v>
      </c>
      <c r="H2382">
        <v>250495392</v>
      </c>
      <c r="I2382">
        <v>204645707</v>
      </c>
      <c r="J2382">
        <v>254100345</v>
      </c>
      <c r="K2382">
        <v>376716297</v>
      </c>
      <c r="L2382">
        <v>176460317</v>
      </c>
      <c r="M2382">
        <v>211850967</v>
      </c>
      <c r="N2382">
        <v>202873553</v>
      </c>
      <c r="O2382">
        <v>315729402</v>
      </c>
      <c r="P2382">
        <v>107</v>
      </c>
      <c r="Q2382" t="s">
        <v>5093</v>
      </c>
    </row>
    <row r="2383" spans="1:17" x14ac:dyDescent="0.3">
      <c r="A2383" t="s">
        <v>75</v>
      </c>
      <c r="B2383" t="str">
        <f>"002270"</f>
        <v>002270</v>
      </c>
      <c r="C2383" t="s">
        <v>5094</v>
      </c>
      <c r="D2383" t="s">
        <v>347</v>
      </c>
      <c r="E2383">
        <v>406880476</v>
      </c>
      <c r="F2383">
        <v>338832573</v>
      </c>
      <c r="G2383">
        <v>331601290</v>
      </c>
      <c r="H2383">
        <v>291201168</v>
      </c>
      <c r="I2383">
        <v>317245082</v>
      </c>
      <c r="J2383">
        <v>123686854</v>
      </c>
      <c r="K2383">
        <v>177281936</v>
      </c>
      <c r="L2383">
        <v>69120210</v>
      </c>
      <c r="M2383">
        <v>76676508</v>
      </c>
      <c r="N2383">
        <v>84897032</v>
      </c>
      <c r="O2383">
        <v>76967346</v>
      </c>
      <c r="P2383">
        <v>160</v>
      </c>
      <c r="Q2383" t="s">
        <v>5095</v>
      </c>
    </row>
    <row r="2384" spans="1:17" x14ac:dyDescent="0.3">
      <c r="A2384" t="s">
        <v>75</v>
      </c>
      <c r="B2384" t="str">
        <f>"300477"</f>
        <v>300477</v>
      </c>
      <c r="C2384" t="s">
        <v>5096</v>
      </c>
      <c r="D2384" t="s">
        <v>347</v>
      </c>
      <c r="E2384">
        <v>406856161</v>
      </c>
      <c r="F2384">
        <v>298547197</v>
      </c>
      <c r="G2384">
        <v>213910102</v>
      </c>
      <c r="H2384">
        <v>275886555</v>
      </c>
      <c r="I2384">
        <v>363517171</v>
      </c>
      <c r="J2384">
        <v>239373937</v>
      </c>
      <c r="K2384">
        <v>197102561</v>
      </c>
      <c r="L2384">
        <v>155084086</v>
      </c>
      <c r="M2384">
        <v>131871511</v>
      </c>
      <c r="P2384">
        <v>100</v>
      </c>
      <c r="Q2384" t="s">
        <v>5097</v>
      </c>
    </row>
    <row r="2385" spans="1:17" x14ac:dyDescent="0.3">
      <c r="A2385" t="s">
        <v>75</v>
      </c>
      <c r="B2385" t="str">
        <f>"300604"</f>
        <v>300604</v>
      </c>
      <c r="C2385" t="s">
        <v>5098</v>
      </c>
      <c r="D2385" t="s">
        <v>1859</v>
      </c>
      <c r="E2385">
        <v>406702380</v>
      </c>
      <c r="F2385">
        <v>197912583</v>
      </c>
      <c r="G2385">
        <v>127828273</v>
      </c>
      <c r="H2385">
        <v>57367757</v>
      </c>
      <c r="I2385">
        <v>48721845</v>
      </c>
      <c r="J2385">
        <v>7757974</v>
      </c>
      <c r="K2385">
        <v>16013501</v>
      </c>
      <c r="P2385">
        <v>370</v>
      </c>
      <c r="Q2385" t="s">
        <v>5099</v>
      </c>
    </row>
    <row r="2386" spans="1:17" x14ac:dyDescent="0.3">
      <c r="A2386" t="s">
        <v>17</v>
      </c>
      <c r="B2386" t="str">
        <f>"600367"</f>
        <v>600367</v>
      </c>
      <c r="C2386" t="s">
        <v>5100</v>
      </c>
      <c r="D2386" t="s">
        <v>1275</v>
      </c>
      <c r="E2386">
        <v>405203618</v>
      </c>
      <c r="F2386">
        <v>255777390</v>
      </c>
      <c r="G2386">
        <v>233349656</v>
      </c>
      <c r="H2386">
        <v>288746438</v>
      </c>
      <c r="I2386">
        <v>190768093</v>
      </c>
      <c r="J2386">
        <v>214450738</v>
      </c>
      <c r="K2386">
        <v>185629824</v>
      </c>
      <c r="L2386">
        <v>196755581</v>
      </c>
      <c r="M2386">
        <v>191129877</v>
      </c>
      <c r="N2386">
        <v>186820903</v>
      </c>
      <c r="O2386">
        <v>222407485</v>
      </c>
      <c r="P2386">
        <v>115</v>
      </c>
      <c r="Q2386" t="s">
        <v>5101</v>
      </c>
    </row>
    <row r="2387" spans="1:17" x14ac:dyDescent="0.3">
      <c r="A2387" t="s">
        <v>17</v>
      </c>
      <c r="B2387" t="str">
        <f>"688529"</f>
        <v>688529</v>
      </c>
      <c r="C2387" t="s">
        <v>5102</v>
      </c>
      <c r="D2387" t="s">
        <v>1624</v>
      </c>
      <c r="E2387">
        <v>405088227</v>
      </c>
      <c r="F2387">
        <v>147797912</v>
      </c>
      <c r="P2387">
        <v>33</v>
      </c>
      <c r="Q2387" t="s">
        <v>5103</v>
      </c>
    </row>
    <row r="2388" spans="1:17" x14ac:dyDescent="0.3">
      <c r="A2388" t="s">
        <v>75</v>
      </c>
      <c r="B2388" t="str">
        <f>"300674"</f>
        <v>300674</v>
      </c>
      <c r="C2388" t="s">
        <v>5104</v>
      </c>
      <c r="D2388" t="s">
        <v>224</v>
      </c>
      <c r="E2388">
        <v>404934714</v>
      </c>
      <c r="F2388">
        <v>595611193</v>
      </c>
      <c r="G2388">
        <v>300242740</v>
      </c>
      <c r="H2388">
        <v>245361523</v>
      </c>
      <c r="I2388">
        <v>185115636</v>
      </c>
      <c r="P2388">
        <v>348</v>
      </c>
      <c r="Q2388" t="s">
        <v>5105</v>
      </c>
    </row>
    <row r="2389" spans="1:17" x14ac:dyDescent="0.3">
      <c r="A2389" t="s">
        <v>17</v>
      </c>
      <c r="B2389" t="str">
        <f>"688625"</f>
        <v>688625</v>
      </c>
      <c r="C2389" t="s">
        <v>5106</v>
      </c>
      <c r="D2389" t="s">
        <v>292</v>
      </c>
      <c r="E2389">
        <v>404922049</v>
      </c>
      <c r="F2389">
        <v>266362684</v>
      </c>
      <c r="G2389">
        <v>206869640</v>
      </c>
      <c r="P2389">
        <v>63</v>
      </c>
      <c r="Q2389" t="s">
        <v>5107</v>
      </c>
    </row>
    <row r="2390" spans="1:17" x14ac:dyDescent="0.3">
      <c r="A2390" t="s">
        <v>17</v>
      </c>
      <c r="B2390" t="str">
        <f>"605319"</f>
        <v>605319</v>
      </c>
      <c r="C2390" t="s">
        <v>5108</v>
      </c>
      <c r="D2390" t="s">
        <v>1321</v>
      </c>
      <c r="E2390">
        <v>404760008</v>
      </c>
      <c r="F2390">
        <v>441125769</v>
      </c>
      <c r="G2390">
        <v>289065075</v>
      </c>
      <c r="P2390">
        <v>22</v>
      </c>
      <c r="Q2390" t="s">
        <v>5109</v>
      </c>
    </row>
    <row r="2391" spans="1:17" x14ac:dyDescent="0.3">
      <c r="A2391" t="s">
        <v>75</v>
      </c>
      <c r="B2391" t="str">
        <f>"300280"</f>
        <v>300280</v>
      </c>
      <c r="C2391" t="s">
        <v>5110</v>
      </c>
      <c r="D2391" t="s">
        <v>1245</v>
      </c>
      <c r="E2391">
        <v>404435437</v>
      </c>
      <c r="F2391">
        <v>115779020</v>
      </c>
      <c r="G2391">
        <v>767374602</v>
      </c>
      <c r="H2391">
        <v>109039140</v>
      </c>
      <c r="I2391">
        <v>105242293</v>
      </c>
      <c r="J2391">
        <v>70065254</v>
      </c>
      <c r="K2391">
        <v>65478850</v>
      </c>
      <c r="L2391">
        <v>87393496</v>
      </c>
      <c r="M2391">
        <v>111531959</v>
      </c>
      <c r="N2391">
        <v>71566888</v>
      </c>
      <c r="O2391">
        <v>95270397</v>
      </c>
      <c r="P2391">
        <v>144</v>
      </c>
      <c r="Q2391" t="s">
        <v>5111</v>
      </c>
    </row>
    <row r="2392" spans="1:17" x14ac:dyDescent="0.3">
      <c r="A2392" t="s">
        <v>17</v>
      </c>
      <c r="B2392" t="str">
        <f>"605006"</f>
        <v>605006</v>
      </c>
      <c r="C2392" t="s">
        <v>5112</v>
      </c>
      <c r="D2392" t="s">
        <v>980</v>
      </c>
      <c r="E2392">
        <v>403647736</v>
      </c>
      <c r="F2392">
        <v>290083033</v>
      </c>
      <c r="G2392">
        <v>154977077</v>
      </c>
      <c r="P2392">
        <v>121</v>
      </c>
      <c r="Q2392" t="s">
        <v>5113</v>
      </c>
    </row>
    <row r="2393" spans="1:17" x14ac:dyDescent="0.3">
      <c r="A2393" t="s">
        <v>75</v>
      </c>
      <c r="B2393" t="str">
        <f>"300267"</f>
        <v>300267</v>
      </c>
      <c r="C2393" t="s">
        <v>5114</v>
      </c>
      <c r="D2393" t="s">
        <v>1242</v>
      </c>
      <c r="E2393">
        <v>403614154</v>
      </c>
      <c r="F2393">
        <v>386042360</v>
      </c>
      <c r="G2393">
        <v>491276391</v>
      </c>
      <c r="H2393">
        <v>737340548</v>
      </c>
      <c r="I2393">
        <v>551114631</v>
      </c>
      <c r="J2393">
        <v>932055654</v>
      </c>
      <c r="K2393">
        <v>482987329</v>
      </c>
      <c r="L2393">
        <v>281849949</v>
      </c>
      <c r="M2393">
        <v>282534799</v>
      </c>
      <c r="N2393">
        <v>161676969</v>
      </c>
      <c r="O2393">
        <v>221537154</v>
      </c>
      <c r="P2393">
        <v>237</v>
      </c>
      <c r="Q2393" t="s">
        <v>5115</v>
      </c>
    </row>
    <row r="2394" spans="1:17" x14ac:dyDescent="0.3">
      <c r="A2394" t="s">
        <v>75</v>
      </c>
      <c r="B2394" t="str">
        <f>"300968"</f>
        <v>300968</v>
      </c>
      <c r="C2394" t="s">
        <v>5116</v>
      </c>
      <c r="D2394" t="s">
        <v>55</v>
      </c>
      <c r="E2394">
        <v>403587906</v>
      </c>
      <c r="F2394">
        <v>569339377</v>
      </c>
      <c r="G2394">
        <v>436636072</v>
      </c>
      <c r="P2394">
        <v>31</v>
      </c>
      <c r="Q2394" t="s">
        <v>5117</v>
      </c>
    </row>
    <row r="2395" spans="1:17" x14ac:dyDescent="0.3">
      <c r="A2395" t="s">
        <v>17</v>
      </c>
      <c r="B2395" t="str">
        <f>"688559"</f>
        <v>688559</v>
      </c>
      <c r="C2395" t="s">
        <v>5118</v>
      </c>
      <c r="D2395" t="s">
        <v>1497</v>
      </c>
      <c r="E2395">
        <v>403080103</v>
      </c>
      <c r="F2395">
        <v>331075100</v>
      </c>
      <c r="G2395">
        <v>182642429</v>
      </c>
      <c r="P2395">
        <v>68</v>
      </c>
      <c r="Q2395" t="s">
        <v>5119</v>
      </c>
    </row>
    <row r="2396" spans="1:17" x14ac:dyDescent="0.3">
      <c r="A2396" t="s">
        <v>75</v>
      </c>
      <c r="B2396" t="str">
        <f>"002576"</f>
        <v>002576</v>
      </c>
      <c r="C2396" t="s">
        <v>5120</v>
      </c>
      <c r="D2396" t="s">
        <v>1487</v>
      </c>
      <c r="E2396">
        <v>402810326</v>
      </c>
      <c r="F2396">
        <v>313448558</v>
      </c>
      <c r="G2396">
        <v>235619605</v>
      </c>
      <c r="H2396">
        <v>332394826</v>
      </c>
      <c r="I2396">
        <v>190872141</v>
      </c>
      <c r="J2396">
        <v>191972780</v>
      </c>
      <c r="K2396">
        <v>194852192</v>
      </c>
      <c r="L2396">
        <v>144348800</v>
      </c>
      <c r="M2396">
        <v>204591996</v>
      </c>
      <c r="N2396">
        <v>160327936</v>
      </c>
      <c r="O2396">
        <v>110383985</v>
      </c>
      <c r="P2396">
        <v>123</v>
      </c>
      <c r="Q2396" t="s">
        <v>5121</v>
      </c>
    </row>
    <row r="2397" spans="1:17" x14ac:dyDescent="0.3">
      <c r="A2397" t="s">
        <v>17</v>
      </c>
      <c r="B2397" t="str">
        <f>"603555"</f>
        <v>603555</v>
      </c>
      <c r="C2397" t="s">
        <v>5122</v>
      </c>
      <c r="D2397" t="s">
        <v>5123</v>
      </c>
      <c r="E2397">
        <v>402240763</v>
      </c>
      <c r="F2397">
        <v>252936200</v>
      </c>
      <c r="G2397">
        <v>201554144</v>
      </c>
      <c r="H2397">
        <v>460169981</v>
      </c>
      <c r="I2397">
        <v>1081557988</v>
      </c>
      <c r="J2397">
        <v>848084661</v>
      </c>
      <c r="K2397">
        <v>82170433</v>
      </c>
      <c r="L2397">
        <v>131121723</v>
      </c>
      <c r="M2397">
        <v>351889369</v>
      </c>
      <c r="N2397">
        <v>299289631</v>
      </c>
      <c r="P2397">
        <v>81</v>
      </c>
      <c r="Q2397" t="s">
        <v>5124</v>
      </c>
    </row>
    <row r="2398" spans="1:17" x14ac:dyDescent="0.3">
      <c r="A2398" t="s">
        <v>75</v>
      </c>
      <c r="B2398" t="str">
        <f>"002119"</f>
        <v>002119</v>
      </c>
      <c r="C2398" t="s">
        <v>5125</v>
      </c>
      <c r="D2398" t="s">
        <v>489</v>
      </c>
      <c r="E2398">
        <v>402179943</v>
      </c>
      <c r="F2398">
        <v>325155577</v>
      </c>
      <c r="G2398">
        <v>219785126</v>
      </c>
      <c r="H2398">
        <v>244972581</v>
      </c>
      <c r="I2398">
        <v>372042302</v>
      </c>
      <c r="J2398">
        <v>313766521</v>
      </c>
      <c r="K2398">
        <v>203489269</v>
      </c>
      <c r="L2398">
        <v>244187513</v>
      </c>
      <c r="M2398">
        <v>279670514</v>
      </c>
      <c r="N2398">
        <v>315187270</v>
      </c>
      <c r="O2398">
        <v>273544091</v>
      </c>
      <c r="P2398">
        <v>214</v>
      </c>
      <c r="Q2398" t="s">
        <v>5126</v>
      </c>
    </row>
    <row r="2399" spans="1:17" x14ac:dyDescent="0.3">
      <c r="A2399" t="s">
        <v>17</v>
      </c>
      <c r="B2399" t="str">
        <f>"600936"</f>
        <v>600936</v>
      </c>
      <c r="C2399" t="s">
        <v>5127</v>
      </c>
      <c r="D2399" t="s">
        <v>1991</v>
      </c>
      <c r="E2399">
        <v>401191661</v>
      </c>
      <c r="F2399">
        <v>438093888</v>
      </c>
      <c r="G2399">
        <v>467234364</v>
      </c>
      <c r="H2399">
        <v>484990821</v>
      </c>
      <c r="I2399">
        <v>561334769</v>
      </c>
      <c r="J2399">
        <v>651118016</v>
      </c>
      <c r="K2399">
        <v>570120712</v>
      </c>
      <c r="L2399">
        <v>549728919</v>
      </c>
      <c r="P2399">
        <v>80</v>
      </c>
      <c r="Q2399" t="s">
        <v>5128</v>
      </c>
    </row>
    <row r="2400" spans="1:17" x14ac:dyDescent="0.3">
      <c r="A2400" t="s">
        <v>17</v>
      </c>
      <c r="B2400" t="str">
        <f>"605369"</f>
        <v>605369</v>
      </c>
      <c r="C2400" t="s">
        <v>5129</v>
      </c>
      <c r="D2400" t="s">
        <v>1538</v>
      </c>
      <c r="E2400">
        <v>401122063</v>
      </c>
      <c r="F2400">
        <v>290227932</v>
      </c>
      <c r="G2400">
        <v>115298606</v>
      </c>
      <c r="P2400">
        <v>177</v>
      </c>
      <c r="Q2400" t="s">
        <v>5130</v>
      </c>
    </row>
    <row r="2401" spans="1:17" x14ac:dyDescent="0.3">
      <c r="A2401" t="s">
        <v>75</v>
      </c>
      <c r="B2401" t="str">
        <f>"300910"</f>
        <v>300910</v>
      </c>
      <c r="C2401" t="s">
        <v>5131</v>
      </c>
      <c r="D2401" t="s">
        <v>292</v>
      </c>
      <c r="E2401">
        <v>400999820</v>
      </c>
      <c r="F2401">
        <v>223685330</v>
      </c>
      <c r="G2401">
        <v>131227639</v>
      </c>
      <c r="P2401">
        <v>116</v>
      </c>
      <c r="Q2401" t="s">
        <v>5132</v>
      </c>
    </row>
    <row r="2402" spans="1:17" x14ac:dyDescent="0.3">
      <c r="A2402" t="s">
        <v>75</v>
      </c>
      <c r="B2402" t="str">
        <f>"002418"</f>
        <v>002418</v>
      </c>
      <c r="C2402" t="s">
        <v>5133</v>
      </c>
      <c r="D2402" t="s">
        <v>1063</v>
      </c>
      <c r="E2402">
        <v>399768463</v>
      </c>
      <c r="F2402">
        <v>740432561</v>
      </c>
      <c r="G2402">
        <v>254468908</v>
      </c>
      <c r="H2402">
        <v>389529523</v>
      </c>
      <c r="I2402">
        <v>425869688</v>
      </c>
      <c r="J2402">
        <v>483959335</v>
      </c>
      <c r="K2402">
        <v>326504968</v>
      </c>
      <c r="L2402">
        <v>295661516</v>
      </c>
      <c r="M2402">
        <v>365387807</v>
      </c>
      <c r="N2402">
        <v>265215033</v>
      </c>
      <c r="O2402">
        <v>201771146</v>
      </c>
      <c r="P2402">
        <v>94</v>
      </c>
      <c r="Q2402" t="s">
        <v>5134</v>
      </c>
    </row>
    <row r="2403" spans="1:17" x14ac:dyDescent="0.3">
      <c r="A2403" t="s">
        <v>75</v>
      </c>
      <c r="B2403" t="str">
        <f>"300691"</f>
        <v>300691</v>
      </c>
      <c r="C2403" t="s">
        <v>5135</v>
      </c>
      <c r="D2403" t="s">
        <v>337</v>
      </c>
      <c r="E2403">
        <v>399711247</v>
      </c>
      <c r="F2403">
        <v>471308232</v>
      </c>
      <c r="G2403">
        <v>408511577</v>
      </c>
      <c r="H2403">
        <v>354264634</v>
      </c>
      <c r="I2403">
        <v>382500539</v>
      </c>
      <c r="J2403">
        <v>224769596</v>
      </c>
      <c r="P2403">
        <v>186</v>
      </c>
      <c r="Q2403" t="s">
        <v>5136</v>
      </c>
    </row>
    <row r="2404" spans="1:17" x14ac:dyDescent="0.3">
      <c r="A2404" t="s">
        <v>75</v>
      </c>
      <c r="B2404" t="str">
        <f>"000762"</f>
        <v>000762</v>
      </c>
      <c r="C2404" t="s">
        <v>5137</v>
      </c>
      <c r="D2404" t="s">
        <v>876</v>
      </c>
      <c r="E2404">
        <v>399172031</v>
      </c>
      <c r="F2404">
        <v>160666722</v>
      </c>
      <c r="G2404">
        <v>121767658</v>
      </c>
      <c r="H2404">
        <v>74265856</v>
      </c>
      <c r="I2404">
        <v>170138911</v>
      </c>
      <c r="J2404">
        <v>31967067</v>
      </c>
      <c r="K2404">
        <v>236144845</v>
      </c>
      <c r="L2404">
        <v>131852141</v>
      </c>
      <c r="M2404">
        <v>77131383</v>
      </c>
      <c r="N2404">
        <v>93946047</v>
      </c>
      <c r="O2404">
        <v>115818301</v>
      </c>
      <c r="P2404">
        <v>257</v>
      </c>
      <c r="Q2404" t="s">
        <v>5138</v>
      </c>
    </row>
    <row r="2405" spans="1:17" x14ac:dyDescent="0.3">
      <c r="A2405" t="s">
        <v>75</v>
      </c>
      <c r="B2405" t="str">
        <f>"300378"</f>
        <v>300378</v>
      </c>
      <c r="C2405" t="s">
        <v>5139</v>
      </c>
      <c r="D2405" t="s">
        <v>989</v>
      </c>
      <c r="E2405">
        <v>398542437</v>
      </c>
      <c r="F2405">
        <v>370307196</v>
      </c>
      <c r="G2405">
        <v>294523641</v>
      </c>
      <c r="H2405">
        <v>308450103</v>
      </c>
      <c r="I2405">
        <v>319514965</v>
      </c>
      <c r="J2405">
        <v>289630320</v>
      </c>
      <c r="K2405">
        <v>233978773</v>
      </c>
      <c r="L2405">
        <v>216579267</v>
      </c>
      <c r="M2405">
        <v>226264178</v>
      </c>
      <c r="N2405">
        <v>231646274</v>
      </c>
      <c r="P2405">
        <v>195</v>
      </c>
      <c r="Q2405" t="s">
        <v>5140</v>
      </c>
    </row>
    <row r="2406" spans="1:17" x14ac:dyDescent="0.3">
      <c r="A2406" t="s">
        <v>75</v>
      </c>
      <c r="B2406" t="str">
        <f>"002582"</f>
        <v>002582</v>
      </c>
      <c r="C2406" t="s">
        <v>5141</v>
      </c>
      <c r="D2406" t="s">
        <v>1268</v>
      </c>
      <c r="E2406">
        <v>398224913</v>
      </c>
      <c r="F2406">
        <v>329424456</v>
      </c>
      <c r="G2406">
        <v>2097460445</v>
      </c>
      <c r="H2406">
        <v>2326912597</v>
      </c>
      <c r="I2406">
        <v>2025974015</v>
      </c>
      <c r="J2406">
        <v>1636270660</v>
      </c>
      <c r="K2406">
        <v>307616451</v>
      </c>
      <c r="L2406">
        <v>358152387</v>
      </c>
      <c r="M2406">
        <v>287044010</v>
      </c>
      <c r="N2406">
        <v>240650265</v>
      </c>
      <c r="O2406">
        <v>239369796</v>
      </c>
      <c r="P2406">
        <v>439</v>
      </c>
      <c r="Q2406" t="s">
        <v>5142</v>
      </c>
    </row>
    <row r="2407" spans="1:17" x14ac:dyDescent="0.3">
      <c r="A2407" t="s">
        <v>75</v>
      </c>
      <c r="B2407" t="str">
        <f>"300121"</f>
        <v>300121</v>
      </c>
      <c r="C2407" t="s">
        <v>5143</v>
      </c>
      <c r="D2407" t="s">
        <v>4814</v>
      </c>
      <c r="E2407">
        <v>398215636</v>
      </c>
      <c r="F2407">
        <v>380118248</v>
      </c>
      <c r="G2407">
        <v>282712881</v>
      </c>
      <c r="H2407">
        <v>306692157</v>
      </c>
      <c r="I2407">
        <v>259504555</v>
      </c>
      <c r="J2407">
        <v>230509206</v>
      </c>
      <c r="K2407">
        <v>245131761</v>
      </c>
      <c r="L2407">
        <v>190737299</v>
      </c>
      <c r="M2407">
        <v>173139675</v>
      </c>
      <c r="N2407">
        <v>117028203</v>
      </c>
      <c r="O2407">
        <v>80025914</v>
      </c>
      <c r="P2407">
        <v>353</v>
      </c>
      <c r="Q2407" t="s">
        <v>5144</v>
      </c>
    </row>
    <row r="2408" spans="1:17" x14ac:dyDescent="0.3">
      <c r="A2408" t="s">
        <v>75</v>
      </c>
      <c r="B2408" t="str">
        <f>"002818"</f>
        <v>002818</v>
      </c>
      <c r="C2408" t="s">
        <v>5145</v>
      </c>
      <c r="D2408" t="s">
        <v>378</v>
      </c>
      <c r="E2408">
        <v>397817962</v>
      </c>
      <c r="F2408">
        <v>384658003</v>
      </c>
      <c r="G2408">
        <v>262674977</v>
      </c>
      <c r="H2408">
        <v>339042809</v>
      </c>
      <c r="I2408">
        <v>366947208</v>
      </c>
      <c r="J2408">
        <v>299019050</v>
      </c>
      <c r="K2408">
        <v>275396372</v>
      </c>
      <c r="P2408">
        <v>868</v>
      </c>
      <c r="Q2408" t="s">
        <v>5146</v>
      </c>
    </row>
    <row r="2409" spans="1:17" x14ac:dyDescent="0.3">
      <c r="A2409" t="s">
        <v>75</v>
      </c>
      <c r="B2409" t="str">
        <f>"000856"</f>
        <v>000856</v>
      </c>
      <c r="C2409" t="s">
        <v>5147</v>
      </c>
      <c r="D2409" t="s">
        <v>1624</v>
      </c>
      <c r="E2409">
        <v>397771290</v>
      </c>
      <c r="F2409">
        <v>509872778</v>
      </c>
      <c r="G2409">
        <v>385358251</v>
      </c>
      <c r="H2409">
        <v>310296252</v>
      </c>
      <c r="I2409">
        <v>141357370</v>
      </c>
      <c r="J2409">
        <v>164138487</v>
      </c>
      <c r="K2409">
        <v>122163764</v>
      </c>
      <c r="L2409">
        <v>173957202</v>
      </c>
      <c r="M2409">
        <v>206546775</v>
      </c>
      <c r="N2409">
        <v>193129846</v>
      </c>
      <c r="O2409">
        <v>230637419</v>
      </c>
      <c r="P2409">
        <v>101</v>
      </c>
      <c r="Q2409" t="s">
        <v>5148</v>
      </c>
    </row>
    <row r="2410" spans="1:17" x14ac:dyDescent="0.3">
      <c r="A2410" t="s">
        <v>75</v>
      </c>
      <c r="B2410" t="str">
        <f>"300401"</f>
        <v>300401</v>
      </c>
      <c r="C2410" t="s">
        <v>5149</v>
      </c>
      <c r="D2410" t="s">
        <v>1242</v>
      </c>
      <c r="E2410">
        <v>397730897</v>
      </c>
      <c r="F2410">
        <v>139041059</v>
      </c>
      <c r="G2410">
        <v>115876133</v>
      </c>
      <c r="H2410">
        <v>254258257</v>
      </c>
      <c r="I2410">
        <v>198517175</v>
      </c>
      <c r="J2410">
        <v>99541468</v>
      </c>
      <c r="K2410">
        <v>53024349</v>
      </c>
      <c r="L2410">
        <v>37178410</v>
      </c>
      <c r="M2410">
        <v>49656870</v>
      </c>
      <c r="P2410">
        <v>476</v>
      </c>
      <c r="Q2410" t="s">
        <v>5150</v>
      </c>
    </row>
    <row r="2411" spans="1:17" x14ac:dyDescent="0.3">
      <c r="A2411" t="s">
        <v>17</v>
      </c>
      <c r="B2411" t="str">
        <f>"603520"</f>
        <v>603520</v>
      </c>
      <c r="C2411" t="s">
        <v>5151</v>
      </c>
      <c r="D2411" t="s">
        <v>1242</v>
      </c>
      <c r="E2411">
        <v>396977667</v>
      </c>
      <c r="F2411">
        <v>282756017</v>
      </c>
      <c r="G2411">
        <v>232952086</v>
      </c>
      <c r="H2411">
        <v>230090165</v>
      </c>
      <c r="I2411">
        <v>132873059</v>
      </c>
      <c r="J2411">
        <v>78903631</v>
      </c>
      <c r="K2411">
        <v>122214465</v>
      </c>
      <c r="L2411">
        <v>200641512</v>
      </c>
      <c r="P2411">
        <v>382</v>
      </c>
      <c r="Q2411" t="s">
        <v>5152</v>
      </c>
    </row>
    <row r="2412" spans="1:17" x14ac:dyDescent="0.3">
      <c r="A2412" t="s">
        <v>75</v>
      </c>
      <c r="B2412" t="str">
        <f>"300765"</f>
        <v>300765</v>
      </c>
      <c r="C2412" t="s">
        <v>5153</v>
      </c>
      <c r="D2412" t="s">
        <v>1242</v>
      </c>
      <c r="E2412">
        <v>396909414</v>
      </c>
      <c r="F2412">
        <v>340582480</v>
      </c>
      <c r="G2412">
        <v>361154824</v>
      </c>
      <c r="H2412">
        <v>300983534</v>
      </c>
      <c r="I2412">
        <v>229518794</v>
      </c>
      <c r="P2412">
        <v>173</v>
      </c>
      <c r="Q2412" t="s">
        <v>5154</v>
      </c>
    </row>
    <row r="2413" spans="1:17" x14ac:dyDescent="0.3">
      <c r="A2413" t="s">
        <v>17</v>
      </c>
      <c r="B2413" t="str">
        <f>"600975"</f>
        <v>600975</v>
      </c>
      <c r="C2413" t="s">
        <v>5155</v>
      </c>
      <c r="D2413" t="s">
        <v>218</v>
      </c>
      <c r="E2413">
        <v>396872137</v>
      </c>
      <c r="F2413">
        <v>502876210</v>
      </c>
      <c r="G2413">
        <v>458298282</v>
      </c>
      <c r="H2413">
        <v>438262994</v>
      </c>
      <c r="I2413">
        <v>423096287</v>
      </c>
      <c r="J2413">
        <v>482446573</v>
      </c>
      <c r="K2413">
        <v>423652565</v>
      </c>
      <c r="L2413">
        <v>366312430</v>
      </c>
      <c r="M2413">
        <v>290441064</v>
      </c>
      <c r="N2413">
        <v>238174578</v>
      </c>
      <c r="O2413">
        <v>230727631</v>
      </c>
      <c r="P2413">
        <v>305</v>
      </c>
      <c r="Q2413" t="s">
        <v>5156</v>
      </c>
    </row>
    <row r="2414" spans="1:17" x14ac:dyDescent="0.3">
      <c r="A2414" t="s">
        <v>75</v>
      </c>
      <c r="B2414" t="str">
        <f>"300913"</f>
        <v>300913</v>
      </c>
      <c r="C2414" t="s">
        <v>5157</v>
      </c>
      <c r="D2414" t="s">
        <v>549</v>
      </c>
      <c r="E2414">
        <v>396529249</v>
      </c>
      <c r="F2414">
        <v>366562654</v>
      </c>
      <c r="G2414">
        <v>293107642</v>
      </c>
      <c r="H2414">
        <v>261939985</v>
      </c>
      <c r="P2414">
        <v>33</v>
      </c>
      <c r="Q2414" t="s">
        <v>5158</v>
      </c>
    </row>
    <row r="2415" spans="1:17" x14ac:dyDescent="0.3">
      <c r="A2415" t="s">
        <v>17</v>
      </c>
      <c r="B2415" t="str">
        <f>"603178"</f>
        <v>603178</v>
      </c>
      <c r="C2415" t="s">
        <v>5159</v>
      </c>
      <c r="D2415" t="s">
        <v>172</v>
      </c>
      <c r="E2415">
        <v>396250457</v>
      </c>
      <c r="F2415">
        <v>371145965</v>
      </c>
      <c r="G2415">
        <v>301635356</v>
      </c>
      <c r="H2415">
        <v>261080275</v>
      </c>
      <c r="I2415">
        <v>467829054</v>
      </c>
      <c r="J2415">
        <v>388239509</v>
      </c>
      <c r="K2415">
        <v>356983088</v>
      </c>
      <c r="P2415">
        <v>80</v>
      </c>
      <c r="Q2415" t="s">
        <v>5160</v>
      </c>
    </row>
    <row r="2416" spans="1:17" x14ac:dyDescent="0.3">
      <c r="A2416" t="s">
        <v>75</v>
      </c>
      <c r="B2416" t="str">
        <f>"301060"</f>
        <v>301060</v>
      </c>
      <c r="C2416" t="s">
        <v>5161</v>
      </c>
      <c r="D2416" t="s">
        <v>1490</v>
      </c>
      <c r="E2416">
        <v>396221427</v>
      </c>
      <c r="P2416">
        <v>41</v>
      </c>
      <c r="Q2416" t="s">
        <v>5162</v>
      </c>
    </row>
    <row r="2417" spans="1:17" x14ac:dyDescent="0.3">
      <c r="A2417" t="s">
        <v>17</v>
      </c>
      <c r="B2417" t="str">
        <f>"603926"</f>
        <v>603926</v>
      </c>
      <c r="C2417" t="s">
        <v>5163</v>
      </c>
      <c r="D2417" t="s">
        <v>172</v>
      </c>
      <c r="E2417">
        <v>396205160</v>
      </c>
      <c r="F2417">
        <v>298098308</v>
      </c>
      <c r="G2417">
        <v>216493397</v>
      </c>
      <c r="H2417">
        <v>251839993</v>
      </c>
      <c r="I2417">
        <v>169975267</v>
      </c>
      <c r="J2417">
        <v>199936394</v>
      </c>
      <c r="K2417">
        <v>121516605</v>
      </c>
      <c r="P2417">
        <v>104</v>
      </c>
      <c r="Q2417" t="s">
        <v>5164</v>
      </c>
    </row>
    <row r="2418" spans="1:17" x14ac:dyDescent="0.3">
      <c r="A2418" t="s">
        <v>75</v>
      </c>
      <c r="B2418" t="str">
        <f>"000058"</f>
        <v>000058</v>
      </c>
      <c r="C2418" t="s">
        <v>5165</v>
      </c>
      <c r="D2418" t="s">
        <v>378</v>
      </c>
      <c r="E2418">
        <v>395959277</v>
      </c>
      <c r="F2418">
        <v>369280991</v>
      </c>
      <c r="G2418">
        <v>173087607</v>
      </c>
      <c r="H2418">
        <v>288094200</v>
      </c>
      <c r="I2418">
        <v>386113295</v>
      </c>
      <c r="J2418">
        <v>432072426</v>
      </c>
      <c r="K2418">
        <v>270339308</v>
      </c>
      <c r="L2418">
        <v>363168640</v>
      </c>
      <c r="M2418">
        <v>469413209</v>
      </c>
      <c r="N2418">
        <v>116765324</v>
      </c>
      <c r="O2418">
        <v>108074163</v>
      </c>
      <c r="P2418">
        <v>142</v>
      </c>
      <c r="Q2418" t="s">
        <v>5166</v>
      </c>
    </row>
    <row r="2419" spans="1:17" x14ac:dyDescent="0.3">
      <c r="A2419" t="s">
        <v>75</v>
      </c>
      <c r="B2419" t="str">
        <f>"002901"</f>
        <v>002901</v>
      </c>
      <c r="C2419" t="s">
        <v>5167</v>
      </c>
      <c r="D2419" t="s">
        <v>1538</v>
      </c>
      <c r="E2419">
        <v>395785137</v>
      </c>
      <c r="F2419">
        <v>408213544</v>
      </c>
      <c r="G2419">
        <v>240988495</v>
      </c>
      <c r="H2419">
        <v>204503349</v>
      </c>
      <c r="I2419">
        <v>157620205</v>
      </c>
      <c r="J2419">
        <v>134258005</v>
      </c>
      <c r="P2419">
        <v>1702</v>
      </c>
      <c r="Q2419" t="s">
        <v>5168</v>
      </c>
    </row>
    <row r="2420" spans="1:17" x14ac:dyDescent="0.3">
      <c r="A2420" t="s">
        <v>17</v>
      </c>
      <c r="B2420" t="str">
        <f>"600645"</f>
        <v>600645</v>
      </c>
      <c r="C2420" t="s">
        <v>5169</v>
      </c>
      <c r="D2420" t="s">
        <v>967</v>
      </c>
      <c r="E2420">
        <v>395390921</v>
      </c>
      <c r="F2420">
        <v>380293037</v>
      </c>
      <c r="G2420">
        <v>300531623</v>
      </c>
      <c r="H2420">
        <v>320362702</v>
      </c>
      <c r="I2420">
        <v>204603067</v>
      </c>
      <c r="J2420">
        <v>197754449</v>
      </c>
      <c r="K2420">
        <v>187650720</v>
      </c>
      <c r="L2420">
        <v>170981046</v>
      </c>
      <c r="M2420">
        <v>111624588</v>
      </c>
      <c r="N2420">
        <v>90179110</v>
      </c>
      <c r="O2420">
        <v>54290354</v>
      </c>
      <c r="P2420">
        <v>223</v>
      </c>
      <c r="Q2420" t="s">
        <v>5170</v>
      </c>
    </row>
    <row r="2421" spans="1:17" x14ac:dyDescent="0.3">
      <c r="A2421" t="s">
        <v>17</v>
      </c>
      <c r="B2421" t="str">
        <f>"600288"</f>
        <v>600288</v>
      </c>
      <c r="C2421" t="s">
        <v>5171</v>
      </c>
      <c r="D2421" t="s">
        <v>221</v>
      </c>
      <c r="E2421">
        <v>394494877</v>
      </c>
      <c r="F2421">
        <v>500808217</v>
      </c>
      <c r="G2421">
        <v>441689439</v>
      </c>
      <c r="H2421">
        <v>649345836</v>
      </c>
      <c r="I2421">
        <v>647272105</v>
      </c>
      <c r="J2421">
        <v>604157827</v>
      </c>
      <c r="K2421">
        <v>522589938</v>
      </c>
      <c r="L2421">
        <v>540505966</v>
      </c>
      <c r="M2421">
        <v>791569845</v>
      </c>
      <c r="N2421">
        <v>794492928</v>
      </c>
      <c r="O2421">
        <v>846576775</v>
      </c>
      <c r="P2421">
        <v>95</v>
      </c>
      <c r="Q2421" t="s">
        <v>5172</v>
      </c>
    </row>
    <row r="2422" spans="1:17" x14ac:dyDescent="0.3">
      <c r="A2422" t="s">
        <v>17</v>
      </c>
      <c r="B2422" t="str">
        <f>"600833"</f>
        <v>600833</v>
      </c>
      <c r="C2422" t="s">
        <v>5173</v>
      </c>
      <c r="D2422" t="s">
        <v>936</v>
      </c>
      <c r="E2422">
        <v>394334389</v>
      </c>
      <c r="F2422">
        <v>356133862</v>
      </c>
      <c r="G2422">
        <v>580799250</v>
      </c>
      <c r="H2422">
        <v>315948376</v>
      </c>
      <c r="I2422">
        <v>433491245</v>
      </c>
      <c r="J2422">
        <v>483359474</v>
      </c>
      <c r="K2422">
        <v>502531445</v>
      </c>
      <c r="L2422">
        <v>505889900</v>
      </c>
      <c r="M2422">
        <v>452679957</v>
      </c>
      <c r="N2422">
        <v>431481304</v>
      </c>
      <c r="O2422">
        <v>411152384</v>
      </c>
      <c r="P2422">
        <v>108</v>
      </c>
      <c r="Q2422" t="s">
        <v>5174</v>
      </c>
    </row>
    <row r="2423" spans="1:17" x14ac:dyDescent="0.3">
      <c r="A2423" t="s">
        <v>75</v>
      </c>
      <c r="B2423" t="str">
        <f>"300168"</f>
        <v>300168</v>
      </c>
      <c r="C2423" t="s">
        <v>5175</v>
      </c>
      <c r="D2423" t="s">
        <v>224</v>
      </c>
      <c r="E2423">
        <v>393899388</v>
      </c>
      <c r="F2423">
        <v>480573914</v>
      </c>
      <c r="G2423">
        <v>267986206</v>
      </c>
      <c r="H2423">
        <v>268856786</v>
      </c>
      <c r="I2423">
        <v>210526238</v>
      </c>
      <c r="J2423">
        <v>186070300</v>
      </c>
      <c r="K2423">
        <v>193362616</v>
      </c>
      <c r="L2423">
        <v>220951959</v>
      </c>
      <c r="M2423">
        <v>86928360</v>
      </c>
      <c r="N2423">
        <v>80644389</v>
      </c>
      <c r="O2423">
        <v>59344526</v>
      </c>
      <c r="P2423">
        <v>368</v>
      </c>
      <c r="Q2423" t="s">
        <v>5176</v>
      </c>
    </row>
    <row r="2424" spans="1:17" x14ac:dyDescent="0.3">
      <c r="A2424" t="s">
        <v>17</v>
      </c>
      <c r="B2424" t="str">
        <f>"688018"</f>
        <v>688018</v>
      </c>
      <c r="C2424" t="s">
        <v>5177</v>
      </c>
      <c r="D2424" t="s">
        <v>883</v>
      </c>
      <c r="E2424">
        <v>392796778</v>
      </c>
      <c r="F2424">
        <v>296301671</v>
      </c>
      <c r="G2424">
        <v>143305237</v>
      </c>
      <c r="H2424">
        <v>125153185</v>
      </c>
      <c r="I2424">
        <v>104929250</v>
      </c>
      <c r="P2424">
        <v>317</v>
      </c>
      <c r="Q2424" t="s">
        <v>5178</v>
      </c>
    </row>
    <row r="2425" spans="1:17" x14ac:dyDescent="0.3">
      <c r="A2425" t="s">
        <v>17</v>
      </c>
      <c r="B2425" t="str">
        <f>"603938"</f>
        <v>603938</v>
      </c>
      <c r="C2425" t="s">
        <v>5179</v>
      </c>
      <c r="D2425" t="s">
        <v>719</v>
      </c>
      <c r="E2425">
        <v>392135944</v>
      </c>
      <c r="F2425">
        <v>232772412</v>
      </c>
      <c r="G2425">
        <v>255420402</v>
      </c>
      <c r="H2425">
        <v>196809108</v>
      </c>
      <c r="I2425">
        <v>191946913</v>
      </c>
      <c r="J2425">
        <v>137692427</v>
      </c>
      <c r="K2425">
        <v>79426569</v>
      </c>
      <c r="P2425">
        <v>102</v>
      </c>
      <c r="Q2425" t="s">
        <v>5180</v>
      </c>
    </row>
    <row r="2426" spans="1:17" x14ac:dyDescent="0.3">
      <c r="A2426" t="s">
        <v>75</v>
      </c>
      <c r="B2426" t="str">
        <f>"000046"</f>
        <v>000046</v>
      </c>
      <c r="C2426" t="s">
        <v>5181</v>
      </c>
      <c r="D2426" t="s">
        <v>65</v>
      </c>
      <c r="E2426">
        <v>391391798</v>
      </c>
      <c r="F2426">
        <v>2722370121</v>
      </c>
      <c r="G2426">
        <v>168493039</v>
      </c>
      <c r="H2426">
        <v>3855401274</v>
      </c>
      <c r="I2426">
        <v>1071846175</v>
      </c>
      <c r="J2426">
        <v>857212576</v>
      </c>
      <c r="K2426">
        <v>5171696240</v>
      </c>
      <c r="L2426">
        <v>1614524837</v>
      </c>
      <c r="M2426">
        <v>1351411892</v>
      </c>
      <c r="N2426">
        <v>1123239366</v>
      </c>
      <c r="O2426">
        <v>320492987</v>
      </c>
      <c r="P2426">
        <v>210</v>
      </c>
      <c r="Q2426" t="s">
        <v>5182</v>
      </c>
    </row>
    <row r="2427" spans="1:17" x14ac:dyDescent="0.3">
      <c r="A2427" t="s">
        <v>17</v>
      </c>
      <c r="B2427" t="str">
        <f>"603648"</f>
        <v>603648</v>
      </c>
      <c r="C2427" t="s">
        <v>5183</v>
      </c>
      <c r="D2427" t="s">
        <v>367</v>
      </c>
      <c r="E2427">
        <v>390513811</v>
      </c>
      <c r="F2427">
        <v>398049269</v>
      </c>
      <c r="G2427">
        <v>339078160</v>
      </c>
      <c r="H2427">
        <v>296476353</v>
      </c>
      <c r="I2427">
        <v>247543652</v>
      </c>
      <c r="J2427">
        <v>359803706</v>
      </c>
      <c r="P2427">
        <v>72</v>
      </c>
      <c r="Q2427" t="s">
        <v>5184</v>
      </c>
    </row>
    <row r="2428" spans="1:17" x14ac:dyDescent="0.3">
      <c r="A2428" t="s">
        <v>75</v>
      </c>
      <c r="B2428" t="str">
        <f>"300135"</f>
        <v>300135</v>
      </c>
      <c r="C2428" t="s">
        <v>5185</v>
      </c>
      <c r="D2428" t="s">
        <v>422</v>
      </c>
      <c r="E2428">
        <v>389675351</v>
      </c>
      <c r="F2428">
        <v>434126147</v>
      </c>
      <c r="G2428">
        <v>251719876</v>
      </c>
      <c r="H2428">
        <v>653339930</v>
      </c>
      <c r="I2428">
        <v>436154414</v>
      </c>
      <c r="J2428">
        <v>578411976</v>
      </c>
      <c r="K2428">
        <v>453407274</v>
      </c>
      <c r="L2428">
        <v>372958317</v>
      </c>
      <c r="M2428">
        <v>471280115</v>
      </c>
      <c r="N2428">
        <v>413642438</v>
      </c>
      <c r="O2428">
        <v>293094150</v>
      </c>
      <c r="P2428">
        <v>49</v>
      </c>
      <c r="Q2428" t="s">
        <v>5186</v>
      </c>
    </row>
    <row r="2429" spans="1:17" x14ac:dyDescent="0.3">
      <c r="A2429" t="s">
        <v>17</v>
      </c>
      <c r="B2429" t="str">
        <f>"605337"</f>
        <v>605337</v>
      </c>
      <c r="C2429" t="s">
        <v>5187</v>
      </c>
      <c r="D2429" t="s">
        <v>1708</v>
      </c>
      <c r="E2429">
        <v>389507531</v>
      </c>
      <c r="F2429">
        <v>359197177</v>
      </c>
      <c r="G2429">
        <v>164033750</v>
      </c>
      <c r="P2429">
        <v>146</v>
      </c>
      <c r="Q2429" t="s">
        <v>5188</v>
      </c>
    </row>
    <row r="2430" spans="1:17" x14ac:dyDescent="0.3">
      <c r="A2430" t="s">
        <v>75</v>
      </c>
      <c r="B2430" t="str">
        <f>"002082"</f>
        <v>002082</v>
      </c>
      <c r="C2430" t="s">
        <v>5189</v>
      </c>
      <c r="D2430" t="s">
        <v>96</v>
      </c>
      <c r="E2430">
        <v>389493337</v>
      </c>
      <c r="F2430">
        <v>536843868</v>
      </c>
      <c r="G2430">
        <v>2309450257</v>
      </c>
      <c r="H2430">
        <v>3633147771</v>
      </c>
      <c r="I2430">
        <v>3159073130</v>
      </c>
      <c r="J2430">
        <v>3221197432</v>
      </c>
      <c r="K2430">
        <v>2070031264</v>
      </c>
      <c r="L2430">
        <v>2328479161</v>
      </c>
      <c r="M2430">
        <v>2856020496</v>
      </c>
      <c r="N2430">
        <v>3478384972</v>
      </c>
      <c r="O2430">
        <v>3502191714</v>
      </c>
      <c r="P2430">
        <v>135</v>
      </c>
      <c r="Q2430" t="s">
        <v>5190</v>
      </c>
    </row>
    <row r="2431" spans="1:17" x14ac:dyDescent="0.3">
      <c r="A2431" t="s">
        <v>75</v>
      </c>
      <c r="B2431" t="str">
        <f>"002090"</f>
        <v>002090</v>
      </c>
      <c r="C2431" t="s">
        <v>5191</v>
      </c>
      <c r="D2431" t="s">
        <v>682</v>
      </c>
      <c r="E2431">
        <v>389442046</v>
      </c>
      <c r="F2431">
        <v>500294176</v>
      </c>
      <c r="G2431">
        <v>417171786</v>
      </c>
      <c r="H2431">
        <v>345727150</v>
      </c>
      <c r="I2431">
        <v>381971429</v>
      </c>
      <c r="J2431">
        <v>344488203</v>
      </c>
      <c r="K2431">
        <v>305567721</v>
      </c>
      <c r="L2431">
        <v>269162874</v>
      </c>
      <c r="M2431">
        <v>263427520</v>
      </c>
      <c r="N2431">
        <v>222202390</v>
      </c>
      <c r="O2431">
        <v>226534591</v>
      </c>
      <c r="P2431">
        <v>229</v>
      </c>
      <c r="Q2431" t="s">
        <v>5192</v>
      </c>
    </row>
    <row r="2432" spans="1:17" x14ac:dyDescent="0.3">
      <c r="A2432" t="s">
        <v>75</v>
      </c>
      <c r="B2432" t="str">
        <f>"300595"</f>
        <v>300595</v>
      </c>
      <c r="C2432" t="s">
        <v>5193</v>
      </c>
      <c r="D2432" t="s">
        <v>1538</v>
      </c>
      <c r="E2432">
        <v>389289513</v>
      </c>
      <c r="F2432">
        <v>321356044</v>
      </c>
      <c r="G2432">
        <v>124520465</v>
      </c>
      <c r="H2432">
        <v>137956297</v>
      </c>
      <c r="I2432">
        <v>99755365</v>
      </c>
      <c r="J2432">
        <v>72634507</v>
      </c>
      <c r="K2432">
        <v>57752549</v>
      </c>
      <c r="P2432">
        <v>4330</v>
      </c>
      <c r="Q2432" t="s">
        <v>5194</v>
      </c>
    </row>
    <row r="2433" spans="1:17" x14ac:dyDescent="0.3">
      <c r="A2433" t="s">
        <v>17</v>
      </c>
      <c r="B2433" t="str">
        <f>"688110"</f>
        <v>688110</v>
      </c>
      <c r="C2433" t="s">
        <v>5195</v>
      </c>
      <c r="D2433" t="s">
        <v>883</v>
      </c>
      <c r="E2433">
        <v>389271758</v>
      </c>
      <c r="P2433">
        <v>28</v>
      </c>
      <c r="Q2433" t="s">
        <v>5196</v>
      </c>
    </row>
    <row r="2434" spans="1:17" x14ac:dyDescent="0.3">
      <c r="A2434" t="s">
        <v>75</v>
      </c>
      <c r="B2434" t="str">
        <f>"300040"</f>
        <v>300040</v>
      </c>
      <c r="C2434" t="s">
        <v>5197</v>
      </c>
      <c r="D2434" t="s">
        <v>682</v>
      </c>
      <c r="E2434">
        <v>388428837</v>
      </c>
      <c r="F2434">
        <v>216349105</v>
      </c>
      <c r="G2434">
        <v>148378798</v>
      </c>
      <c r="H2434">
        <v>173047138</v>
      </c>
      <c r="I2434">
        <v>267732636</v>
      </c>
      <c r="J2434">
        <v>187447106</v>
      </c>
      <c r="K2434">
        <v>225103978</v>
      </c>
      <c r="L2434">
        <v>35964399</v>
      </c>
      <c r="M2434">
        <v>39780500</v>
      </c>
      <c r="N2434">
        <v>61505492</v>
      </c>
      <c r="O2434">
        <v>112356331</v>
      </c>
      <c r="P2434">
        <v>214</v>
      </c>
      <c r="Q2434" t="s">
        <v>5198</v>
      </c>
    </row>
    <row r="2435" spans="1:17" x14ac:dyDescent="0.3">
      <c r="A2435" t="s">
        <v>75</v>
      </c>
      <c r="B2435" t="str">
        <f>"300487"</f>
        <v>300487</v>
      </c>
      <c r="C2435" t="s">
        <v>5199</v>
      </c>
      <c r="D2435" t="s">
        <v>2855</v>
      </c>
      <c r="E2435">
        <v>387825739</v>
      </c>
      <c r="F2435">
        <v>186807620</v>
      </c>
      <c r="G2435">
        <v>100725881</v>
      </c>
      <c r="H2435">
        <v>94227866</v>
      </c>
      <c r="I2435">
        <v>62474801</v>
      </c>
      <c r="J2435">
        <v>63419490</v>
      </c>
      <c r="K2435">
        <v>34291377</v>
      </c>
      <c r="L2435">
        <v>0</v>
      </c>
      <c r="M2435">
        <v>0</v>
      </c>
      <c r="P2435">
        <v>374</v>
      </c>
      <c r="Q2435" t="s">
        <v>5200</v>
      </c>
    </row>
    <row r="2436" spans="1:17" x14ac:dyDescent="0.3">
      <c r="A2436" t="s">
        <v>75</v>
      </c>
      <c r="B2436" t="str">
        <f>"300873"</f>
        <v>300873</v>
      </c>
      <c r="C2436" t="s">
        <v>5201</v>
      </c>
      <c r="D2436" t="s">
        <v>367</v>
      </c>
      <c r="E2436">
        <v>386874364</v>
      </c>
      <c r="F2436">
        <v>308539596</v>
      </c>
      <c r="G2436">
        <v>193810287</v>
      </c>
      <c r="P2436">
        <v>88</v>
      </c>
      <c r="Q2436" t="s">
        <v>5202</v>
      </c>
    </row>
    <row r="2437" spans="1:17" x14ac:dyDescent="0.3">
      <c r="A2437" t="s">
        <v>17</v>
      </c>
      <c r="B2437" t="str">
        <f>"603657"</f>
        <v>603657</v>
      </c>
      <c r="C2437" t="s">
        <v>5203</v>
      </c>
      <c r="D2437" t="s">
        <v>1063</v>
      </c>
      <c r="E2437">
        <v>386754819</v>
      </c>
      <c r="F2437">
        <v>256097447</v>
      </c>
      <c r="G2437">
        <v>131405624</v>
      </c>
      <c r="H2437">
        <v>138969481</v>
      </c>
      <c r="I2437">
        <v>110486287</v>
      </c>
      <c r="J2437">
        <v>91889902</v>
      </c>
      <c r="P2437">
        <v>152</v>
      </c>
      <c r="Q2437" t="s">
        <v>5204</v>
      </c>
    </row>
    <row r="2438" spans="1:17" x14ac:dyDescent="0.3">
      <c r="A2438" t="s">
        <v>17</v>
      </c>
      <c r="B2438" t="str">
        <f>"605005"</f>
        <v>605005</v>
      </c>
      <c r="C2438" t="s">
        <v>5205</v>
      </c>
      <c r="D2438" t="s">
        <v>433</v>
      </c>
      <c r="E2438">
        <v>386562633</v>
      </c>
      <c r="F2438">
        <v>402908751</v>
      </c>
      <c r="G2438">
        <v>313498679</v>
      </c>
      <c r="P2438">
        <v>62</v>
      </c>
      <c r="Q2438" t="s">
        <v>5206</v>
      </c>
    </row>
    <row r="2439" spans="1:17" x14ac:dyDescent="0.3">
      <c r="A2439" t="s">
        <v>75</v>
      </c>
      <c r="B2439" t="str">
        <f>"002290"</f>
        <v>002290</v>
      </c>
      <c r="C2439" t="s">
        <v>5207</v>
      </c>
      <c r="D2439" t="s">
        <v>1063</v>
      </c>
      <c r="E2439">
        <v>386479751</v>
      </c>
      <c r="F2439">
        <v>270631617</v>
      </c>
      <c r="G2439">
        <v>218077484</v>
      </c>
      <c r="H2439">
        <v>316462557</v>
      </c>
      <c r="I2439">
        <v>358415001</v>
      </c>
      <c r="J2439">
        <v>175777710</v>
      </c>
      <c r="K2439">
        <v>202567762</v>
      </c>
      <c r="L2439">
        <v>211932772</v>
      </c>
      <c r="M2439">
        <v>258490885</v>
      </c>
      <c r="N2439">
        <v>208301586</v>
      </c>
      <c r="O2439">
        <v>351385612</v>
      </c>
      <c r="P2439">
        <v>80</v>
      </c>
      <c r="Q2439" t="s">
        <v>5208</v>
      </c>
    </row>
    <row r="2440" spans="1:17" x14ac:dyDescent="0.3">
      <c r="A2440" t="s">
        <v>17</v>
      </c>
      <c r="B2440" t="str">
        <f>"603085"</f>
        <v>603085</v>
      </c>
      <c r="C2440" t="s">
        <v>5209</v>
      </c>
      <c r="D2440" t="s">
        <v>194</v>
      </c>
      <c r="E2440">
        <v>385827738</v>
      </c>
      <c r="F2440">
        <v>326928494</v>
      </c>
      <c r="G2440">
        <v>233496849</v>
      </c>
      <c r="H2440">
        <v>294835314</v>
      </c>
      <c r="I2440">
        <v>86873249</v>
      </c>
      <c r="J2440">
        <v>111267253</v>
      </c>
      <c r="K2440">
        <v>93440807</v>
      </c>
      <c r="L2440">
        <v>87217649</v>
      </c>
      <c r="P2440">
        <v>81</v>
      </c>
      <c r="Q2440" t="s">
        <v>5210</v>
      </c>
    </row>
    <row r="2441" spans="1:17" x14ac:dyDescent="0.3">
      <c r="A2441" t="s">
        <v>75</v>
      </c>
      <c r="B2441" t="str">
        <f>"003013"</f>
        <v>003013</v>
      </c>
      <c r="C2441" t="s">
        <v>5211</v>
      </c>
      <c r="D2441" t="s">
        <v>2118</v>
      </c>
      <c r="E2441">
        <v>385692938</v>
      </c>
      <c r="F2441">
        <v>310689561</v>
      </c>
      <c r="G2441">
        <v>310439696</v>
      </c>
      <c r="P2441">
        <v>101</v>
      </c>
      <c r="Q2441" t="s">
        <v>5212</v>
      </c>
    </row>
    <row r="2442" spans="1:17" x14ac:dyDescent="0.3">
      <c r="A2442" t="s">
        <v>17</v>
      </c>
      <c r="B2442" t="str">
        <f>"600163"</f>
        <v>600163</v>
      </c>
      <c r="C2442" t="s">
        <v>5213</v>
      </c>
      <c r="D2442" t="s">
        <v>869</v>
      </c>
      <c r="E2442">
        <v>385376518</v>
      </c>
      <c r="F2442">
        <v>308101693</v>
      </c>
      <c r="G2442">
        <v>147466049</v>
      </c>
      <c r="H2442">
        <v>113177119</v>
      </c>
      <c r="I2442">
        <v>143248329</v>
      </c>
      <c r="J2442">
        <v>110355184</v>
      </c>
      <c r="K2442">
        <v>95721447</v>
      </c>
      <c r="L2442">
        <v>209926636</v>
      </c>
      <c r="M2442">
        <v>311246590</v>
      </c>
      <c r="N2442">
        <v>334281005</v>
      </c>
      <c r="O2442">
        <v>405535495</v>
      </c>
      <c r="P2442">
        <v>219</v>
      </c>
      <c r="Q2442" t="s">
        <v>5214</v>
      </c>
    </row>
    <row r="2443" spans="1:17" x14ac:dyDescent="0.3">
      <c r="A2443" t="s">
        <v>75</v>
      </c>
      <c r="B2443" t="str">
        <f>"002365"</f>
        <v>002365</v>
      </c>
      <c r="C2443" t="s">
        <v>5215</v>
      </c>
      <c r="D2443" t="s">
        <v>1242</v>
      </c>
      <c r="E2443">
        <v>385197779</v>
      </c>
      <c r="F2443">
        <v>265954214</v>
      </c>
      <c r="G2443">
        <v>176016088</v>
      </c>
      <c r="H2443">
        <v>271975839</v>
      </c>
      <c r="I2443">
        <v>226815702</v>
      </c>
      <c r="J2443">
        <v>153682201</v>
      </c>
      <c r="K2443">
        <v>118883991</v>
      </c>
      <c r="L2443">
        <v>127047195</v>
      </c>
      <c r="M2443">
        <v>126928550</v>
      </c>
      <c r="N2443">
        <v>133507610</v>
      </c>
      <c r="O2443">
        <v>109621692</v>
      </c>
      <c r="P2443">
        <v>195</v>
      </c>
      <c r="Q2443" t="s">
        <v>5216</v>
      </c>
    </row>
    <row r="2444" spans="1:17" x14ac:dyDescent="0.3">
      <c r="A2444" t="s">
        <v>75</v>
      </c>
      <c r="B2444" t="str">
        <f>"001206"</f>
        <v>001206</v>
      </c>
      <c r="C2444" t="s">
        <v>5217</v>
      </c>
      <c r="D2444" t="s">
        <v>1636</v>
      </c>
      <c r="E2444">
        <v>384612281</v>
      </c>
      <c r="F2444">
        <v>307543213</v>
      </c>
      <c r="G2444">
        <v>238862880</v>
      </c>
      <c r="P2444">
        <v>53</v>
      </c>
      <c r="Q2444" t="s">
        <v>5218</v>
      </c>
    </row>
    <row r="2445" spans="1:17" x14ac:dyDescent="0.3">
      <c r="A2445" t="s">
        <v>75</v>
      </c>
      <c r="B2445" t="str">
        <f>"000607"</f>
        <v>000607</v>
      </c>
      <c r="C2445" t="s">
        <v>5219</v>
      </c>
      <c r="D2445" t="s">
        <v>1245</v>
      </c>
      <c r="E2445">
        <v>384332529</v>
      </c>
      <c r="F2445">
        <v>334748734</v>
      </c>
      <c r="G2445">
        <v>252462614</v>
      </c>
      <c r="H2445">
        <v>305817103</v>
      </c>
      <c r="I2445">
        <v>303500240</v>
      </c>
      <c r="J2445">
        <v>300548572</v>
      </c>
      <c r="K2445">
        <v>273322194</v>
      </c>
      <c r="L2445">
        <v>259069540</v>
      </c>
      <c r="M2445">
        <v>346416748</v>
      </c>
      <c r="N2445">
        <v>359915996</v>
      </c>
      <c r="O2445">
        <v>156207617</v>
      </c>
      <c r="P2445">
        <v>109</v>
      </c>
      <c r="Q2445" t="s">
        <v>5220</v>
      </c>
    </row>
    <row r="2446" spans="1:17" x14ac:dyDescent="0.3">
      <c r="A2446" t="s">
        <v>75</v>
      </c>
      <c r="B2446" t="str">
        <f>"002987"</f>
        <v>002987</v>
      </c>
      <c r="C2446" t="s">
        <v>5221</v>
      </c>
      <c r="D2446" t="s">
        <v>116</v>
      </c>
      <c r="E2446">
        <v>383974511</v>
      </c>
      <c r="F2446">
        <v>334135326</v>
      </c>
      <c r="G2446">
        <v>209660950</v>
      </c>
      <c r="H2446">
        <v>172999088</v>
      </c>
      <c r="P2446">
        <v>127</v>
      </c>
      <c r="Q2446" t="s">
        <v>5222</v>
      </c>
    </row>
    <row r="2447" spans="1:17" x14ac:dyDescent="0.3">
      <c r="A2447" t="s">
        <v>17</v>
      </c>
      <c r="B2447" t="str">
        <f>"600452"</f>
        <v>600452</v>
      </c>
      <c r="C2447" t="s">
        <v>5223</v>
      </c>
      <c r="D2447" t="s">
        <v>457</v>
      </c>
      <c r="E2447">
        <v>383898156</v>
      </c>
      <c r="F2447">
        <v>520439559</v>
      </c>
      <c r="G2447">
        <v>282578538</v>
      </c>
      <c r="H2447">
        <v>385054017</v>
      </c>
      <c r="I2447">
        <v>347305508</v>
      </c>
      <c r="J2447">
        <v>335313919</v>
      </c>
      <c r="K2447">
        <v>346125905</v>
      </c>
      <c r="L2447">
        <v>292584829</v>
      </c>
      <c r="M2447">
        <v>311952631</v>
      </c>
      <c r="N2447">
        <v>310507681</v>
      </c>
      <c r="O2447">
        <v>257768119</v>
      </c>
      <c r="P2447">
        <v>4515</v>
      </c>
      <c r="Q2447" t="s">
        <v>5224</v>
      </c>
    </row>
    <row r="2448" spans="1:17" x14ac:dyDescent="0.3">
      <c r="A2448" t="s">
        <v>75</v>
      </c>
      <c r="B2448" t="str">
        <f>"000755"</f>
        <v>000755</v>
      </c>
      <c r="C2448" t="s">
        <v>5225</v>
      </c>
      <c r="D2448" t="s">
        <v>1248</v>
      </c>
      <c r="E2448">
        <v>383791684</v>
      </c>
      <c r="F2448">
        <v>227241568</v>
      </c>
      <c r="G2448">
        <v>83079483</v>
      </c>
      <c r="H2448">
        <v>197702047</v>
      </c>
      <c r="I2448">
        <v>379273420</v>
      </c>
      <c r="J2448">
        <v>587441433</v>
      </c>
      <c r="K2448">
        <v>538853921</v>
      </c>
      <c r="L2448">
        <v>958985444</v>
      </c>
      <c r="M2448">
        <v>774719138</v>
      </c>
      <c r="N2448">
        <v>789619936</v>
      </c>
      <c r="O2448">
        <v>1357351612</v>
      </c>
      <c r="P2448">
        <v>96</v>
      </c>
      <c r="Q2448" t="s">
        <v>5226</v>
      </c>
    </row>
    <row r="2449" spans="1:17" x14ac:dyDescent="0.3">
      <c r="A2449" t="s">
        <v>75</v>
      </c>
      <c r="B2449" t="str">
        <f>"000710"</f>
        <v>000710</v>
      </c>
      <c r="C2449" t="s">
        <v>5227</v>
      </c>
      <c r="D2449" t="s">
        <v>967</v>
      </c>
      <c r="E2449">
        <v>382947930</v>
      </c>
      <c r="F2449">
        <v>295820162</v>
      </c>
      <c r="G2449">
        <v>279364702</v>
      </c>
      <c r="H2449">
        <v>282479264</v>
      </c>
      <c r="I2449">
        <v>291322601</v>
      </c>
      <c r="J2449">
        <v>27312357</v>
      </c>
      <c r="K2449">
        <v>42834821</v>
      </c>
      <c r="L2449">
        <v>45454992</v>
      </c>
      <c r="M2449">
        <v>57469709</v>
      </c>
      <c r="N2449">
        <v>41054177</v>
      </c>
      <c r="O2449">
        <v>74453644</v>
      </c>
      <c r="P2449">
        <v>460</v>
      </c>
      <c r="Q2449" t="s">
        <v>5228</v>
      </c>
    </row>
    <row r="2450" spans="1:17" x14ac:dyDescent="0.3">
      <c r="A2450" t="s">
        <v>75</v>
      </c>
      <c r="B2450" t="str">
        <f>"300806"</f>
        <v>300806</v>
      </c>
      <c r="C2450" t="s">
        <v>5229</v>
      </c>
      <c r="D2450" t="s">
        <v>2029</v>
      </c>
      <c r="E2450">
        <v>382276488</v>
      </c>
      <c r="F2450">
        <v>488774721</v>
      </c>
      <c r="G2450">
        <v>266492256</v>
      </c>
      <c r="H2450">
        <v>262458637</v>
      </c>
      <c r="P2450">
        <v>168</v>
      </c>
      <c r="Q2450" t="s">
        <v>5230</v>
      </c>
    </row>
    <row r="2451" spans="1:17" x14ac:dyDescent="0.3">
      <c r="A2451" t="s">
        <v>17</v>
      </c>
      <c r="B2451" t="str">
        <f>"600990"</f>
        <v>600990</v>
      </c>
      <c r="C2451" t="s">
        <v>5231</v>
      </c>
      <c r="D2451" t="s">
        <v>1572</v>
      </c>
      <c r="E2451">
        <v>381991265</v>
      </c>
      <c r="F2451">
        <v>318253413</v>
      </c>
      <c r="G2451">
        <v>273123511</v>
      </c>
      <c r="H2451">
        <v>630631359</v>
      </c>
      <c r="I2451">
        <v>501044966</v>
      </c>
      <c r="J2451">
        <v>287585509</v>
      </c>
      <c r="K2451">
        <v>229078059</v>
      </c>
      <c r="L2451">
        <v>161451577</v>
      </c>
      <c r="M2451">
        <v>148041278</v>
      </c>
      <c r="N2451">
        <v>96032929</v>
      </c>
      <c r="O2451">
        <v>160793889</v>
      </c>
      <c r="P2451">
        <v>166</v>
      </c>
      <c r="Q2451" t="s">
        <v>5232</v>
      </c>
    </row>
    <row r="2452" spans="1:17" x14ac:dyDescent="0.3">
      <c r="A2452" t="s">
        <v>75</v>
      </c>
      <c r="B2452" t="str">
        <f>"002735"</f>
        <v>002735</v>
      </c>
      <c r="C2452" t="s">
        <v>5233</v>
      </c>
      <c r="D2452" t="s">
        <v>1603</v>
      </c>
      <c r="E2452">
        <v>381832736</v>
      </c>
      <c r="F2452">
        <v>350703769</v>
      </c>
      <c r="G2452">
        <v>338939581</v>
      </c>
      <c r="H2452">
        <v>292239408</v>
      </c>
      <c r="I2452">
        <v>187820248</v>
      </c>
      <c r="J2452">
        <v>160709342</v>
      </c>
      <c r="K2452">
        <v>134696826</v>
      </c>
      <c r="L2452">
        <v>147523404</v>
      </c>
      <c r="M2452">
        <v>139395188</v>
      </c>
      <c r="P2452">
        <v>71</v>
      </c>
      <c r="Q2452" t="s">
        <v>5234</v>
      </c>
    </row>
    <row r="2453" spans="1:17" x14ac:dyDescent="0.3">
      <c r="A2453" t="s">
        <v>75</v>
      </c>
      <c r="B2453" t="str">
        <f>"300272"</f>
        <v>300272</v>
      </c>
      <c r="C2453" t="s">
        <v>5235</v>
      </c>
      <c r="D2453" t="s">
        <v>939</v>
      </c>
      <c r="E2453">
        <v>381649255</v>
      </c>
      <c r="F2453">
        <v>321554550</v>
      </c>
      <c r="G2453">
        <v>219576899</v>
      </c>
      <c r="H2453">
        <v>214622171</v>
      </c>
      <c r="I2453">
        <v>188566794</v>
      </c>
      <c r="J2453">
        <v>130677511</v>
      </c>
      <c r="K2453">
        <v>132557737</v>
      </c>
      <c r="L2453">
        <v>97196743</v>
      </c>
      <c r="M2453">
        <v>76573763</v>
      </c>
      <c r="N2453">
        <v>66742149</v>
      </c>
      <c r="O2453">
        <v>48563580</v>
      </c>
      <c r="P2453">
        <v>131</v>
      </c>
      <c r="Q2453" t="s">
        <v>5236</v>
      </c>
    </row>
    <row r="2454" spans="1:17" x14ac:dyDescent="0.3">
      <c r="A2454" t="s">
        <v>17</v>
      </c>
      <c r="B2454" t="str">
        <f>"603466"</f>
        <v>603466</v>
      </c>
      <c r="C2454" t="s">
        <v>5237</v>
      </c>
      <c r="D2454" t="s">
        <v>5238</v>
      </c>
      <c r="E2454">
        <v>381593572</v>
      </c>
      <c r="F2454">
        <v>334855346</v>
      </c>
      <c r="G2454">
        <v>260449248</v>
      </c>
      <c r="H2454">
        <v>367401815</v>
      </c>
      <c r="I2454">
        <v>444973253</v>
      </c>
      <c r="J2454">
        <v>251959520</v>
      </c>
      <c r="P2454">
        <v>406</v>
      </c>
      <c r="Q2454" t="s">
        <v>5239</v>
      </c>
    </row>
    <row r="2455" spans="1:17" x14ac:dyDescent="0.3">
      <c r="A2455" t="s">
        <v>75</v>
      </c>
      <c r="B2455" t="str">
        <f>"002339"</f>
        <v>002339</v>
      </c>
      <c r="C2455" t="s">
        <v>5240</v>
      </c>
      <c r="D2455" t="s">
        <v>682</v>
      </c>
      <c r="E2455">
        <v>380081486</v>
      </c>
      <c r="F2455">
        <v>364651590</v>
      </c>
      <c r="G2455">
        <v>351571722</v>
      </c>
      <c r="H2455">
        <v>512064227</v>
      </c>
      <c r="I2455">
        <v>371630899</v>
      </c>
      <c r="J2455">
        <v>259399374</v>
      </c>
      <c r="K2455">
        <v>248338886</v>
      </c>
      <c r="L2455">
        <v>166750703</v>
      </c>
      <c r="M2455">
        <v>171083874</v>
      </c>
      <c r="N2455">
        <v>139645757</v>
      </c>
      <c r="O2455">
        <v>102895350</v>
      </c>
      <c r="P2455">
        <v>120</v>
      </c>
      <c r="Q2455" t="s">
        <v>5241</v>
      </c>
    </row>
    <row r="2456" spans="1:17" x14ac:dyDescent="0.3">
      <c r="A2456" t="s">
        <v>75</v>
      </c>
      <c r="B2456" t="str">
        <f>"002287"</f>
        <v>002287</v>
      </c>
      <c r="C2456" t="s">
        <v>5242</v>
      </c>
      <c r="D2456" t="s">
        <v>321</v>
      </c>
      <c r="E2456">
        <v>379972985</v>
      </c>
      <c r="F2456">
        <v>436103078</v>
      </c>
      <c r="G2456">
        <v>552949893</v>
      </c>
      <c r="H2456">
        <v>181548416</v>
      </c>
      <c r="I2456">
        <v>303543789</v>
      </c>
      <c r="J2456">
        <v>194033112</v>
      </c>
      <c r="K2456">
        <v>239080923</v>
      </c>
      <c r="L2456">
        <v>242107499</v>
      </c>
      <c r="M2456">
        <v>222521121</v>
      </c>
      <c r="N2456">
        <v>241188440</v>
      </c>
      <c r="O2456">
        <v>139239489</v>
      </c>
      <c r="P2456">
        <v>13304</v>
      </c>
      <c r="Q2456" t="s">
        <v>5243</v>
      </c>
    </row>
    <row r="2457" spans="1:17" x14ac:dyDescent="0.3">
      <c r="A2457" t="s">
        <v>75</v>
      </c>
      <c r="B2457" t="str">
        <f>"002316"</f>
        <v>002316</v>
      </c>
      <c r="C2457" t="s">
        <v>5244</v>
      </c>
      <c r="D2457" t="s">
        <v>2162</v>
      </c>
      <c r="E2457">
        <v>379590095</v>
      </c>
      <c r="F2457">
        <v>641291005</v>
      </c>
      <c r="G2457">
        <v>844472734</v>
      </c>
      <c r="H2457">
        <v>973022652</v>
      </c>
      <c r="I2457">
        <v>727093215</v>
      </c>
      <c r="J2457">
        <v>172476696</v>
      </c>
      <c r="K2457">
        <v>183843505</v>
      </c>
      <c r="L2457">
        <v>160788687</v>
      </c>
      <c r="M2457">
        <v>175820319</v>
      </c>
      <c r="N2457">
        <v>110721095</v>
      </c>
      <c r="O2457">
        <v>71040483</v>
      </c>
      <c r="P2457">
        <v>229</v>
      </c>
      <c r="Q2457" t="s">
        <v>5245</v>
      </c>
    </row>
    <row r="2458" spans="1:17" x14ac:dyDescent="0.3">
      <c r="A2458" t="s">
        <v>75</v>
      </c>
      <c r="B2458" t="str">
        <f>"002364"</f>
        <v>002364</v>
      </c>
      <c r="C2458" t="s">
        <v>5246</v>
      </c>
      <c r="D2458" t="s">
        <v>2692</v>
      </c>
      <c r="E2458">
        <v>378950024</v>
      </c>
      <c r="F2458">
        <v>347733916</v>
      </c>
      <c r="G2458">
        <v>213418932</v>
      </c>
      <c r="H2458">
        <v>224026145</v>
      </c>
      <c r="I2458">
        <v>212609654</v>
      </c>
      <c r="J2458">
        <v>192402022</v>
      </c>
      <c r="K2458">
        <v>156898622</v>
      </c>
      <c r="L2458">
        <v>152709224</v>
      </c>
      <c r="M2458">
        <v>103480511</v>
      </c>
      <c r="N2458">
        <v>85427814</v>
      </c>
      <c r="O2458">
        <v>68034823</v>
      </c>
      <c r="P2458">
        <v>219</v>
      </c>
      <c r="Q2458" t="s">
        <v>5247</v>
      </c>
    </row>
    <row r="2459" spans="1:17" x14ac:dyDescent="0.3">
      <c r="A2459" t="s">
        <v>17</v>
      </c>
      <c r="B2459" t="str">
        <f>"603601"</f>
        <v>603601</v>
      </c>
      <c r="C2459" t="s">
        <v>5248</v>
      </c>
      <c r="D2459" t="s">
        <v>980</v>
      </c>
      <c r="E2459">
        <v>378590894</v>
      </c>
      <c r="F2459">
        <v>352505267</v>
      </c>
      <c r="G2459">
        <v>348793003</v>
      </c>
      <c r="H2459">
        <v>217020947</v>
      </c>
      <c r="I2459">
        <v>116725272</v>
      </c>
      <c r="J2459">
        <v>85768847</v>
      </c>
      <c r="K2459">
        <v>56548615</v>
      </c>
      <c r="L2459">
        <v>43207221</v>
      </c>
      <c r="M2459">
        <v>46772581</v>
      </c>
      <c r="P2459">
        <v>500</v>
      </c>
      <c r="Q2459" t="s">
        <v>5249</v>
      </c>
    </row>
    <row r="2460" spans="1:17" x14ac:dyDescent="0.3">
      <c r="A2460" t="s">
        <v>75</v>
      </c>
      <c r="B2460" t="str">
        <f>"300771"</f>
        <v>300771</v>
      </c>
      <c r="C2460" t="s">
        <v>5250</v>
      </c>
      <c r="D2460" t="s">
        <v>508</v>
      </c>
      <c r="E2460">
        <v>378360263</v>
      </c>
      <c r="F2460">
        <v>161023713</v>
      </c>
      <c r="G2460">
        <v>306299365</v>
      </c>
      <c r="H2460">
        <v>224929504</v>
      </c>
      <c r="I2460">
        <v>192146114</v>
      </c>
      <c r="P2460">
        <v>229</v>
      </c>
      <c r="Q2460" t="s">
        <v>5251</v>
      </c>
    </row>
    <row r="2461" spans="1:17" x14ac:dyDescent="0.3">
      <c r="A2461" t="s">
        <v>17</v>
      </c>
      <c r="B2461" t="str">
        <f>"605399"</f>
        <v>605399</v>
      </c>
      <c r="C2461" t="s">
        <v>5252</v>
      </c>
      <c r="D2461" t="s">
        <v>1112</v>
      </c>
      <c r="E2461">
        <v>378321846</v>
      </c>
      <c r="F2461">
        <v>119293863</v>
      </c>
      <c r="G2461">
        <v>62528058</v>
      </c>
      <c r="H2461">
        <v>67633037</v>
      </c>
      <c r="P2461">
        <v>126</v>
      </c>
      <c r="Q2461" t="s">
        <v>5253</v>
      </c>
    </row>
    <row r="2462" spans="1:17" x14ac:dyDescent="0.3">
      <c r="A2462" t="s">
        <v>75</v>
      </c>
      <c r="B2462" t="str">
        <f>"001217"</f>
        <v>001217</v>
      </c>
      <c r="C2462" t="s">
        <v>5254</v>
      </c>
      <c r="D2462" t="s">
        <v>1759</v>
      </c>
      <c r="E2462">
        <v>378103182</v>
      </c>
      <c r="F2462">
        <v>219442930</v>
      </c>
      <c r="P2462">
        <v>27</v>
      </c>
      <c r="Q2462" t="s">
        <v>5255</v>
      </c>
    </row>
    <row r="2463" spans="1:17" x14ac:dyDescent="0.3">
      <c r="A2463" t="s">
        <v>17</v>
      </c>
      <c r="B2463" t="str">
        <f>"600171"</f>
        <v>600171</v>
      </c>
      <c r="C2463" t="s">
        <v>5256</v>
      </c>
      <c r="D2463" t="s">
        <v>2580</v>
      </c>
      <c r="E2463">
        <v>377603496</v>
      </c>
      <c r="F2463">
        <v>338814468</v>
      </c>
      <c r="G2463">
        <v>211674038</v>
      </c>
      <c r="H2463">
        <v>170095494</v>
      </c>
      <c r="I2463">
        <v>142819560</v>
      </c>
      <c r="J2463">
        <v>134837686</v>
      </c>
      <c r="K2463">
        <v>122238776</v>
      </c>
      <c r="L2463">
        <v>114410907</v>
      </c>
      <c r="M2463">
        <v>123058818</v>
      </c>
      <c r="N2463">
        <v>138405003</v>
      </c>
      <c r="O2463">
        <v>141413414</v>
      </c>
      <c r="P2463">
        <v>574</v>
      </c>
      <c r="Q2463" t="s">
        <v>5257</v>
      </c>
    </row>
    <row r="2464" spans="1:17" x14ac:dyDescent="0.3">
      <c r="A2464" t="s">
        <v>75</v>
      </c>
      <c r="B2464" t="str">
        <f>"301168"</f>
        <v>301168</v>
      </c>
      <c r="C2464" t="s">
        <v>5258</v>
      </c>
      <c r="D2464" t="s">
        <v>1512</v>
      </c>
      <c r="E2464">
        <v>377123057</v>
      </c>
      <c r="P2464">
        <v>14</v>
      </c>
      <c r="Q2464" t="s">
        <v>5259</v>
      </c>
    </row>
    <row r="2465" spans="1:17" x14ac:dyDescent="0.3">
      <c r="A2465" t="s">
        <v>75</v>
      </c>
      <c r="B2465" t="str">
        <f>"000623"</f>
        <v>000623</v>
      </c>
      <c r="C2465" t="s">
        <v>5260</v>
      </c>
      <c r="D2465" t="s">
        <v>543</v>
      </c>
      <c r="E2465">
        <v>376920769</v>
      </c>
      <c r="F2465">
        <v>418709281</v>
      </c>
      <c r="G2465">
        <v>523120076</v>
      </c>
      <c r="H2465">
        <v>726597861</v>
      </c>
      <c r="I2465">
        <v>701147297</v>
      </c>
      <c r="J2465">
        <v>490801272</v>
      </c>
      <c r="K2465">
        <v>416308802</v>
      </c>
      <c r="L2465">
        <v>352173998</v>
      </c>
      <c r="M2465">
        <v>380178728</v>
      </c>
      <c r="N2465">
        <v>248204078</v>
      </c>
      <c r="O2465">
        <v>201711972</v>
      </c>
      <c r="P2465">
        <v>671</v>
      </c>
      <c r="Q2465" t="s">
        <v>5261</v>
      </c>
    </row>
    <row r="2466" spans="1:17" x14ac:dyDescent="0.3">
      <c r="A2466" t="s">
        <v>17</v>
      </c>
      <c r="B2466" t="str">
        <f>"603687"</f>
        <v>603687</v>
      </c>
      <c r="C2466" t="s">
        <v>5262</v>
      </c>
      <c r="D2466" t="s">
        <v>1176</v>
      </c>
      <c r="E2466">
        <v>376433424</v>
      </c>
      <c r="F2466">
        <v>313343275</v>
      </c>
      <c r="G2466">
        <v>233572484</v>
      </c>
      <c r="H2466">
        <v>0</v>
      </c>
      <c r="I2466">
        <v>0</v>
      </c>
      <c r="P2466">
        <v>92</v>
      </c>
      <c r="Q2466" t="s">
        <v>5263</v>
      </c>
    </row>
    <row r="2467" spans="1:17" x14ac:dyDescent="0.3">
      <c r="A2467" t="s">
        <v>75</v>
      </c>
      <c r="B2467" t="str">
        <f>"002349"</f>
        <v>002349</v>
      </c>
      <c r="C2467" t="s">
        <v>5264</v>
      </c>
      <c r="D2467" t="s">
        <v>321</v>
      </c>
      <c r="E2467">
        <v>375012267</v>
      </c>
      <c r="F2467">
        <v>312094870</v>
      </c>
      <c r="G2467">
        <v>270710110</v>
      </c>
      <c r="H2467">
        <v>244472814</v>
      </c>
      <c r="I2467">
        <v>244298762</v>
      </c>
      <c r="J2467">
        <v>251194189</v>
      </c>
      <c r="K2467">
        <v>264475811</v>
      </c>
      <c r="L2467">
        <v>135397552</v>
      </c>
      <c r="M2467">
        <v>159692483</v>
      </c>
      <c r="N2467">
        <v>184106908</v>
      </c>
      <c r="O2467">
        <v>127662059</v>
      </c>
      <c r="P2467">
        <v>194</v>
      </c>
      <c r="Q2467" t="s">
        <v>5265</v>
      </c>
    </row>
    <row r="2468" spans="1:17" x14ac:dyDescent="0.3">
      <c r="A2468" t="s">
        <v>75</v>
      </c>
      <c r="B2468" t="str">
        <f>"300721"</f>
        <v>300721</v>
      </c>
      <c r="C2468" t="s">
        <v>5266</v>
      </c>
      <c r="D2468" t="s">
        <v>292</v>
      </c>
      <c r="E2468">
        <v>374937769</v>
      </c>
      <c r="F2468">
        <v>298944557</v>
      </c>
      <c r="G2468">
        <v>166035698</v>
      </c>
      <c r="H2468">
        <v>203422241</v>
      </c>
      <c r="I2468">
        <v>251532858</v>
      </c>
      <c r="J2468">
        <v>196642204</v>
      </c>
      <c r="P2468">
        <v>73</v>
      </c>
      <c r="Q2468" t="s">
        <v>5267</v>
      </c>
    </row>
    <row r="2469" spans="1:17" x14ac:dyDescent="0.3">
      <c r="A2469" t="s">
        <v>75</v>
      </c>
      <c r="B2469" t="str">
        <f>"002970"</f>
        <v>002970</v>
      </c>
      <c r="C2469" t="s">
        <v>5268</v>
      </c>
      <c r="D2469" t="s">
        <v>508</v>
      </c>
      <c r="E2469">
        <v>374929873</v>
      </c>
      <c r="F2469">
        <v>419148642</v>
      </c>
      <c r="G2469">
        <v>316485567</v>
      </c>
      <c r="H2469">
        <v>224191835</v>
      </c>
      <c r="P2469">
        <v>563</v>
      </c>
      <c r="Q2469" t="s">
        <v>5269</v>
      </c>
    </row>
    <row r="2470" spans="1:17" x14ac:dyDescent="0.3">
      <c r="A2470" t="s">
        <v>75</v>
      </c>
      <c r="B2470" t="str">
        <f>"002947"</f>
        <v>002947</v>
      </c>
      <c r="C2470" t="s">
        <v>5270</v>
      </c>
      <c r="D2470" t="s">
        <v>55</v>
      </c>
      <c r="E2470">
        <v>374729177</v>
      </c>
      <c r="F2470">
        <v>201024331</v>
      </c>
      <c r="G2470">
        <v>216419856</v>
      </c>
      <c r="H2470">
        <v>187272991</v>
      </c>
      <c r="I2470">
        <v>129426835</v>
      </c>
      <c r="J2470">
        <v>123196503</v>
      </c>
      <c r="P2470">
        <v>266</v>
      </c>
      <c r="Q2470" t="s">
        <v>5271</v>
      </c>
    </row>
    <row r="2471" spans="1:17" x14ac:dyDescent="0.3">
      <c r="A2471" t="s">
        <v>75</v>
      </c>
      <c r="B2471" t="str">
        <f>"002623"</f>
        <v>002623</v>
      </c>
      <c r="C2471" t="s">
        <v>5272</v>
      </c>
      <c r="D2471" t="s">
        <v>1512</v>
      </c>
      <c r="E2471">
        <v>374268599</v>
      </c>
      <c r="F2471">
        <v>283575262</v>
      </c>
      <c r="G2471">
        <v>180862978</v>
      </c>
      <c r="H2471">
        <v>105163916</v>
      </c>
      <c r="I2471">
        <v>122435571</v>
      </c>
      <c r="J2471">
        <v>209544687</v>
      </c>
      <c r="K2471">
        <v>141800722</v>
      </c>
      <c r="L2471">
        <v>182048430</v>
      </c>
      <c r="M2471">
        <v>174514124</v>
      </c>
      <c r="N2471">
        <v>139245183</v>
      </c>
      <c r="O2471">
        <v>111204401</v>
      </c>
      <c r="P2471">
        <v>172</v>
      </c>
      <c r="Q2471" t="s">
        <v>5273</v>
      </c>
    </row>
    <row r="2472" spans="1:17" x14ac:dyDescent="0.3">
      <c r="A2472" t="s">
        <v>17</v>
      </c>
      <c r="B2472" t="str">
        <f>"603878"</f>
        <v>603878</v>
      </c>
      <c r="C2472" t="s">
        <v>5274</v>
      </c>
      <c r="D2472" t="s">
        <v>324</v>
      </c>
      <c r="E2472">
        <v>374241924</v>
      </c>
      <c r="F2472">
        <v>652506302</v>
      </c>
      <c r="G2472">
        <v>384907778</v>
      </c>
      <c r="H2472">
        <v>356414270</v>
      </c>
      <c r="I2472">
        <v>264963474</v>
      </c>
      <c r="J2472">
        <v>179284493</v>
      </c>
      <c r="K2472">
        <v>242023449</v>
      </c>
      <c r="P2472">
        <v>142</v>
      </c>
      <c r="Q2472" t="s">
        <v>5275</v>
      </c>
    </row>
    <row r="2473" spans="1:17" x14ac:dyDescent="0.3">
      <c r="A2473" t="s">
        <v>17</v>
      </c>
      <c r="B2473" t="str">
        <f>"603076"</f>
        <v>603076</v>
      </c>
      <c r="C2473" t="s">
        <v>5276</v>
      </c>
      <c r="D2473" t="s">
        <v>1624</v>
      </c>
      <c r="E2473">
        <v>374077552</v>
      </c>
      <c r="F2473">
        <v>168501718</v>
      </c>
      <c r="G2473">
        <v>283241815</v>
      </c>
      <c r="H2473">
        <v>282421626</v>
      </c>
      <c r="I2473">
        <v>280469672</v>
      </c>
      <c r="J2473">
        <v>236657346</v>
      </c>
      <c r="P2473">
        <v>87</v>
      </c>
      <c r="Q2473" t="s">
        <v>5277</v>
      </c>
    </row>
    <row r="2474" spans="1:17" x14ac:dyDescent="0.3">
      <c r="A2474" t="s">
        <v>75</v>
      </c>
      <c r="B2474" t="str">
        <f>"301029"</f>
        <v>301029</v>
      </c>
      <c r="C2474" t="s">
        <v>5278</v>
      </c>
      <c r="D2474" t="s">
        <v>2910</v>
      </c>
      <c r="E2474">
        <v>373141074</v>
      </c>
      <c r="F2474">
        <v>311427257</v>
      </c>
      <c r="G2474">
        <v>187926487</v>
      </c>
      <c r="P2474">
        <v>67</v>
      </c>
      <c r="Q2474" t="s">
        <v>5279</v>
      </c>
    </row>
    <row r="2475" spans="1:17" x14ac:dyDescent="0.3">
      <c r="A2475" t="s">
        <v>75</v>
      </c>
      <c r="B2475" t="str">
        <f>"300997"</f>
        <v>300997</v>
      </c>
      <c r="C2475" t="s">
        <v>5280</v>
      </c>
      <c r="D2475" t="s">
        <v>1708</v>
      </c>
      <c r="E2475">
        <v>372506892</v>
      </c>
      <c r="F2475">
        <v>310854660</v>
      </c>
      <c r="G2475">
        <v>175110035</v>
      </c>
      <c r="P2475">
        <v>39</v>
      </c>
      <c r="Q2475" t="s">
        <v>5281</v>
      </c>
    </row>
    <row r="2476" spans="1:17" x14ac:dyDescent="0.3">
      <c r="A2476" t="s">
        <v>75</v>
      </c>
      <c r="B2476" t="str">
        <f>"002333"</f>
        <v>002333</v>
      </c>
      <c r="C2476" t="s">
        <v>5282</v>
      </c>
      <c r="D2476" t="s">
        <v>1257</v>
      </c>
      <c r="E2476">
        <v>372441035</v>
      </c>
      <c r="F2476">
        <v>286213705</v>
      </c>
      <c r="G2476">
        <v>86316326</v>
      </c>
      <c r="H2476">
        <v>164002758</v>
      </c>
      <c r="I2476">
        <v>267766189</v>
      </c>
      <c r="J2476">
        <v>237042703</v>
      </c>
      <c r="K2476">
        <v>204785774</v>
      </c>
      <c r="L2476">
        <v>205110050</v>
      </c>
      <c r="M2476">
        <v>253695674</v>
      </c>
      <c r="N2476">
        <v>227118542</v>
      </c>
      <c r="O2476">
        <v>243471592</v>
      </c>
      <c r="P2476">
        <v>59</v>
      </c>
      <c r="Q2476" t="s">
        <v>5283</v>
      </c>
    </row>
    <row r="2477" spans="1:17" x14ac:dyDescent="0.3">
      <c r="A2477" t="s">
        <v>75</v>
      </c>
      <c r="B2477" t="str">
        <f>"000976"</f>
        <v>000976</v>
      </c>
      <c r="C2477" t="s">
        <v>5284</v>
      </c>
      <c r="D2477" t="s">
        <v>156</v>
      </c>
      <c r="E2477">
        <v>371887701</v>
      </c>
      <c r="F2477">
        <v>801294156</v>
      </c>
      <c r="G2477">
        <v>360731726</v>
      </c>
      <c r="H2477">
        <v>304767244</v>
      </c>
      <c r="I2477">
        <v>292862016</v>
      </c>
      <c r="J2477">
        <v>288684873</v>
      </c>
      <c r="K2477">
        <v>290368568</v>
      </c>
      <c r="L2477">
        <v>201575884</v>
      </c>
      <c r="M2477">
        <v>259972544</v>
      </c>
      <c r="N2477">
        <v>315067369</v>
      </c>
      <c r="O2477">
        <v>367315155</v>
      </c>
      <c r="P2477">
        <v>146</v>
      </c>
      <c r="Q2477" t="s">
        <v>5285</v>
      </c>
    </row>
    <row r="2478" spans="1:17" x14ac:dyDescent="0.3">
      <c r="A2478" t="s">
        <v>75</v>
      </c>
      <c r="B2478" t="str">
        <f>"002263"</f>
        <v>002263</v>
      </c>
      <c r="C2478" t="s">
        <v>5286</v>
      </c>
      <c r="D2478" t="s">
        <v>2029</v>
      </c>
      <c r="E2478">
        <v>371816292</v>
      </c>
      <c r="F2478">
        <v>341672279</v>
      </c>
      <c r="G2478">
        <v>276434714</v>
      </c>
      <c r="H2478">
        <v>343922701</v>
      </c>
      <c r="I2478">
        <v>283015093</v>
      </c>
      <c r="J2478">
        <v>221837947</v>
      </c>
      <c r="K2478">
        <v>127343500</v>
      </c>
      <c r="L2478">
        <v>206320816</v>
      </c>
      <c r="M2478">
        <v>115808628</v>
      </c>
      <c r="N2478">
        <v>105961211</v>
      </c>
      <c r="O2478">
        <v>203608710</v>
      </c>
      <c r="P2478">
        <v>126</v>
      </c>
      <c r="Q2478" t="s">
        <v>5287</v>
      </c>
    </row>
    <row r="2479" spans="1:17" x14ac:dyDescent="0.3">
      <c r="A2479" t="s">
        <v>75</v>
      </c>
      <c r="B2479" t="str">
        <f>"300850"</f>
        <v>300850</v>
      </c>
      <c r="C2479" t="s">
        <v>5288</v>
      </c>
      <c r="D2479" t="s">
        <v>1398</v>
      </c>
      <c r="E2479">
        <v>371633974</v>
      </c>
      <c r="F2479">
        <v>192230905</v>
      </c>
      <c r="G2479">
        <v>173238734</v>
      </c>
      <c r="H2479">
        <v>56788916</v>
      </c>
      <c r="P2479">
        <v>264</v>
      </c>
      <c r="Q2479" t="s">
        <v>5289</v>
      </c>
    </row>
    <row r="2480" spans="1:17" x14ac:dyDescent="0.3">
      <c r="A2480" t="s">
        <v>75</v>
      </c>
      <c r="B2480" t="str">
        <f>"300785"</f>
        <v>300785</v>
      </c>
      <c r="C2480" t="s">
        <v>5290</v>
      </c>
      <c r="D2480" t="s">
        <v>5291</v>
      </c>
      <c r="E2480">
        <v>371561967</v>
      </c>
      <c r="F2480">
        <v>247553980</v>
      </c>
      <c r="G2480">
        <v>149570832</v>
      </c>
      <c r="H2480">
        <v>95685721</v>
      </c>
      <c r="I2480">
        <v>88031849</v>
      </c>
      <c r="P2480">
        <v>332</v>
      </c>
      <c r="Q2480" t="s">
        <v>5292</v>
      </c>
    </row>
    <row r="2481" spans="1:17" x14ac:dyDescent="0.3">
      <c r="A2481" t="s">
        <v>17</v>
      </c>
      <c r="B2481" t="str">
        <f>"688560"</f>
        <v>688560</v>
      </c>
      <c r="C2481" t="s">
        <v>5293</v>
      </c>
      <c r="D2481" t="s">
        <v>1512</v>
      </c>
      <c r="E2481">
        <v>371043275</v>
      </c>
      <c r="F2481">
        <v>40305856</v>
      </c>
      <c r="P2481">
        <v>38</v>
      </c>
      <c r="Q2481" t="s">
        <v>5294</v>
      </c>
    </row>
    <row r="2482" spans="1:17" x14ac:dyDescent="0.3">
      <c r="A2482" t="s">
        <v>75</v>
      </c>
      <c r="B2482" t="str">
        <f>"000861"</f>
        <v>000861</v>
      </c>
      <c r="C2482" t="s">
        <v>5295</v>
      </c>
      <c r="D2482" t="s">
        <v>378</v>
      </c>
      <c r="E2482">
        <v>370891139</v>
      </c>
      <c r="F2482">
        <v>329480617</v>
      </c>
      <c r="G2482">
        <v>423667221</v>
      </c>
      <c r="H2482">
        <v>651363355</v>
      </c>
      <c r="I2482">
        <v>687179322</v>
      </c>
      <c r="J2482">
        <v>522600067</v>
      </c>
      <c r="K2482">
        <v>495051720</v>
      </c>
      <c r="L2482">
        <v>422036409</v>
      </c>
      <c r="M2482">
        <v>436271379</v>
      </c>
      <c r="N2482">
        <v>473865181</v>
      </c>
      <c r="O2482">
        <v>318869360</v>
      </c>
      <c r="P2482">
        <v>184</v>
      </c>
      <c r="Q2482" t="s">
        <v>5296</v>
      </c>
    </row>
    <row r="2483" spans="1:17" x14ac:dyDescent="0.3">
      <c r="A2483" t="s">
        <v>75</v>
      </c>
      <c r="B2483" t="str">
        <f>"300932"</f>
        <v>300932</v>
      </c>
      <c r="C2483" t="s">
        <v>5297</v>
      </c>
      <c r="D2483" t="s">
        <v>546</v>
      </c>
      <c r="E2483">
        <v>369412086</v>
      </c>
      <c r="F2483">
        <v>194543701</v>
      </c>
      <c r="G2483">
        <v>197363525</v>
      </c>
      <c r="P2483">
        <v>29</v>
      </c>
      <c r="Q2483" t="s">
        <v>5298</v>
      </c>
    </row>
    <row r="2484" spans="1:17" x14ac:dyDescent="0.3">
      <c r="A2484" t="s">
        <v>75</v>
      </c>
      <c r="B2484" t="str">
        <f>"300959"</f>
        <v>300959</v>
      </c>
      <c r="C2484" t="s">
        <v>5299</v>
      </c>
      <c r="D2484" t="s">
        <v>3310</v>
      </c>
      <c r="E2484">
        <v>369350715</v>
      </c>
      <c r="F2484">
        <v>349608627</v>
      </c>
      <c r="G2484">
        <v>117875784</v>
      </c>
      <c r="P2484">
        <v>31</v>
      </c>
      <c r="Q2484" t="s">
        <v>5300</v>
      </c>
    </row>
    <row r="2485" spans="1:17" x14ac:dyDescent="0.3">
      <c r="A2485" t="s">
        <v>17</v>
      </c>
      <c r="B2485" t="str">
        <f>"600831"</f>
        <v>600831</v>
      </c>
      <c r="C2485" t="s">
        <v>5301</v>
      </c>
      <c r="D2485" t="s">
        <v>1991</v>
      </c>
      <c r="E2485">
        <v>369325004</v>
      </c>
      <c r="F2485">
        <v>443886684</v>
      </c>
      <c r="G2485">
        <v>477831593</v>
      </c>
      <c r="H2485">
        <v>557100979</v>
      </c>
      <c r="I2485">
        <v>488509926</v>
      </c>
      <c r="J2485">
        <v>564131100</v>
      </c>
      <c r="K2485">
        <v>516252270</v>
      </c>
      <c r="L2485">
        <v>462641387</v>
      </c>
      <c r="M2485">
        <v>462049289</v>
      </c>
      <c r="N2485">
        <v>470569992</v>
      </c>
      <c r="O2485">
        <v>413773768</v>
      </c>
      <c r="P2485">
        <v>199</v>
      </c>
      <c r="Q2485" t="s">
        <v>5302</v>
      </c>
    </row>
    <row r="2486" spans="1:17" x14ac:dyDescent="0.3">
      <c r="A2486" t="s">
        <v>17</v>
      </c>
      <c r="B2486" t="str">
        <f>"688100"</f>
        <v>688100</v>
      </c>
      <c r="C2486" t="s">
        <v>5303</v>
      </c>
      <c r="D2486" t="s">
        <v>556</v>
      </c>
      <c r="E2486">
        <v>368881659</v>
      </c>
      <c r="F2486">
        <v>271900887</v>
      </c>
      <c r="G2486">
        <v>270890339</v>
      </c>
      <c r="H2486">
        <v>277835769</v>
      </c>
      <c r="P2486">
        <v>103</v>
      </c>
      <c r="Q2486" t="s">
        <v>5304</v>
      </c>
    </row>
    <row r="2487" spans="1:17" x14ac:dyDescent="0.3">
      <c r="A2487" t="s">
        <v>75</v>
      </c>
      <c r="B2487" t="str">
        <f>"300263"</f>
        <v>300263</v>
      </c>
      <c r="C2487" t="s">
        <v>5305</v>
      </c>
      <c r="D2487" t="s">
        <v>1424</v>
      </c>
      <c r="E2487">
        <v>368735989</v>
      </c>
      <c r="F2487">
        <v>412381658</v>
      </c>
      <c r="G2487">
        <v>300303451</v>
      </c>
      <c r="H2487">
        <v>356160453</v>
      </c>
      <c r="I2487">
        <v>165198791</v>
      </c>
      <c r="J2487">
        <v>368656384</v>
      </c>
      <c r="K2487">
        <v>118801281</v>
      </c>
      <c r="L2487">
        <v>234745284</v>
      </c>
      <c r="M2487">
        <v>144717336</v>
      </c>
      <c r="N2487">
        <v>79286276</v>
      </c>
      <c r="O2487">
        <v>91070798</v>
      </c>
      <c r="P2487">
        <v>232</v>
      </c>
      <c r="Q2487" t="s">
        <v>5306</v>
      </c>
    </row>
    <row r="2488" spans="1:17" x14ac:dyDescent="0.3">
      <c r="A2488" t="s">
        <v>17</v>
      </c>
      <c r="B2488" t="str">
        <f>"688278"</f>
        <v>688278</v>
      </c>
      <c r="C2488" t="s">
        <v>5307</v>
      </c>
      <c r="D2488" t="s">
        <v>1533</v>
      </c>
      <c r="E2488">
        <v>368702245</v>
      </c>
      <c r="F2488">
        <v>262276548</v>
      </c>
      <c r="G2488">
        <v>199576700</v>
      </c>
      <c r="H2488">
        <v>171322601</v>
      </c>
      <c r="P2488">
        <v>154</v>
      </c>
      <c r="Q2488" t="s">
        <v>5308</v>
      </c>
    </row>
    <row r="2489" spans="1:17" x14ac:dyDescent="0.3">
      <c r="A2489" t="s">
        <v>75</v>
      </c>
      <c r="B2489" t="str">
        <f>"002006"</f>
        <v>002006</v>
      </c>
      <c r="C2489" t="s">
        <v>5309</v>
      </c>
      <c r="D2489" t="s">
        <v>1624</v>
      </c>
      <c r="E2489">
        <v>368199877</v>
      </c>
      <c r="F2489">
        <v>256550917</v>
      </c>
      <c r="G2489">
        <v>233018981</v>
      </c>
      <c r="H2489">
        <v>180610469</v>
      </c>
      <c r="I2489">
        <v>156242846</v>
      </c>
      <c r="J2489">
        <v>110084608</v>
      </c>
      <c r="K2489">
        <v>70427569</v>
      </c>
      <c r="L2489">
        <v>79754929</v>
      </c>
      <c r="M2489">
        <v>130687820</v>
      </c>
      <c r="N2489">
        <v>189783806</v>
      </c>
      <c r="O2489">
        <v>286496115</v>
      </c>
      <c r="P2489">
        <v>127</v>
      </c>
      <c r="Q2489" t="s">
        <v>5310</v>
      </c>
    </row>
    <row r="2490" spans="1:17" x14ac:dyDescent="0.3">
      <c r="A2490" t="s">
        <v>17</v>
      </c>
      <c r="B2490" t="str">
        <f>"688199"</f>
        <v>688199</v>
      </c>
      <c r="C2490" t="s">
        <v>5311</v>
      </c>
      <c r="D2490" t="s">
        <v>292</v>
      </c>
      <c r="E2490">
        <v>367953548</v>
      </c>
      <c r="F2490">
        <v>223821164</v>
      </c>
      <c r="G2490">
        <v>195487146</v>
      </c>
      <c r="H2490">
        <v>277508705</v>
      </c>
      <c r="I2490">
        <v>321887330</v>
      </c>
      <c r="P2490">
        <v>94</v>
      </c>
      <c r="Q2490" t="s">
        <v>5312</v>
      </c>
    </row>
    <row r="2491" spans="1:17" x14ac:dyDescent="0.3">
      <c r="A2491" t="s">
        <v>17</v>
      </c>
      <c r="B2491" t="str">
        <f>"605288"</f>
        <v>605288</v>
      </c>
      <c r="C2491" t="s">
        <v>5313</v>
      </c>
      <c r="D2491" t="s">
        <v>1352</v>
      </c>
      <c r="E2491">
        <v>367649302</v>
      </c>
      <c r="F2491">
        <v>427181315</v>
      </c>
      <c r="G2491">
        <v>283088762</v>
      </c>
      <c r="H2491">
        <v>268032912</v>
      </c>
      <c r="P2491">
        <v>86</v>
      </c>
      <c r="Q2491" t="s">
        <v>5314</v>
      </c>
    </row>
    <row r="2492" spans="1:17" x14ac:dyDescent="0.3">
      <c r="A2492" t="s">
        <v>75</v>
      </c>
      <c r="B2492" t="str">
        <f>"300406"</f>
        <v>300406</v>
      </c>
      <c r="C2492" t="s">
        <v>5315</v>
      </c>
      <c r="D2492" t="s">
        <v>967</v>
      </c>
      <c r="E2492">
        <v>366853817</v>
      </c>
      <c r="F2492">
        <v>284208584</v>
      </c>
      <c r="G2492">
        <v>145113832</v>
      </c>
      <c r="H2492">
        <v>163417724</v>
      </c>
      <c r="I2492">
        <v>153114640</v>
      </c>
      <c r="J2492">
        <v>135946540</v>
      </c>
      <c r="K2492">
        <v>129074666</v>
      </c>
      <c r="L2492">
        <v>109486107</v>
      </c>
      <c r="M2492">
        <v>101983065</v>
      </c>
      <c r="P2492">
        <v>14630</v>
      </c>
      <c r="Q2492" t="s">
        <v>5316</v>
      </c>
    </row>
    <row r="2493" spans="1:17" x14ac:dyDescent="0.3">
      <c r="A2493" t="s">
        <v>17</v>
      </c>
      <c r="B2493" t="str">
        <f>"603000"</f>
        <v>603000</v>
      </c>
      <c r="C2493" t="s">
        <v>5317</v>
      </c>
      <c r="D2493" t="s">
        <v>5291</v>
      </c>
      <c r="E2493">
        <v>366715212</v>
      </c>
      <c r="F2493">
        <v>417908204</v>
      </c>
      <c r="G2493">
        <v>317984185</v>
      </c>
      <c r="H2493">
        <v>337039887</v>
      </c>
      <c r="I2493">
        <v>286425320</v>
      </c>
      <c r="J2493">
        <v>312981565</v>
      </c>
      <c r="K2493">
        <v>287072813</v>
      </c>
      <c r="L2493">
        <v>362002263</v>
      </c>
      <c r="M2493">
        <v>277720560</v>
      </c>
      <c r="N2493">
        <v>136374663</v>
      </c>
      <c r="O2493">
        <v>61534297</v>
      </c>
      <c r="P2493">
        <v>323</v>
      </c>
      <c r="Q2493" t="s">
        <v>5318</v>
      </c>
    </row>
    <row r="2494" spans="1:17" x14ac:dyDescent="0.3">
      <c r="A2494" t="s">
        <v>17</v>
      </c>
      <c r="B2494" t="str">
        <f>"600220"</f>
        <v>600220</v>
      </c>
      <c r="C2494" t="s">
        <v>5319</v>
      </c>
      <c r="D2494" t="s">
        <v>2832</v>
      </c>
      <c r="E2494">
        <v>366674052</v>
      </c>
      <c r="F2494">
        <v>466288314</v>
      </c>
      <c r="G2494">
        <v>346489344</v>
      </c>
      <c r="H2494">
        <v>575477243</v>
      </c>
      <c r="I2494">
        <v>116042654</v>
      </c>
      <c r="J2494">
        <v>340188088</v>
      </c>
      <c r="K2494">
        <v>595476659</v>
      </c>
      <c r="L2494">
        <v>517135158</v>
      </c>
      <c r="M2494">
        <v>568390695</v>
      </c>
      <c r="N2494">
        <v>596549074</v>
      </c>
      <c r="O2494">
        <v>909172977</v>
      </c>
      <c r="P2494">
        <v>118</v>
      </c>
      <c r="Q2494" t="s">
        <v>5320</v>
      </c>
    </row>
    <row r="2495" spans="1:17" x14ac:dyDescent="0.3">
      <c r="A2495" t="s">
        <v>75</v>
      </c>
      <c r="B2495" t="str">
        <f>"300827"</f>
        <v>300827</v>
      </c>
      <c r="C2495" t="s">
        <v>5321</v>
      </c>
      <c r="D2495" t="s">
        <v>862</v>
      </c>
      <c r="E2495">
        <v>366589909</v>
      </c>
      <c r="F2495">
        <v>110117346</v>
      </c>
      <c r="G2495">
        <v>165674477</v>
      </c>
      <c r="H2495">
        <v>106543558</v>
      </c>
      <c r="P2495">
        <v>233</v>
      </c>
      <c r="Q2495" t="s">
        <v>5322</v>
      </c>
    </row>
    <row r="2496" spans="1:17" x14ac:dyDescent="0.3">
      <c r="A2496" t="s">
        <v>17</v>
      </c>
      <c r="B2496" t="str">
        <f>"603322"</f>
        <v>603322</v>
      </c>
      <c r="C2496" t="s">
        <v>5323</v>
      </c>
      <c r="D2496" t="s">
        <v>1647</v>
      </c>
      <c r="E2496">
        <v>366487772</v>
      </c>
      <c r="F2496">
        <v>342390040</v>
      </c>
      <c r="G2496">
        <v>226025044</v>
      </c>
      <c r="H2496">
        <v>309934654</v>
      </c>
      <c r="I2496">
        <v>158173353</v>
      </c>
      <c r="J2496">
        <v>136428956</v>
      </c>
      <c r="K2496">
        <v>102979334</v>
      </c>
      <c r="L2496">
        <v>104693619</v>
      </c>
      <c r="P2496">
        <v>184</v>
      </c>
      <c r="Q2496" t="s">
        <v>5324</v>
      </c>
    </row>
    <row r="2497" spans="1:17" x14ac:dyDescent="0.3">
      <c r="A2497" t="s">
        <v>17</v>
      </c>
      <c r="B2497" t="str">
        <f>"603089"</f>
        <v>603089</v>
      </c>
      <c r="C2497" t="s">
        <v>5325</v>
      </c>
      <c r="D2497" t="s">
        <v>172</v>
      </c>
      <c r="E2497">
        <v>365411791</v>
      </c>
      <c r="F2497">
        <v>301056158</v>
      </c>
      <c r="G2497">
        <v>264915960</v>
      </c>
      <c r="H2497">
        <v>275787634</v>
      </c>
      <c r="I2497">
        <v>174370868</v>
      </c>
      <c r="J2497">
        <v>175925188</v>
      </c>
      <c r="K2497">
        <v>120783909</v>
      </c>
      <c r="P2497">
        <v>111</v>
      </c>
      <c r="Q2497" t="s">
        <v>5326</v>
      </c>
    </row>
    <row r="2498" spans="1:17" x14ac:dyDescent="0.3">
      <c r="A2498" t="s">
        <v>75</v>
      </c>
      <c r="B2498" t="str">
        <f>"300441"</f>
        <v>300441</v>
      </c>
      <c r="C2498" t="s">
        <v>5327</v>
      </c>
      <c r="D2498" t="s">
        <v>1424</v>
      </c>
      <c r="E2498">
        <v>365398918</v>
      </c>
      <c r="F2498">
        <v>464268899</v>
      </c>
      <c r="G2498">
        <v>265266376</v>
      </c>
      <c r="H2498">
        <v>284253219</v>
      </c>
      <c r="I2498">
        <v>240768266</v>
      </c>
      <c r="J2498">
        <v>166242203</v>
      </c>
      <c r="K2498">
        <v>78055878</v>
      </c>
      <c r="L2498">
        <v>58453343</v>
      </c>
      <c r="M2498">
        <v>55387293</v>
      </c>
      <c r="P2498">
        <v>96</v>
      </c>
      <c r="Q2498" t="s">
        <v>5328</v>
      </c>
    </row>
    <row r="2499" spans="1:17" x14ac:dyDescent="0.3">
      <c r="A2499" t="s">
        <v>75</v>
      </c>
      <c r="B2499" t="str">
        <f>"002012"</f>
        <v>002012</v>
      </c>
      <c r="C2499" t="s">
        <v>5329</v>
      </c>
      <c r="D2499" t="s">
        <v>2183</v>
      </c>
      <c r="E2499">
        <v>365197049</v>
      </c>
      <c r="F2499">
        <v>439618398</v>
      </c>
      <c r="G2499">
        <v>243233998</v>
      </c>
      <c r="H2499">
        <v>241885273</v>
      </c>
      <c r="I2499">
        <v>243387822</v>
      </c>
      <c r="J2499">
        <v>191158049</v>
      </c>
      <c r="K2499">
        <v>176234956</v>
      </c>
      <c r="L2499">
        <v>172530159</v>
      </c>
      <c r="M2499">
        <v>195240443</v>
      </c>
      <c r="N2499">
        <v>143098793</v>
      </c>
      <c r="O2499">
        <v>165418314</v>
      </c>
      <c r="P2499">
        <v>131</v>
      </c>
      <c r="Q2499" t="s">
        <v>5330</v>
      </c>
    </row>
    <row r="2500" spans="1:17" x14ac:dyDescent="0.3">
      <c r="A2500" t="s">
        <v>17</v>
      </c>
      <c r="B2500" t="str">
        <f>"600794"</f>
        <v>600794</v>
      </c>
      <c r="C2500" t="s">
        <v>5331</v>
      </c>
      <c r="D2500" t="s">
        <v>331</v>
      </c>
      <c r="E2500">
        <v>364261275</v>
      </c>
      <c r="F2500">
        <v>814575935</v>
      </c>
      <c r="G2500">
        <v>356865087</v>
      </c>
      <c r="H2500">
        <v>293912250</v>
      </c>
      <c r="I2500">
        <v>379215718</v>
      </c>
      <c r="J2500">
        <v>226821619</v>
      </c>
      <c r="K2500">
        <v>111296230</v>
      </c>
      <c r="L2500">
        <v>323299960</v>
      </c>
      <c r="M2500">
        <v>102230586</v>
      </c>
      <c r="N2500">
        <v>90578856</v>
      </c>
      <c r="O2500">
        <v>76868702</v>
      </c>
      <c r="P2500">
        <v>100</v>
      </c>
      <c r="Q2500" t="s">
        <v>5332</v>
      </c>
    </row>
    <row r="2501" spans="1:17" x14ac:dyDescent="0.3">
      <c r="A2501" t="s">
        <v>17</v>
      </c>
      <c r="B2501" t="str">
        <f>"603115"</f>
        <v>603115</v>
      </c>
      <c r="C2501" t="s">
        <v>5333</v>
      </c>
      <c r="D2501" t="s">
        <v>96</v>
      </c>
      <c r="E2501">
        <v>363613493</v>
      </c>
      <c r="F2501">
        <v>280074965</v>
      </c>
      <c r="G2501">
        <v>214964545</v>
      </c>
      <c r="H2501">
        <v>0</v>
      </c>
      <c r="I2501">
        <v>0</v>
      </c>
      <c r="P2501">
        <v>88</v>
      </c>
      <c r="Q2501" t="s">
        <v>5334</v>
      </c>
    </row>
    <row r="2502" spans="1:17" x14ac:dyDescent="0.3">
      <c r="A2502" t="s">
        <v>17</v>
      </c>
      <c r="B2502" t="str">
        <f>"603506"</f>
        <v>603506</v>
      </c>
      <c r="C2502" t="s">
        <v>5335</v>
      </c>
      <c r="D2502" t="s">
        <v>1742</v>
      </c>
      <c r="E2502">
        <v>363562857</v>
      </c>
      <c r="F2502">
        <v>319763225</v>
      </c>
      <c r="G2502">
        <v>342324310</v>
      </c>
      <c r="H2502">
        <v>322415837</v>
      </c>
      <c r="I2502">
        <v>255256822</v>
      </c>
      <c r="J2502">
        <v>210058550</v>
      </c>
      <c r="P2502">
        <v>355</v>
      </c>
      <c r="Q2502" t="s">
        <v>5336</v>
      </c>
    </row>
    <row r="2503" spans="1:17" x14ac:dyDescent="0.3">
      <c r="A2503" t="s">
        <v>75</v>
      </c>
      <c r="B2503" t="str">
        <f>"002724"</f>
        <v>002724</v>
      </c>
      <c r="C2503" t="s">
        <v>5337</v>
      </c>
      <c r="D2503" t="s">
        <v>221</v>
      </c>
      <c r="E2503">
        <v>363412035</v>
      </c>
      <c r="F2503">
        <v>377110965</v>
      </c>
      <c r="G2503">
        <v>245987191</v>
      </c>
      <c r="H2503">
        <v>307760150</v>
      </c>
      <c r="I2503">
        <v>282049778</v>
      </c>
      <c r="J2503">
        <v>252372353</v>
      </c>
      <c r="K2503">
        <v>246614062</v>
      </c>
      <c r="L2503">
        <v>263282379</v>
      </c>
      <c r="M2503">
        <v>326162440</v>
      </c>
      <c r="P2503">
        <v>139</v>
      </c>
      <c r="Q2503" t="s">
        <v>5338</v>
      </c>
    </row>
    <row r="2504" spans="1:17" x14ac:dyDescent="0.3">
      <c r="A2504" t="s">
        <v>75</v>
      </c>
      <c r="B2504" t="str">
        <f>"002789"</f>
        <v>002789</v>
      </c>
      <c r="C2504" t="s">
        <v>5339</v>
      </c>
      <c r="D2504" t="s">
        <v>707</v>
      </c>
      <c r="E2504">
        <v>362516616</v>
      </c>
      <c r="F2504">
        <v>538912429</v>
      </c>
      <c r="G2504">
        <v>414543428</v>
      </c>
      <c r="H2504">
        <v>745881207</v>
      </c>
      <c r="I2504">
        <v>860010730</v>
      </c>
      <c r="J2504">
        <v>752455820</v>
      </c>
      <c r="K2504">
        <v>350077522</v>
      </c>
      <c r="L2504">
        <v>358512300</v>
      </c>
      <c r="P2504">
        <v>57</v>
      </c>
      <c r="Q2504" t="s">
        <v>5340</v>
      </c>
    </row>
    <row r="2505" spans="1:17" x14ac:dyDescent="0.3">
      <c r="A2505" t="s">
        <v>75</v>
      </c>
      <c r="B2505" t="str">
        <f>"301085"</f>
        <v>301085</v>
      </c>
      <c r="C2505" t="s">
        <v>5341</v>
      </c>
      <c r="D2505" t="s">
        <v>224</v>
      </c>
      <c r="E2505">
        <v>362033165</v>
      </c>
      <c r="P2505">
        <v>16</v>
      </c>
      <c r="Q2505" t="s">
        <v>5342</v>
      </c>
    </row>
    <row r="2506" spans="1:17" x14ac:dyDescent="0.3">
      <c r="A2506" t="s">
        <v>75</v>
      </c>
      <c r="B2506" t="str">
        <f>"300420"</f>
        <v>300420</v>
      </c>
      <c r="C2506" t="s">
        <v>5343</v>
      </c>
      <c r="D2506" t="s">
        <v>1424</v>
      </c>
      <c r="E2506">
        <v>361621597</v>
      </c>
      <c r="F2506">
        <v>317244504</v>
      </c>
      <c r="G2506">
        <v>253601264</v>
      </c>
      <c r="H2506">
        <v>237981926</v>
      </c>
      <c r="I2506">
        <v>176035819</v>
      </c>
      <c r="J2506">
        <v>119361114</v>
      </c>
      <c r="K2506">
        <v>121173130</v>
      </c>
      <c r="L2506">
        <v>45809392</v>
      </c>
      <c r="M2506">
        <v>24908177</v>
      </c>
      <c r="P2506">
        <v>146</v>
      </c>
      <c r="Q2506" t="s">
        <v>5344</v>
      </c>
    </row>
    <row r="2507" spans="1:17" x14ac:dyDescent="0.3">
      <c r="A2507" t="s">
        <v>75</v>
      </c>
      <c r="B2507" t="str">
        <f>"300788"</f>
        <v>300788</v>
      </c>
      <c r="C2507" t="s">
        <v>5345</v>
      </c>
      <c r="D2507" t="s">
        <v>1703</v>
      </c>
      <c r="E2507">
        <v>361277335</v>
      </c>
      <c r="F2507">
        <v>431128915</v>
      </c>
      <c r="G2507">
        <v>286960057</v>
      </c>
      <c r="H2507">
        <v>362805127</v>
      </c>
      <c r="I2507">
        <v>0</v>
      </c>
      <c r="P2507">
        <v>347</v>
      </c>
      <c r="Q2507" t="s">
        <v>5346</v>
      </c>
    </row>
    <row r="2508" spans="1:17" x14ac:dyDescent="0.3">
      <c r="A2508" t="s">
        <v>75</v>
      </c>
      <c r="B2508" t="str">
        <f>"300814"</f>
        <v>300814</v>
      </c>
      <c r="C2508" t="s">
        <v>5347</v>
      </c>
      <c r="D2508" t="s">
        <v>567</v>
      </c>
      <c r="E2508">
        <v>361201178</v>
      </c>
      <c r="F2508">
        <v>344756230</v>
      </c>
      <c r="G2508">
        <v>267564989</v>
      </c>
      <c r="P2508">
        <v>14</v>
      </c>
      <c r="Q2508" t="s">
        <v>5348</v>
      </c>
    </row>
    <row r="2509" spans="1:17" x14ac:dyDescent="0.3">
      <c r="A2509" t="s">
        <v>75</v>
      </c>
      <c r="B2509" t="str">
        <f>"002054"</f>
        <v>002054</v>
      </c>
      <c r="C2509" t="s">
        <v>5349</v>
      </c>
      <c r="D2509" t="s">
        <v>1160</v>
      </c>
      <c r="E2509">
        <v>360524306</v>
      </c>
      <c r="F2509">
        <v>322939770</v>
      </c>
      <c r="G2509">
        <v>260052153</v>
      </c>
      <c r="H2509">
        <v>236935072</v>
      </c>
      <c r="I2509">
        <v>339695300</v>
      </c>
      <c r="J2509">
        <v>647958757</v>
      </c>
      <c r="K2509">
        <v>450158037</v>
      </c>
      <c r="L2509">
        <v>409381716</v>
      </c>
      <c r="M2509">
        <v>226893470</v>
      </c>
      <c r="N2509">
        <v>197552449</v>
      </c>
      <c r="O2509">
        <v>241453709</v>
      </c>
      <c r="P2509">
        <v>110</v>
      </c>
      <c r="Q2509" t="s">
        <v>5350</v>
      </c>
    </row>
    <row r="2510" spans="1:17" x14ac:dyDescent="0.3">
      <c r="A2510" t="s">
        <v>75</v>
      </c>
      <c r="B2510" t="str">
        <f>"002559"</f>
        <v>002559</v>
      </c>
      <c r="C2510" t="s">
        <v>5351</v>
      </c>
      <c r="D2510" t="s">
        <v>3360</v>
      </c>
      <c r="E2510">
        <v>360493433</v>
      </c>
      <c r="F2510">
        <v>384697266</v>
      </c>
      <c r="G2510">
        <v>257743745</v>
      </c>
      <c r="H2510">
        <v>262837184</v>
      </c>
      <c r="I2510">
        <v>170528405</v>
      </c>
      <c r="J2510">
        <v>285245715</v>
      </c>
      <c r="K2510">
        <v>231962460</v>
      </c>
      <c r="L2510">
        <v>195749607</v>
      </c>
      <c r="M2510">
        <v>198365928</v>
      </c>
      <c r="N2510">
        <v>194655615</v>
      </c>
      <c r="O2510">
        <v>191621501</v>
      </c>
      <c r="P2510">
        <v>149</v>
      </c>
      <c r="Q2510" t="s">
        <v>5352</v>
      </c>
    </row>
    <row r="2511" spans="1:17" x14ac:dyDescent="0.3">
      <c r="A2511" t="s">
        <v>75</v>
      </c>
      <c r="B2511" t="str">
        <f>"002513"</f>
        <v>002513</v>
      </c>
      <c r="C2511" t="s">
        <v>5353</v>
      </c>
      <c r="D2511" t="s">
        <v>811</v>
      </c>
      <c r="E2511">
        <v>360135831</v>
      </c>
      <c r="F2511">
        <v>357368333</v>
      </c>
      <c r="G2511">
        <v>245872038</v>
      </c>
      <c r="H2511">
        <v>322162279</v>
      </c>
      <c r="I2511">
        <v>373545847</v>
      </c>
      <c r="J2511">
        <v>377425586</v>
      </c>
      <c r="K2511">
        <v>337784607</v>
      </c>
      <c r="L2511">
        <v>344576922</v>
      </c>
      <c r="M2511">
        <v>366296397</v>
      </c>
      <c r="N2511">
        <v>393419163</v>
      </c>
      <c r="O2511">
        <v>342077639</v>
      </c>
      <c r="P2511">
        <v>46</v>
      </c>
      <c r="Q2511" t="s">
        <v>5354</v>
      </c>
    </row>
    <row r="2512" spans="1:17" x14ac:dyDescent="0.3">
      <c r="A2512" t="s">
        <v>17</v>
      </c>
      <c r="B2512" t="str">
        <f>"603095"</f>
        <v>603095</v>
      </c>
      <c r="C2512" t="s">
        <v>5355</v>
      </c>
      <c r="D2512" t="s">
        <v>2265</v>
      </c>
      <c r="E2512">
        <v>359570972</v>
      </c>
      <c r="F2512">
        <v>255889870</v>
      </c>
      <c r="G2512">
        <v>155159223</v>
      </c>
      <c r="H2512">
        <v>295811082</v>
      </c>
      <c r="P2512">
        <v>64</v>
      </c>
      <c r="Q2512" t="s">
        <v>5356</v>
      </c>
    </row>
    <row r="2513" spans="1:17" x14ac:dyDescent="0.3">
      <c r="A2513" t="s">
        <v>75</v>
      </c>
      <c r="B2513" t="str">
        <f>"001216"</f>
        <v>001216</v>
      </c>
      <c r="C2513" t="s">
        <v>5357</v>
      </c>
      <c r="D2513" t="s">
        <v>1192</v>
      </c>
      <c r="E2513">
        <v>359567188</v>
      </c>
      <c r="F2513">
        <v>227916437</v>
      </c>
      <c r="P2513">
        <v>19</v>
      </c>
      <c r="Q2513" t="s">
        <v>5358</v>
      </c>
    </row>
    <row r="2514" spans="1:17" x14ac:dyDescent="0.3">
      <c r="A2514" t="s">
        <v>75</v>
      </c>
      <c r="B2514" t="str">
        <f>"002647"</f>
        <v>002647</v>
      </c>
      <c r="C2514" t="s">
        <v>5359</v>
      </c>
      <c r="D2514" t="s">
        <v>2162</v>
      </c>
      <c r="E2514">
        <v>359408196</v>
      </c>
      <c r="F2514">
        <v>432418672</v>
      </c>
      <c r="G2514">
        <v>578554262</v>
      </c>
      <c r="H2514">
        <v>334321100</v>
      </c>
      <c r="I2514">
        <v>272876843</v>
      </c>
      <c r="J2514">
        <v>30499906</v>
      </c>
      <c r="K2514">
        <v>1469298112</v>
      </c>
      <c r="L2514">
        <v>1313873080</v>
      </c>
      <c r="M2514">
        <v>1063529163</v>
      </c>
      <c r="N2514">
        <v>803976813</v>
      </c>
      <c r="O2514">
        <v>887692685</v>
      </c>
      <c r="P2514">
        <v>180</v>
      </c>
      <c r="Q2514" t="s">
        <v>5360</v>
      </c>
    </row>
    <row r="2515" spans="1:17" x14ac:dyDescent="0.3">
      <c r="A2515" t="s">
        <v>75</v>
      </c>
      <c r="B2515" t="str">
        <f>"300988"</f>
        <v>300988</v>
      </c>
      <c r="C2515" t="s">
        <v>5361</v>
      </c>
      <c r="D2515" t="s">
        <v>1624</v>
      </c>
      <c r="E2515">
        <v>359286307</v>
      </c>
      <c r="F2515">
        <v>299158093</v>
      </c>
      <c r="G2515">
        <v>257534716</v>
      </c>
      <c r="P2515">
        <v>20</v>
      </c>
      <c r="Q2515" t="s">
        <v>5362</v>
      </c>
    </row>
    <row r="2516" spans="1:17" x14ac:dyDescent="0.3">
      <c r="A2516" t="s">
        <v>17</v>
      </c>
      <c r="B2516" t="str">
        <f>"603191"</f>
        <v>603191</v>
      </c>
      <c r="C2516" t="s">
        <v>5363</v>
      </c>
      <c r="E2516">
        <v>359011544</v>
      </c>
      <c r="P2516">
        <v>5</v>
      </c>
      <c r="Q2516" t="s">
        <v>5364</v>
      </c>
    </row>
    <row r="2517" spans="1:17" x14ac:dyDescent="0.3">
      <c r="A2517" t="s">
        <v>75</v>
      </c>
      <c r="B2517" t="str">
        <f>"002658"</f>
        <v>002658</v>
      </c>
      <c r="C2517" t="s">
        <v>5365</v>
      </c>
      <c r="D2517" t="s">
        <v>1642</v>
      </c>
      <c r="E2517">
        <v>358321836</v>
      </c>
      <c r="F2517">
        <v>246824042</v>
      </c>
      <c r="G2517">
        <v>146770844</v>
      </c>
      <c r="H2517">
        <v>233199513</v>
      </c>
      <c r="I2517">
        <v>228486048</v>
      </c>
      <c r="J2517">
        <v>259466291</v>
      </c>
      <c r="K2517">
        <v>209419234</v>
      </c>
      <c r="L2517">
        <v>215475248</v>
      </c>
      <c r="M2517">
        <v>158753664</v>
      </c>
      <c r="N2517">
        <v>105913453</v>
      </c>
      <c r="O2517">
        <v>65708153</v>
      </c>
      <c r="P2517">
        <v>231</v>
      </c>
      <c r="Q2517" t="s">
        <v>5366</v>
      </c>
    </row>
    <row r="2518" spans="1:17" x14ac:dyDescent="0.3">
      <c r="A2518" t="s">
        <v>17</v>
      </c>
      <c r="B2518" t="str">
        <f>"603009"</f>
        <v>603009</v>
      </c>
      <c r="C2518" t="s">
        <v>5367</v>
      </c>
      <c r="D2518" t="s">
        <v>172</v>
      </c>
      <c r="E2518">
        <v>357995107</v>
      </c>
      <c r="F2518">
        <v>392868059</v>
      </c>
      <c r="G2518">
        <v>288086479</v>
      </c>
      <c r="H2518">
        <v>255145536</v>
      </c>
      <c r="I2518">
        <v>266800537</v>
      </c>
      <c r="J2518">
        <v>264829469</v>
      </c>
      <c r="K2518">
        <v>195255319</v>
      </c>
      <c r="L2518">
        <v>225350852</v>
      </c>
      <c r="M2518">
        <v>170435484</v>
      </c>
      <c r="P2518">
        <v>84</v>
      </c>
      <c r="Q2518" t="s">
        <v>5368</v>
      </c>
    </row>
    <row r="2519" spans="1:17" x14ac:dyDescent="0.3">
      <c r="A2519" t="s">
        <v>17</v>
      </c>
      <c r="B2519" t="str">
        <f>"603266"</f>
        <v>603266</v>
      </c>
      <c r="C2519" t="s">
        <v>5369</v>
      </c>
      <c r="D2519" t="s">
        <v>3251</v>
      </c>
      <c r="E2519">
        <v>357307338</v>
      </c>
      <c r="F2519">
        <v>310870601</v>
      </c>
      <c r="G2519">
        <v>249998161</v>
      </c>
      <c r="H2519">
        <v>244571437</v>
      </c>
      <c r="I2519">
        <v>257145665</v>
      </c>
      <c r="J2519">
        <v>222035614</v>
      </c>
      <c r="K2519">
        <v>189665620</v>
      </c>
      <c r="P2519">
        <v>95</v>
      </c>
      <c r="Q2519" t="s">
        <v>5370</v>
      </c>
    </row>
    <row r="2520" spans="1:17" x14ac:dyDescent="0.3">
      <c r="A2520" t="s">
        <v>75</v>
      </c>
      <c r="B2520" t="str">
        <f>"300856"</f>
        <v>300856</v>
      </c>
      <c r="C2520" t="s">
        <v>5371</v>
      </c>
      <c r="D2520" t="s">
        <v>2758</v>
      </c>
      <c r="E2520">
        <v>356970398</v>
      </c>
      <c r="F2520">
        <v>294017882</v>
      </c>
      <c r="G2520">
        <v>299534017</v>
      </c>
      <c r="H2520">
        <v>0</v>
      </c>
      <c r="P2520">
        <v>131</v>
      </c>
      <c r="Q2520" t="s">
        <v>5372</v>
      </c>
    </row>
    <row r="2521" spans="1:17" x14ac:dyDescent="0.3">
      <c r="A2521" t="s">
        <v>75</v>
      </c>
      <c r="B2521" t="str">
        <f>"300443"</f>
        <v>300443</v>
      </c>
      <c r="C2521" t="s">
        <v>5373</v>
      </c>
      <c r="D2521" t="s">
        <v>1398</v>
      </c>
      <c r="E2521">
        <v>356848541</v>
      </c>
      <c r="F2521">
        <v>364752440</v>
      </c>
      <c r="G2521">
        <v>275341956</v>
      </c>
      <c r="H2521">
        <v>225865366</v>
      </c>
      <c r="I2521">
        <v>79570727</v>
      </c>
      <c r="J2521">
        <v>206988311</v>
      </c>
      <c r="K2521">
        <v>133292372</v>
      </c>
      <c r="L2521">
        <v>92193163</v>
      </c>
      <c r="P2521">
        <v>357</v>
      </c>
      <c r="Q2521" t="s">
        <v>5374</v>
      </c>
    </row>
    <row r="2522" spans="1:17" x14ac:dyDescent="0.3">
      <c r="A2522" t="s">
        <v>17</v>
      </c>
      <c r="B2522" t="str">
        <f>"603888"</f>
        <v>603888</v>
      </c>
      <c r="C2522" t="s">
        <v>5375</v>
      </c>
      <c r="D2522" t="s">
        <v>5291</v>
      </c>
      <c r="E2522">
        <v>356756688</v>
      </c>
      <c r="F2522">
        <v>237833672</v>
      </c>
      <c r="G2522">
        <v>292086165</v>
      </c>
      <c r="H2522">
        <v>259017192</v>
      </c>
      <c r="I2522">
        <v>254363901</v>
      </c>
      <c r="J2522">
        <v>231724895</v>
      </c>
      <c r="K2522">
        <v>198731040</v>
      </c>
      <c r="P2522">
        <v>227</v>
      </c>
      <c r="Q2522" t="s">
        <v>5376</v>
      </c>
    </row>
    <row r="2523" spans="1:17" x14ac:dyDescent="0.3">
      <c r="A2523" t="s">
        <v>75</v>
      </c>
      <c r="B2523" t="str">
        <f>"002991"</f>
        <v>002991</v>
      </c>
      <c r="C2523" t="s">
        <v>5377</v>
      </c>
      <c r="D2523" t="s">
        <v>1268</v>
      </c>
      <c r="E2523">
        <v>356615332</v>
      </c>
      <c r="F2523">
        <v>374727224</v>
      </c>
      <c r="G2523">
        <v>231150155</v>
      </c>
      <c r="H2523">
        <v>253095563</v>
      </c>
      <c r="P2523">
        <v>211</v>
      </c>
      <c r="Q2523" t="s">
        <v>5378</v>
      </c>
    </row>
    <row r="2524" spans="1:17" x14ac:dyDescent="0.3">
      <c r="A2524" t="s">
        <v>17</v>
      </c>
      <c r="B2524" t="str">
        <f>"603638"</f>
        <v>603638</v>
      </c>
      <c r="C2524" t="s">
        <v>5379</v>
      </c>
      <c r="D2524" t="s">
        <v>1966</v>
      </c>
      <c r="E2524">
        <v>356440958</v>
      </c>
      <c r="F2524">
        <v>388425083</v>
      </c>
      <c r="G2524">
        <v>166513417</v>
      </c>
      <c r="H2524">
        <v>168707447</v>
      </c>
      <c r="I2524">
        <v>129897986</v>
      </c>
      <c r="J2524">
        <v>85545499</v>
      </c>
      <c r="K2524">
        <v>59045948</v>
      </c>
      <c r="P2524">
        <v>665</v>
      </c>
      <c r="Q2524" t="s">
        <v>5380</v>
      </c>
    </row>
    <row r="2525" spans="1:17" x14ac:dyDescent="0.3">
      <c r="A2525" t="s">
        <v>75</v>
      </c>
      <c r="B2525" t="str">
        <f>"002810"</f>
        <v>002810</v>
      </c>
      <c r="C2525" t="s">
        <v>5381</v>
      </c>
      <c r="D2525" t="s">
        <v>292</v>
      </c>
      <c r="E2525">
        <v>356125793</v>
      </c>
      <c r="F2525">
        <v>307539161</v>
      </c>
      <c r="G2525">
        <v>243217848</v>
      </c>
      <c r="H2525">
        <v>189574640</v>
      </c>
      <c r="I2525">
        <v>225556314</v>
      </c>
      <c r="J2525">
        <v>127574171</v>
      </c>
      <c r="K2525">
        <v>103275838</v>
      </c>
      <c r="P2525">
        <v>419</v>
      </c>
      <c r="Q2525" t="s">
        <v>5382</v>
      </c>
    </row>
    <row r="2526" spans="1:17" x14ac:dyDescent="0.3">
      <c r="A2526" t="s">
        <v>17</v>
      </c>
      <c r="B2526" t="str">
        <f>"600222"</f>
        <v>600222</v>
      </c>
      <c r="C2526" t="s">
        <v>5383</v>
      </c>
      <c r="D2526" t="s">
        <v>321</v>
      </c>
      <c r="E2526">
        <v>355724549</v>
      </c>
      <c r="F2526">
        <v>308722604</v>
      </c>
      <c r="G2526">
        <v>419329921</v>
      </c>
      <c r="H2526">
        <v>258661765</v>
      </c>
      <c r="I2526">
        <v>259293547</v>
      </c>
      <c r="J2526">
        <v>226111976</v>
      </c>
      <c r="K2526">
        <v>196889025</v>
      </c>
      <c r="L2526">
        <v>176605871</v>
      </c>
      <c r="M2526">
        <v>230972308</v>
      </c>
      <c r="N2526">
        <v>222147741</v>
      </c>
      <c r="O2526">
        <v>219784965</v>
      </c>
      <c r="P2526">
        <v>132</v>
      </c>
      <c r="Q2526" t="s">
        <v>5384</v>
      </c>
    </row>
    <row r="2527" spans="1:17" x14ac:dyDescent="0.3">
      <c r="A2527" t="s">
        <v>75</v>
      </c>
      <c r="B2527" t="str">
        <f>"301061"</f>
        <v>301061</v>
      </c>
      <c r="C2527" t="s">
        <v>5385</v>
      </c>
      <c r="D2527" t="s">
        <v>1123</v>
      </c>
      <c r="E2527">
        <v>354940123</v>
      </c>
      <c r="P2527">
        <v>28</v>
      </c>
      <c r="Q2527" t="s">
        <v>5386</v>
      </c>
    </row>
    <row r="2528" spans="1:17" x14ac:dyDescent="0.3">
      <c r="A2528" t="s">
        <v>17</v>
      </c>
      <c r="B2528" t="str">
        <f>"600368"</f>
        <v>600368</v>
      </c>
      <c r="C2528" t="s">
        <v>5387</v>
      </c>
      <c r="D2528" t="s">
        <v>1248</v>
      </c>
      <c r="E2528">
        <v>354476484</v>
      </c>
      <c r="F2528">
        <v>536799909</v>
      </c>
      <c r="G2528">
        <v>354615495</v>
      </c>
      <c r="H2528">
        <v>546864886</v>
      </c>
      <c r="I2528">
        <v>402900126</v>
      </c>
      <c r="J2528">
        <v>408462729</v>
      </c>
      <c r="K2528">
        <v>314901142</v>
      </c>
      <c r="L2528">
        <v>806704507</v>
      </c>
      <c r="M2528">
        <v>611320454</v>
      </c>
      <c r="N2528">
        <v>1355437371</v>
      </c>
      <c r="O2528">
        <v>648832891</v>
      </c>
      <c r="P2528">
        <v>302</v>
      </c>
      <c r="Q2528" t="s">
        <v>5388</v>
      </c>
    </row>
    <row r="2529" spans="1:17" x14ac:dyDescent="0.3">
      <c r="A2529" t="s">
        <v>75</v>
      </c>
      <c r="B2529" t="str">
        <f>"002956"</f>
        <v>002956</v>
      </c>
      <c r="C2529" t="s">
        <v>5389</v>
      </c>
      <c r="D2529" t="s">
        <v>2178</v>
      </c>
      <c r="E2529">
        <v>354438209</v>
      </c>
      <c r="F2529">
        <v>312044524</v>
      </c>
      <c r="G2529">
        <v>178925091</v>
      </c>
      <c r="H2529">
        <v>261110201</v>
      </c>
      <c r="I2529">
        <v>225514571</v>
      </c>
      <c r="P2529">
        <v>281</v>
      </c>
      <c r="Q2529" t="s">
        <v>5390</v>
      </c>
    </row>
    <row r="2530" spans="1:17" x14ac:dyDescent="0.3">
      <c r="A2530" t="s">
        <v>75</v>
      </c>
      <c r="B2530" t="str">
        <f>"002232"</f>
        <v>002232</v>
      </c>
      <c r="C2530" t="s">
        <v>5391</v>
      </c>
      <c r="D2530" t="s">
        <v>224</v>
      </c>
      <c r="E2530">
        <v>354328408</v>
      </c>
      <c r="F2530">
        <v>241460929</v>
      </c>
      <c r="G2530">
        <v>143162213</v>
      </c>
      <c r="H2530">
        <v>377758492</v>
      </c>
      <c r="I2530">
        <v>210830902</v>
      </c>
      <c r="J2530">
        <v>199427315</v>
      </c>
      <c r="K2530">
        <v>200945798</v>
      </c>
      <c r="L2530">
        <v>298616868</v>
      </c>
      <c r="M2530">
        <v>217755686</v>
      </c>
      <c r="N2530">
        <v>195271037</v>
      </c>
      <c r="O2530">
        <v>191699972</v>
      </c>
      <c r="P2530">
        <v>247</v>
      </c>
      <c r="Q2530" t="s">
        <v>5392</v>
      </c>
    </row>
    <row r="2531" spans="1:17" x14ac:dyDescent="0.3">
      <c r="A2531" t="s">
        <v>75</v>
      </c>
      <c r="B2531" t="str">
        <f>"301193"</f>
        <v>301193</v>
      </c>
      <c r="C2531" t="s">
        <v>5393</v>
      </c>
      <c r="D2531" t="s">
        <v>1192</v>
      </c>
      <c r="E2531">
        <v>354122461</v>
      </c>
      <c r="P2531">
        <v>15</v>
      </c>
      <c r="Q2531" t="s">
        <v>5394</v>
      </c>
    </row>
    <row r="2532" spans="1:17" x14ac:dyDescent="0.3">
      <c r="A2532" t="s">
        <v>75</v>
      </c>
      <c r="B2532" t="str">
        <f>"002677"</f>
        <v>002677</v>
      </c>
      <c r="C2532" t="s">
        <v>5395</v>
      </c>
      <c r="D2532" t="s">
        <v>1680</v>
      </c>
      <c r="E2532">
        <v>352298596</v>
      </c>
      <c r="F2532">
        <v>421193026</v>
      </c>
      <c r="G2532">
        <v>83566205</v>
      </c>
      <c r="H2532">
        <v>313732238</v>
      </c>
      <c r="I2532">
        <v>244345695</v>
      </c>
      <c r="J2532">
        <v>223450940</v>
      </c>
      <c r="K2532">
        <v>89434085</v>
      </c>
      <c r="L2532">
        <v>59495737</v>
      </c>
      <c r="M2532">
        <v>49207383</v>
      </c>
      <c r="N2532">
        <v>41534995</v>
      </c>
      <c r="O2532">
        <v>61976889</v>
      </c>
      <c r="P2532">
        <v>4536</v>
      </c>
      <c r="Q2532" t="s">
        <v>5396</v>
      </c>
    </row>
    <row r="2533" spans="1:17" x14ac:dyDescent="0.3">
      <c r="A2533" t="s">
        <v>75</v>
      </c>
      <c r="B2533" t="str">
        <f>"002719"</f>
        <v>002719</v>
      </c>
      <c r="C2533" t="s">
        <v>5397</v>
      </c>
      <c r="D2533" t="s">
        <v>215</v>
      </c>
      <c r="E2533">
        <v>352245537</v>
      </c>
      <c r="F2533">
        <v>228556426</v>
      </c>
      <c r="G2533">
        <v>181018034</v>
      </c>
      <c r="H2533">
        <v>136800049</v>
      </c>
      <c r="I2533">
        <v>137746275</v>
      </c>
      <c r="J2533">
        <v>131276152</v>
      </c>
      <c r="K2533">
        <v>125871290</v>
      </c>
      <c r="L2533">
        <v>91116435</v>
      </c>
      <c r="M2533">
        <v>107281635</v>
      </c>
      <c r="N2533">
        <v>98750296</v>
      </c>
      <c r="P2533">
        <v>97</v>
      </c>
      <c r="Q2533" t="s">
        <v>5398</v>
      </c>
    </row>
    <row r="2534" spans="1:17" x14ac:dyDescent="0.3">
      <c r="A2534" t="s">
        <v>75</v>
      </c>
      <c r="B2534" t="str">
        <f>"000096"</f>
        <v>000096</v>
      </c>
      <c r="C2534" t="s">
        <v>5399</v>
      </c>
      <c r="D2534" t="s">
        <v>559</v>
      </c>
      <c r="E2534">
        <v>351656500</v>
      </c>
      <c r="F2534">
        <v>352590507</v>
      </c>
      <c r="G2534">
        <v>319044547</v>
      </c>
      <c r="H2534">
        <v>440290875</v>
      </c>
      <c r="I2534">
        <v>453006818</v>
      </c>
      <c r="J2534">
        <v>252623808</v>
      </c>
      <c r="K2534">
        <v>250542930</v>
      </c>
      <c r="L2534">
        <v>306708133</v>
      </c>
      <c r="M2534">
        <v>258091924</v>
      </c>
      <c r="N2534">
        <v>234863711</v>
      </c>
      <c r="O2534">
        <v>319772509</v>
      </c>
      <c r="P2534">
        <v>86</v>
      </c>
      <c r="Q2534" t="s">
        <v>5400</v>
      </c>
    </row>
    <row r="2535" spans="1:17" x14ac:dyDescent="0.3">
      <c r="A2535" t="s">
        <v>75</v>
      </c>
      <c r="B2535" t="str">
        <f>"001208"</f>
        <v>001208</v>
      </c>
      <c r="C2535" t="s">
        <v>5401</v>
      </c>
      <c r="D2535" t="s">
        <v>562</v>
      </c>
      <c r="E2535">
        <v>351601102</v>
      </c>
      <c r="F2535">
        <v>225061195</v>
      </c>
      <c r="G2535">
        <v>152904236</v>
      </c>
      <c r="P2535">
        <v>66</v>
      </c>
      <c r="Q2535" t="s">
        <v>5402</v>
      </c>
    </row>
    <row r="2536" spans="1:17" x14ac:dyDescent="0.3">
      <c r="A2536" t="s">
        <v>17</v>
      </c>
      <c r="B2536" t="str">
        <f>"603538"</f>
        <v>603538</v>
      </c>
      <c r="C2536" t="s">
        <v>5403</v>
      </c>
      <c r="D2536" t="s">
        <v>1242</v>
      </c>
      <c r="E2536">
        <v>351455266</v>
      </c>
      <c r="F2536">
        <v>236104257</v>
      </c>
      <c r="G2536">
        <v>304772537</v>
      </c>
      <c r="H2536">
        <v>283728593</v>
      </c>
      <c r="I2536">
        <v>139075287</v>
      </c>
      <c r="J2536">
        <v>143928827</v>
      </c>
      <c r="K2536">
        <v>115309000</v>
      </c>
      <c r="P2536">
        <v>265</v>
      </c>
      <c r="Q2536" t="s">
        <v>5404</v>
      </c>
    </row>
    <row r="2537" spans="1:17" x14ac:dyDescent="0.3">
      <c r="A2537" t="s">
        <v>17</v>
      </c>
      <c r="B2537" t="str">
        <f>"688509"</f>
        <v>688509</v>
      </c>
      <c r="C2537" t="s">
        <v>5405</v>
      </c>
      <c r="D2537" t="s">
        <v>224</v>
      </c>
      <c r="E2537">
        <v>350379730</v>
      </c>
      <c r="F2537">
        <v>333780591</v>
      </c>
      <c r="G2537">
        <v>325727888</v>
      </c>
      <c r="P2537">
        <v>17</v>
      </c>
      <c r="Q2537" t="s">
        <v>5406</v>
      </c>
    </row>
    <row r="2538" spans="1:17" x14ac:dyDescent="0.3">
      <c r="A2538" t="s">
        <v>75</v>
      </c>
      <c r="B2538" t="str">
        <f>"000516"</f>
        <v>000516</v>
      </c>
      <c r="C2538" t="s">
        <v>5407</v>
      </c>
      <c r="D2538" t="s">
        <v>1129</v>
      </c>
      <c r="E2538">
        <v>350233145</v>
      </c>
      <c r="F2538">
        <v>592925932</v>
      </c>
      <c r="G2538">
        <v>251518670</v>
      </c>
      <c r="H2538">
        <v>211823528</v>
      </c>
      <c r="I2538">
        <v>1295777192</v>
      </c>
      <c r="J2538">
        <v>1203205325</v>
      </c>
      <c r="K2538">
        <v>1182792696</v>
      </c>
      <c r="L2538">
        <v>1221237622</v>
      </c>
      <c r="M2538">
        <v>1146418343</v>
      </c>
      <c r="N2538">
        <v>1149460528</v>
      </c>
      <c r="O2538">
        <v>1268799146</v>
      </c>
      <c r="P2538">
        <v>405</v>
      </c>
      <c r="Q2538" t="s">
        <v>5408</v>
      </c>
    </row>
    <row r="2539" spans="1:17" x14ac:dyDescent="0.3">
      <c r="A2539" t="s">
        <v>17</v>
      </c>
      <c r="B2539" t="str">
        <f>"688518"</f>
        <v>688518</v>
      </c>
      <c r="C2539" t="s">
        <v>5409</v>
      </c>
      <c r="D2539" t="s">
        <v>1497</v>
      </c>
      <c r="E2539">
        <v>350024931</v>
      </c>
      <c r="F2539">
        <v>237069207</v>
      </c>
      <c r="G2539">
        <v>98302499</v>
      </c>
      <c r="H2539">
        <v>131957394</v>
      </c>
      <c r="P2539">
        <v>65</v>
      </c>
      <c r="Q2539" t="s">
        <v>5410</v>
      </c>
    </row>
    <row r="2540" spans="1:17" x14ac:dyDescent="0.3">
      <c r="A2540" t="s">
        <v>17</v>
      </c>
      <c r="B2540" t="str">
        <f>"603051"</f>
        <v>603051</v>
      </c>
      <c r="C2540" t="s">
        <v>5411</v>
      </c>
      <c r="E2540">
        <v>349911589</v>
      </c>
      <c r="P2540">
        <v>3</v>
      </c>
      <c r="Q2540" t="s">
        <v>5412</v>
      </c>
    </row>
    <row r="2541" spans="1:17" x14ac:dyDescent="0.3">
      <c r="A2541" t="s">
        <v>17</v>
      </c>
      <c r="B2541" t="str">
        <f>"603693"</f>
        <v>603693</v>
      </c>
      <c r="C2541" t="s">
        <v>5413</v>
      </c>
      <c r="D2541" t="s">
        <v>869</v>
      </c>
      <c r="E2541">
        <v>349700167</v>
      </c>
      <c r="F2541">
        <v>361788093</v>
      </c>
      <c r="G2541">
        <v>320623077</v>
      </c>
      <c r="H2541">
        <v>229733845</v>
      </c>
      <c r="I2541">
        <v>0</v>
      </c>
      <c r="J2541">
        <v>1404767572</v>
      </c>
      <c r="P2541">
        <v>160</v>
      </c>
      <c r="Q2541" t="s">
        <v>5414</v>
      </c>
    </row>
    <row r="2542" spans="1:17" x14ac:dyDescent="0.3">
      <c r="A2542" t="s">
        <v>17</v>
      </c>
      <c r="B2542" t="str">
        <f>"600189"</f>
        <v>600189</v>
      </c>
      <c r="C2542" t="s">
        <v>5415</v>
      </c>
      <c r="D2542" t="s">
        <v>1708</v>
      </c>
      <c r="E2542">
        <v>349684863</v>
      </c>
      <c r="F2542">
        <v>341365938</v>
      </c>
      <c r="G2542">
        <v>302615335</v>
      </c>
      <c r="H2542">
        <v>281390988</v>
      </c>
      <c r="I2542">
        <v>232951579</v>
      </c>
      <c r="J2542">
        <v>40301238</v>
      </c>
      <c r="K2542">
        <v>231124657</v>
      </c>
      <c r="L2542">
        <v>306751772</v>
      </c>
      <c r="M2542">
        <v>271892409</v>
      </c>
      <c r="N2542">
        <v>168822971</v>
      </c>
      <c r="O2542">
        <v>232322526</v>
      </c>
      <c r="P2542">
        <v>177</v>
      </c>
      <c r="Q2542" t="s">
        <v>5416</v>
      </c>
    </row>
    <row r="2543" spans="1:17" x14ac:dyDescent="0.3">
      <c r="A2543" t="s">
        <v>17</v>
      </c>
      <c r="B2543" t="str">
        <f>"605259"</f>
        <v>605259</v>
      </c>
      <c r="C2543" t="s">
        <v>5417</v>
      </c>
      <c r="D2543" t="s">
        <v>1624</v>
      </c>
      <c r="E2543">
        <v>349538947</v>
      </c>
      <c r="F2543">
        <v>366523029</v>
      </c>
      <c r="G2543">
        <v>202879105</v>
      </c>
      <c r="P2543">
        <v>17</v>
      </c>
      <c r="Q2543" t="s">
        <v>5418</v>
      </c>
    </row>
    <row r="2544" spans="1:17" x14ac:dyDescent="0.3">
      <c r="A2544" t="s">
        <v>17</v>
      </c>
      <c r="B2544" t="str">
        <f>"600844"</f>
        <v>600844</v>
      </c>
      <c r="C2544" t="s">
        <v>5419</v>
      </c>
      <c r="D2544" t="s">
        <v>589</v>
      </c>
      <c r="E2544">
        <v>349161901</v>
      </c>
      <c r="F2544">
        <v>301274029</v>
      </c>
      <c r="G2544">
        <v>242881042</v>
      </c>
      <c r="H2544">
        <v>317573793</v>
      </c>
      <c r="I2544">
        <v>494602674</v>
      </c>
      <c r="J2544">
        <v>359600091</v>
      </c>
      <c r="K2544">
        <v>195536520</v>
      </c>
      <c r="L2544">
        <v>313687219</v>
      </c>
      <c r="M2544">
        <v>231421219</v>
      </c>
      <c r="N2544">
        <v>108763019</v>
      </c>
      <c r="O2544">
        <v>340025629</v>
      </c>
      <c r="P2544">
        <v>106</v>
      </c>
      <c r="Q2544" t="s">
        <v>5420</v>
      </c>
    </row>
    <row r="2545" spans="1:17" x14ac:dyDescent="0.3">
      <c r="A2545" t="s">
        <v>17</v>
      </c>
      <c r="B2545" t="str">
        <f>"600118"</f>
        <v>600118</v>
      </c>
      <c r="C2545" t="s">
        <v>5421</v>
      </c>
      <c r="D2545" t="s">
        <v>2083</v>
      </c>
      <c r="E2545">
        <v>349012360</v>
      </c>
      <c r="F2545">
        <v>486833083</v>
      </c>
      <c r="G2545">
        <v>608984416</v>
      </c>
      <c r="H2545">
        <v>207856803</v>
      </c>
      <c r="I2545">
        <v>575796221</v>
      </c>
      <c r="J2545">
        <v>327848580</v>
      </c>
      <c r="K2545">
        <v>330771417</v>
      </c>
      <c r="L2545">
        <v>244195437</v>
      </c>
      <c r="M2545">
        <v>229814471</v>
      </c>
      <c r="N2545">
        <v>320156776</v>
      </c>
      <c r="O2545">
        <v>270440878</v>
      </c>
      <c r="P2545">
        <v>3372</v>
      </c>
      <c r="Q2545" t="s">
        <v>5422</v>
      </c>
    </row>
    <row r="2546" spans="1:17" x14ac:dyDescent="0.3">
      <c r="A2546" t="s">
        <v>17</v>
      </c>
      <c r="B2546" t="str">
        <f>"605338"</f>
        <v>605338</v>
      </c>
      <c r="C2546" t="s">
        <v>5423</v>
      </c>
      <c r="D2546" t="s">
        <v>1312</v>
      </c>
      <c r="E2546">
        <v>348630493</v>
      </c>
      <c r="F2546">
        <v>281781821</v>
      </c>
      <c r="G2546">
        <v>140293057</v>
      </c>
      <c r="P2546">
        <v>198</v>
      </c>
      <c r="Q2546" t="s">
        <v>5424</v>
      </c>
    </row>
    <row r="2547" spans="1:17" x14ac:dyDescent="0.3">
      <c r="A2547" t="s">
        <v>75</v>
      </c>
      <c r="B2547" t="str">
        <f>"300276"</f>
        <v>300276</v>
      </c>
      <c r="C2547" t="s">
        <v>5425</v>
      </c>
      <c r="D2547" t="s">
        <v>3105</v>
      </c>
      <c r="E2547">
        <v>348587203</v>
      </c>
      <c r="F2547">
        <v>398634842</v>
      </c>
      <c r="G2547">
        <v>355010113</v>
      </c>
      <c r="H2547">
        <v>379509723</v>
      </c>
      <c r="I2547">
        <v>613064202</v>
      </c>
      <c r="J2547">
        <v>86137365</v>
      </c>
      <c r="K2547">
        <v>94925880</v>
      </c>
      <c r="L2547">
        <v>84012995</v>
      </c>
      <c r="M2547">
        <v>63060991</v>
      </c>
      <c r="N2547">
        <v>97820386</v>
      </c>
      <c r="O2547">
        <v>52134375</v>
      </c>
      <c r="P2547">
        <v>138</v>
      </c>
      <c r="Q2547" t="s">
        <v>5426</v>
      </c>
    </row>
    <row r="2548" spans="1:17" x14ac:dyDescent="0.3">
      <c r="A2548" t="s">
        <v>75</v>
      </c>
      <c r="B2548" t="str">
        <f>"300326"</f>
        <v>300326</v>
      </c>
      <c r="C2548" t="s">
        <v>5427</v>
      </c>
      <c r="D2548" t="s">
        <v>1538</v>
      </c>
      <c r="E2548">
        <v>348557949</v>
      </c>
      <c r="F2548">
        <v>358801576</v>
      </c>
      <c r="G2548">
        <v>215159494</v>
      </c>
      <c r="H2548">
        <v>251077413</v>
      </c>
      <c r="I2548">
        <v>183866463</v>
      </c>
      <c r="J2548">
        <v>120197291</v>
      </c>
      <c r="K2548">
        <v>86096028</v>
      </c>
      <c r="L2548">
        <v>77166138</v>
      </c>
      <c r="M2548">
        <v>31619867</v>
      </c>
      <c r="N2548">
        <v>22231249</v>
      </c>
      <c r="O2548">
        <v>21181436</v>
      </c>
      <c r="P2548">
        <v>854</v>
      </c>
      <c r="Q2548" t="s">
        <v>5428</v>
      </c>
    </row>
    <row r="2549" spans="1:17" x14ac:dyDescent="0.3">
      <c r="A2549" t="s">
        <v>17</v>
      </c>
      <c r="B2549" t="str">
        <f>"605598"</f>
        <v>605598</v>
      </c>
      <c r="C2549" t="s">
        <v>5429</v>
      </c>
      <c r="D2549" t="s">
        <v>52</v>
      </c>
      <c r="E2549">
        <v>348512424</v>
      </c>
      <c r="P2549">
        <v>18</v>
      </c>
      <c r="Q2549" t="s">
        <v>5430</v>
      </c>
    </row>
    <row r="2550" spans="1:17" x14ac:dyDescent="0.3">
      <c r="A2550" t="s">
        <v>75</v>
      </c>
      <c r="B2550" t="str">
        <f>"002846"</f>
        <v>002846</v>
      </c>
      <c r="C2550" t="s">
        <v>5431</v>
      </c>
      <c r="D2550" t="s">
        <v>1347</v>
      </c>
      <c r="E2550">
        <v>348392081</v>
      </c>
      <c r="F2550">
        <v>261795442</v>
      </c>
      <c r="G2550">
        <v>205038477</v>
      </c>
      <c r="H2550">
        <v>237468189</v>
      </c>
      <c r="I2550">
        <v>137890842</v>
      </c>
      <c r="J2550">
        <v>75379895</v>
      </c>
      <c r="K2550">
        <v>60747521</v>
      </c>
      <c r="P2550">
        <v>109</v>
      </c>
      <c r="Q2550" t="s">
        <v>5432</v>
      </c>
    </row>
    <row r="2551" spans="1:17" x14ac:dyDescent="0.3">
      <c r="A2551" t="s">
        <v>75</v>
      </c>
      <c r="B2551" t="str">
        <f>"300829"</f>
        <v>300829</v>
      </c>
      <c r="C2551" t="s">
        <v>5433</v>
      </c>
      <c r="D2551" t="s">
        <v>1291</v>
      </c>
      <c r="E2551">
        <v>348317821</v>
      </c>
      <c r="F2551">
        <v>325167524</v>
      </c>
      <c r="G2551">
        <v>217123487</v>
      </c>
      <c r="P2551">
        <v>125</v>
      </c>
      <c r="Q2551" t="s">
        <v>5434</v>
      </c>
    </row>
    <row r="2552" spans="1:17" x14ac:dyDescent="0.3">
      <c r="A2552" t="s">
        <v>75</v>
      </c>
      <c r="B2552" t="str">
        <f>"002238"</f>
        <v>002238</v>
      </c>
      <c r="C2552" t="s">
        <v>5435</v>
      </c>
      <c r="D2552" t="s">
        <v>1991</v>
      </c>
      <c r="E2552">
        <v>348289054</v>
      </c>
      <c r="F2552">
        <v>398221333</v>
      </c>
      <c r="G2552">
        <v>373175878</v>
      </c>
      <c r="H2552">
        <v>338614295</v>
      </c>
      <c r="I2552">
        <v>402868200</v>
      </c>
      <c r="J2552">
        <v>379245923</v>
      </c>
      <c r="K2552">
        <v>415427806</v>
      </c>
      <c r="L2552">
        <v>331220466</v>
      </c>
      <c r="M2552">
        <v>215210119</v>
      </c>
      <c r="N2552">
        <v>198291323</v>
      </c>
      <c r="O2552">
        <v>198105605</v>
      </c>
      <c r="P2552">
        <v>205</v>
      </c>
      <c r="Q2552" t="s">
        <v>5436</v>
      </c>
    </row>
    <row r="2553" spans="1:17" x14ac:dyDescent="0.3">
      <c r="A2553" t="s">
        <v>75</v>
      </c>
      <c r="B2553" t="str">
        <f>"301180"</f>
        <v>301180</v>
      </c>
      <c r="C2553" t="s">
        <v>5437</v>
      </c>
      <c r="D2553" t="s">
        <v>55</v>
      </c>
      <c r="E2553">
        <v>347929501</v>
      </c>
      <c r="P2553">
        <v>15</v>
      </c>
      <c r="Q2553" t="s">
        <v>5438</v>
      </c>
    </row>
    <row r="2554" spans="1:17" x14ac:dyDescent="0.3">
      <c r="A2554" t="s">
        <v>75</v>
      </c>
      <c r="B2554" t="str">
        <f>"003030"</f>
        <v>003030</v>
      </c>
      <c r="C2554" t="s">
        <v>5439</v>
      </c>
      <c r="D2554" t="s">
        <v>831</v>
      </c>
      <c r="E2554">
        <v>347826471</v>
      </c>
      <c r="F2554">
        <v>328249905</v>
      </c>
      <c r="G2554">
        <v>293541902</v>
      </c>
      <c r="P2554">
        <v>60</v>
      </c>
      <c r="Q2554" t="s">
        <v>5440</v>
      </c>
    </row>
    <row r="2555" spans="1:17" x14ac:dyDescent="0.3">
      <c r="A2555" t="s">
        <v>17</v>
      </c>
      <c r="B2555" t="str">
        <f>"600851"</f>
        <v>600851</v>
      </c>
      <c r="C2555" t="s">
        <v>5441</v>
      </c>
      <c r="D2555" t="s">
        <v>543</v>
      </c>
      <c r="E2555">
        <v>347428783</v>
      </c>
      <c r="F2555">
        <v>325237950</v>
      </c>
      <c r="G2555">
        <v>228736900</v>
      </c>
      <c r="H2555">
        <v>233566296</v>
      </c>
      <c r="I2555">
        <v>242289422</v>
      </c>
      <c r="J2555">
        <v>261069083</v>
      </c>
      <c r="K2555">
        <v>239352522</v>
      </c>
      <c r="L2555">
        <v>231592451</v>
      </c>
      <c r="M2555">
        <v>284666371</v>
      </c>
      <c r="N2555">
        <v>294132033</v>
      </c>
      <c r="O2555">
        <v>267872593</v>
      </c>
      <c r="P2555">
        <v>98</v>
      </c>
      <c r="Q2555" t="s">
        <v>5442</v>
      </c>
    </row>
    <row r="2556" spans="1:17" x14ac:dyDescent="0.3">
      <c r="A2556" t="s">
        <v>17</v>
      </c>
      <c r="B2556" t="str">
        <f>"600821"</f>
        <v>600821</v>
      </c>
      <c r="C2556" t="s">
        <v>5443</v>
      </c>
      <c r="D2556" t="s">
        <v>582</v>
      </c>
      <c r="E2556">
        <v>346798094</v>
      </c>
      <c r="F2556">
        <v>125991568</v>
      </c>
      <c r="G2556">
        <v>3133484</v>
      </c>
      <c r="H2556">
        <v>33502131</v>
      </c>
      <c r="I2556">
        <v>65982014</v>
      </c>
      <c r="J2556">
        <v>87335832</v>
      </c>
      <c r="K2556">
        <v>124493869</v>
      </c>
      <c r="L2556">
        <v>190626971</v>
      </c>
      <c r="M2556">
        <v>256398293</v>
      </c>
      <c r="N2556">
        <v>304485358</v>
      </c>
      <c r="O2556">
        <v>268828188</v>
      </c>
      <c r="P2556">
        <v>125</v>
      </c>
      <c r="Q2556" t="s">
        <v>5444</v>
      </c>
    </row>
    <row r="2557" spans="1:17" x14ac:dyDescent="0.3">
      <c r="A2557" t="s">
        <v>75</v>
      </c>
      <c r="B2557" t="str">
        <f>"000635"</f>
        <v>000635</v>
      </c>
      <c r="C2557" t="s">
        <v>5445</v>
      </c>
      <c r="D2557" t="s">
        <v>311</v>
      </c>
      <c r="E2557">
        <v>346783148</v>
      </c>
      <c r="F2557">
        <v>351851520</v>
      </c>
      <c r="G2557">
        <v>113102094</v>
      </c>
      <c r="H2557">
        <v>98978292</v>
      </c>
      <c r="I2557">
        <v>211681181</v>
      </c>
      <c r="J2557">
        <v>307065299</v>
      </c>
      <c r="K2557">
        <v>131702326</v>
      </c>
      <c r="L2557">
        <v>108046129</v>
      </c>
      <c r="M2557">
        <v>224287443</v>
      </c>
      <c r="N2557">
        <v>201322576</v>
      </c>
      <c r="O2557">
        <v>219553046</v>
      </c>
      <c r="P2557">
        <v>135</v>
      </c>
      <c r="Q2557" t="s">
        <v>5446</v>
      </c>
    </row>
    <row r="2558" spans="1:17" x14ac:dyDescent="0.3">
      <c r="A2558" t="s">
        <v>75</v>
      </c>
      <c r="B2558" t="str">
        <f>"000889"</f>
        <v>000889</v>
      </c>
      <c r="C2558" t="s">
        <v>5447</v>
      </c>
      <c r="D2558" t="s">
        <v>1647</v>
      </c>
      <c r="E2558">
        <v>346579235</v>
      </c>
      <c r="F2558">
        <v>574367867</v>
      </c>
      <c r="G2558">
        <v>451650145</v>
      </c>
      <c r="H2558">
        <v>802116526</v>
      </c>
      <c r="I2558">
        <v>488112815</v>
      </c>
      <c r="J2558">
        <v>332263158</v>
      </c>
      <c r="K2558">
        <v>351806088</v>
      </c>
      <c r="L2558">
        <v>686427074</v>
      </c>
      <c r="M2558">
        <v>614440360</v>
      </c>
      <c r="N2558">
        <v>732111730</v>
      </c>
      <c r="O2558">
        <v>516273083</v>
      </c>
      <c r="P2558">
        <v>157</v>
      </c>
      <c r="Q2558" t="s">
        <v>5448</v>
      </c>
    </row>
    <row r="2559" spans="1:17" x14ac:dyDescent="0.3">
      <c r="A2559" t="s">
        <v>17</v>
      </c>
      <c r="B2559" t="str">
        <f>"603586"</f>
        <v>603586</v>
      </c>
      <c r="C2559" t="s">
        <v>5449</v>
      </c>
      <c r="D2559" t="s">
        <v>172</v>
      </c>
      <c r="E2559">
        <v>346351264</v>
      </c>
      <c r="F2559">
        <v>319051756</v>
      </c>
      <c r="G2559">
        <v>419014073</v>
      </c>
      <c r="H2559">
        <v>352110146</v>
      </c>
      <c r="I2559">
        <v>361574945</v>
      </c>
      <c r="J2559">
        <v>335969982</v>
      </c>
      <c r="K2559">
        <v>274284652</v>
      </c>
      <c r="P2559">
        <v>109</v>
      </c>
      <c r="Q2559" t="s">
        <v>5450</v>
      </c>
    </row>
    <row r="2560" spans="1:17" x14ac:dyDescent="0.3">
      <c r="A2560" t="s">
        <v>17</v>
      </c>
      <c r="B2560" t="str">
        <f>"603267"</f>
        <v>603267</v>
      </c>
      <c r="C2560" t="s">
        <v>5451</v>
      </c>
      <c r="D2560" t="s">
        <v>1572</v>
      </c>
      <c r="E2560">
        <v>346306945</v>
      </c>
      <c r="F2560">
        <v>317314732</v>
      </c>
      <c r="G2560">
        <v>194605233</v>
      </c>
      <c r="H2560">
        <v>163708027</v>
      </c>
      <c r="I2560">
        <v>165966221</v>
      </c>
      <c r="P2560">
        <v>469</v>
      </c>
      <c r="Q2560" t="s">
        <v>5452</v>
      </c>
    </row>
    <row r="2561" spans="1:17" x14ac:dyDescent="0.3">
      <c r="A2561" t="s">
        <v>75</v>
      </c>
      <c r="B2561" t="str">
        <f>"300231"</f>
        <v>300231</v>
      </c>
      <c r="C2561" t="s">
        <v>5453</v>
      </c>
      <c r="D2561" t="s">
        <v>224</v>
      </c>
      <c r="E2561">
        <v>345757170</v>
      </c>
      <c r="F2561">
        <v>596595257</v>
      </c>
      <c r="G2561">
        <v>157016650</v>
      </c>
      <c r="H2561">
        <v>231292116</v>
      </c>
      <c r="I2561">
        <v>208214333</v>
      </c>
      <c r="J2561">
        <v>195310218</v>
      </c>
      <c r="K2561">
        <v>110194097</v>
      </c>
      <c r="L2561">
        <v>124001679</v>
      </c>
      <c r="M2561">
        <v>43968894</v>
      </c>
      <c r="N2561">
        <v>38227853</v>
      </c>
      <c r="O2561">
        <v>42597081</v>
      </c>
      <c r="P2561">
        <v>264</v>
      </c>
      <c r="Q2561" t="s">
        <v>5454</v>
      </c>
    </row>
    <row r="2562" spans="1:17" x14ac:dyDescent="0.3">
      <c r="A2562" t="s">
        <v>75</v>
      </c>
      <c r="B2562" t="str">
        <f>"300945"</f>
        <v>300945</v>
      </c>
      <c r="C2562" t="s">
        <v>5455</v>
      </c>
      <c r="D2562" t="s">
        <v>314</v>
      </c>
      <c r="E2562">
        <v>345658139</v>
      </c>
      <c r="F2562">
        <v>276487292</v>
      </c>
      <c r="P2562">
        <v>36</v>
      </c>
      <c r="Q2562" t="s">
        <v>5456</v>
      </c>
    </row>
    <row r="2563" spans="1:17" x14ac:dyDescent="0.3">
      <c r="A2563" t="s">
        <v>75</v>
      </c>
      <c r="B2563" t="str">
        <f>"300694"</f>
        <v>300694</v>
      </c>
      <c r="C2563" t="s">
        <v>5457</v>
      </c>
      <c r="D2563" t="s">
        <v>172</v>
      </c>
      <c r="E2563">
        <v>345621009</v>
      </c>
      <c r="F2563">
        <v>339618133</v>
      </c>
      <c r="G2563">
        <v>310921751</v>
      </c>
      <c r="H2563">
        <v>284378360</v>
      </c>
      <c r="I2563">
        <v>229801642</v>
      </c>
      <c r="P2563">
        <v>74</v>
      </c>
      <c r="Q2563" t="s">
        <v>5458</v>
      </c>
    </row>
    <row r="2564" spans="1:17" x14ac:dyDescent="0.3">
      <c r="A2564" t="s">
        <v>17</v>
      </c>
      <c r="B2564" t="str">
        <f>"600302"</f>
        <v>600302</v>
      </c>
      <c r="C2564" t="s">
        <v>5459</v>
      </c>
      <c r="D2564" t="s">
        <v>2265</v>
      </c>
      <c r="E2564">
        <v>345492091</v>
      </c>
      <c r="F2564">
        <v>525056604</v>
      </c>
      <c r="G2564">
        <v>128072926</v>
      </c>
      <c r="H2564">
        <v>128329484</v>
      </c>
      <c r="I2564">
        <v>168215916</v>
      </c>
      <c r="J2564">
        <v>175648310</v>
      </c>
      <c r="K2564">
        <v>135009519</v>
      </c>
      <c r="L2564">
        <v>158419598</v>
      </c>
      <c r="M2564">
        <v>193377724</v>
      </c>
      <c r="N2564">
        <v>179017092</v>
      </c>
      <c r="O2564">
        <v>220757637</v>
      </c>
      <c r="P2564">
        <v>51</v>
      </c>
      <c r="Q2564" t="s">
        <v>5460</v>
      </c>
    </row>
    <row r="2565" spans="1:17" x14ac:dyDescent="0.3">
      <c r="A2565" t="s">
        <v>17</v>
      </c>
      <c r="B2565" t="str">
        <f>"600439"</f>
        <v>600439</v>
      </c>
      <c r="C2565" t="s">
        <v>5461</v>
      </c>
      <c r="D2565" t="s">
        <v>4772</v>
      </c>
      <c r="E2565">
        <v>344751472</v>
      </c>
      <c r="F2565">
        <v>279162710</v>
      </c>
      <c r="G2565">
        <v>291687800</v>
      </c>
      <c r="H2565">
        <v>416517131</v>
      </c>
      <c r="I2565">
        <v>422916214</v>
      </c>
      <c r="J2565">
        <v>431908672</v>
      </c>
      <c r="K2565">
        <v>423512746</v>
      </c>
      <c r="L2565">
        <v>459504411</v>
      </c>
      <c r="M2565">
        <v>435431646</v>
      </c>
      <c r="N2565">
        <v>492647674</v>
      </c>
      <c r="O2565">
        <v>506743547</v>
      </c>
      <c r="P2565">
        <v>186</v>
      </c>
      <c r="Q2565" t="s">
        <v>5462</v>
      </c>
    </row>
    <row r="2566" spans="1:17" x14ac:dyDescent="0.3">
      <c r="A2566" t="s">
        <v>17</v>
      </c>
      <c r="B2566" t="str">
        <f>"605303"</f>
        <v>605303</v>
      </c>
      <c r="C2566" t="s">
        <v>5463</v>
      </c>
      <c r="D2566" t="s">
        <v>1523</v>
      </c>
      <c r="E2566">
        <v>344652934</v>
      </c>
      <c r="F2566">
        <v>399213348</v>
      </c>
      <c r="G2566">
        <v>344170980</v>
      </c>
      <c r="P2566">
        <v>28</v>
      </c>
      <c r="Q2566" t="s">
        <v>5464</v>
      </c>
    </row>
    <row r="2567" spans="1:17" x14ac:dyDescent="0.3">
      <c r="A2567" t="s">
        <v>75</v>
      </c>
      <c r="B2567" t="str">
        <f>"002551"</f>
        <v>002551</v>
      </c>
      <c r="C2567" t="s">
        <v>5465</v>
      </c>
      <c r="D2567" t="s">
        <v>1538</v>
      </c>
      <c r="E2567">
        <v>344438728</v>
      </c>
      <c r="F2567">
        <v>523829656</v>
      </c>
      <c r="G2567">
        <v>536904424</v>
      </c>
      <c r="H2567">
        <v>284096378</v>
      </c>
      <c r="I2567">
        <v>491285672</v>
      </c>
      <c r="J2567">
        <v>296399725</v>
      </c>
      <c r="K2567">
        <v>420115496</v>
      </c>
      <c r="L2567">
        <v>256064140</v>
      </c>
      <c r="M2567">
        <v>172179155</v>
      </c>
      <c r="N2567">
        <v>67984199</v>
      </c>
      <c r="O2567">
        <v>57739007</v>
      </c>
      <c r="P2567">
        <v>242</v>
      </c>
      <c r="Q2567" t="s">
        <v>5466</v>
      </c>
    </row>
    <row r="2568" spans="1:17" x14ac:dyDescent="0.3">
      <c r="A2568" t="s">
        <v>17</v>
      </c>
      <c r="B2568" t="str">
        <f>"603176"</f>
        <v>603176</v>
      </c>
      <c r="C2568" t="s">
        <v>5467</v>
      </c>
      <c r="D2568" t="s">
        <v>27</v>
      </c>
      <c r="E2568">
        <v>343281841</v>
      </c>
      <c r="P2568">
        <v>17</v>
      </c>
      <c r="Q2568" t="s">
        <v>5468</v>
      </c>
    </row>
    <row r="2569" spans="1:17" x14ac:dyDescent="0.3">
      <c r="A2569" t="s">
        <v>75</v>
      </c>
      <c r="B2569" t="str">
        <f>"300352"</f>
        <v>300352</v>
      </c>
      <c r="C2569" t="s">
        <v>5469</v>
      </c>
      <c r="D2569" t="s">
        <v>116</v>
      </c>
      <c r="E2569">
        <v>342989448</v>
      </c>
      <c r="F2569">
        <v>130923164</v>
      </c>
      <c r="G2569">
        <v>118761352</v>
      </c>
      <c r="H2569">
        <v>121433504</v>
      </c>
      <c r="I2569">
        <v>64018637</v>
      </c>
      <c r="J2569">
        <v>45608755</v>
      </c>
      <c r="K2569">
        <v>44949511</v>
      </c>
      <c r="L2569">
        <v>49080347</v>
      </c>
      <c r="M2569">
        <v>30821523</v>
      </c>
      <c r="N2569">
        <v>20183197</v>
      </c>
      <c r="O2569">
        <v>23056403</v>
      </c>
      <c r="P2569">
        <v>255</v>
      </c>
      <c r="Q2569" t="s">
        <v>5470</v>
      </c>
    </row>
    <row r="2570" spans="1:17" x14ac:dyDescent="0.3">
      <c r="A2570" t="s">
        <v>75</v>
      </c>
      <c r="B2570" t="str">
        <f>"300587"</f>
        <v>300587</v>
      </c>
      <c r="C2570" t="s">
        <v>5471</v>
      </c>
      <c r="D2570" t="s">
        <v>3349</v>
      </c>
      <c r="E2570">
        <v>342954662</v>
      </c>
      <c r="F2570">
        <v>283117696</v>
      </c>
      <c r="G2570">
        <v>154940732</v>
      </c>
      <c r="H2570">
        <v>164364199</v>
      </c>
      <c r="I2570">
        <v>93194064</v>
      </c>
      <c r="J2570">
        <v>42975189</v>
      </c>
      <c r="K2570">
        <v>62561503</v>
      </c>
      <c r="P2570">
        <v>153</v>
      </c>
      <c r="Q2570" t="s">
        <v>5472</v>
      </c>
    </row>
    <row r="2571" spans="1:17" x14ac:dyDescent="0.3">
      <c r="A2571" t="s">
        <v>17</v>
      </c>
      <c r="B2571" t="str">
        <f>"600493"</f>
        <v>600493</v>
      </c>
      <c r="C2571" t="s">
        <v>5473</v>
      </c>
      <c r="D2571" t="s">
        <v>1050</v>
      </c>
      <c r="E2571">
        <v>342945830</v>
      </c>
      <c r="F2571">
        <v>293485482</v>
      </c>
      <c r="G2571">
        <v>135558599</v>
      </c>
      <c r="H2571">
        <v>234695550</v>
      </c>
      <c r="I2571">
        <v>199549106</v>
      </c>
      <c r="J2571">
        <v>178635277</v>
      </c>
      <c r="K2571">
        <v>161547048</v>
      </c>
      <c r="L2571">
        <v>136325518</v>
      </c>
      <c r="M2571">
        <v>156568941</v>
      </c>
      <c r="N2571">
        <v>181875638</v>
      </c>
      <c r="O2571">
        <v>199893655</v>
      </c>
      <c r="P2571">
        <v>80</v>
      </c>
      <c r="Q2571" t="s">
        <v>5474</v>
      </c>
    </row>
    <row r="2572" spans="1:17" x14ac:dyDescent="0.3">
      <c r="A2572" t="s">
        <v>75</v>
      </c>
      <c r="B2572" t="str">
        <f>"300384"</f>
        <v>300384</v>
      </c>
      <c r="C2572" t="s">
        <v>5475</v>
      </c>
      <c r="D2572" t="s">
        <v>184</v>
      </c>
      <c r="E2572">
        <v>342546256</v>
      </c>
      <c r="F2572">
        <v>285900442</v>
      </c>
      <c r="G2572">
        <v>197018447</v>
      </c>
      <c r="H2572">
        <v>246375322</v>
      </c>
      <c r="I2572">
        <v>89732435</v>
      </c>
      <c r="J2572">
        <v>2813881</v>
      </c>
      <c r="K2572">
        <v>67018596</v>
      </c>
      <c r="L2572">
        <v>16089992</v>
      </c>
      <c r="M2572">
        <v>40002941</v>
      </c>
      <c r="N2572">
        <v>64315475</v>
      </c>
      <c r="P2572">
        <v>164</v>
      </c>
      <c r="Q2572" t="s">
        <v>5476</v>
      </c>
    </row>
    <row r="2573" spans="1:17" x14ac:dyDescent="0.3">
      <c r="A2573" t="s">
        <v>75</v>
      </c>
      <c r="B2573" t="str">
        <f>"002690"</f>
        <v>002690</v>
      </c>
      <c r="C2573" t="s">
        <v>5477</v>
      </c>
      <c r="D2573" t="s">
        <v>1624</v>
      </c>
      <c r="E2573">
        <v>342327422</v>
      </c>
      <c r="F2573">
        <v>313080430</v>
      </c>
      <c r="G2573">
        <v>153956371</v>
      </c>
      <c r="H2573">
        <v>236390809</v>
      </c>
      <c r="I2573">
        <v>190433472</v>
      </c>
      <c r="J2573">
        <v>211212449</v>
      </c>
      <c r="K2573">
        <v>159579013</v>
      </c>
      <c r="L2573">
        <v>124020491</v>
      </c>
      <c r="M2573">
        <v>138405575</v>
      </c>
      <c r="N2573">
        <v>92573804</v>
      </c>
      <c r="O2573">
        <v>98677308</v>
      </c>
      <c r="P2573">
        <v>3632</v>
      </c>
      <c r="Q2573" t="s">
        <v>5478</v>
      </c>
    </row>
    <row r="2574" spans="1:17" x14ac:dyDescent="0.3">
      <c r="A2574" t="s">
        <v>17</v>
      </c>
      <c r="B2574" t="str">
        <f>"600610"</f>
        <v>600610</v>
      </c>
      <c r="C2574" t="s">
        <v>5479</v>
      </c>
      <c r="D2574" t="s">
        <v>1759</v>
      </c>
      <c r="E2574">
        <v>342014701</v>
      </c>
      <c r="F2574">
        <v>311816549</v>
      </c>
      <c r="G2574">
        <v>226949694</v>
      </c>
      <c r="H2574">
        <v>1090</v>
      </c>
      <c r="I2574">
        <v>0</v>
      </c>
      <c r="J2574">
        <v>265774716</v>
      </c>
      <c r="K2574">
        <v>9713674</v>
      </c>
      <c r="L2574">
        <v>43017217</v>
      </c>
      <c r="M2574">
        <v>15575706</v>
      </c>
      <c r="N2574">
        <v>14675079</v>
      </c>
      <c r="O2574">
        <v>16191602</v>
      </c>
      <c r="P2574">
        <v>91</v>
      </c>
      <c r="Q2574" t="s">
        <v>5480</v>
      </c>
    </row>
    <row r="2575" spans="1:17" x14ac:dyDescent="0.3">
      <c r="A2575" t="s">
        <v>17</v>
      </c>
      <c r="B2575" t="str">
        <f>"600262"</f>
        <v>600262</v>
      </c>
      <c r="C2575" t="s">
        <v>5481</v>
      </c>
      <c r="D2575" t="s">
        <v>786</v>
      </c>
      <c r="E2575">
        <v>341776055</v>
      </c>
      <c r="F2575">
        <v>160719202</v>
      </c>
      <c r="G2575">
        <v>173212102</v>
      </c>
      <c r="H2575">
        <v>286079671</v>
      </c>
      <c r="I2575">
        <v>173300585</v>
      </c>
      <c r="J2575">
        <v>128224175</v>
      </c>
      <c r="K2575">
        <v>181408127</v>
      </c>
      <c r="L2575">
        <v>432579125</v>
      </c>
      <c r="M2575">
        <v>442148089</v>
      </c>
      <c r="N2575">
        <v>623464129</v>
      </c>
      <c r="O2575">
        <v>513767393</v>
      </c>
      <c r="P2575">
        <v>75</v>
      </c>
      <c r="Q2575" t="s">
        <v>5482</v>
      </c>
    </row>
    <row r="2576" spans="1:17" x14ac:dyDescent="0.3">
      <c r="A2576" t="s">
        <v>75</v>
      </c>
      <c r="B2576" t="str">
        <f>"002678"</f>
        <v>002678</v>
      </c>
      <c r="C2576" t="s">
        <v>5483</v>
      </c>
      <c r="D2576" t="s">
        <v>5484</v>
      </c>
      <c r="E2576">
        <v>340496075</v>
      </c>
      <c r="F2576">
        <v>467355061</v>
      </c>
      <c r="G2576">
        <v>222951412</v>
      </c>
      <c r="H2576">
        <v>469487974</v>
      </c>
      <c r="I2576">
        <v>423838893</v>
      </c>
      <c r="J2576">
        <v>337773929</v>
      </c>
      <c r="K2576">
        <v>256479762</v>
      </c>
      <c r="L2576">
        <v>262979947</v>
      </c>
      <c r="M2576">
        <v>302200316</v>
      </c>
      <c r="N2576">
        <v>254997422</v>
      </c>
      <c r="O2576">
        <v>291153866</v>
      </c>
      <c r="P2576">
        <v>113</v>
      </c>
      <c r="Q2576" t="s">
        <v>5485</v>
      </c>
    </row>
    <row r="2577" spans="1:17" x14ac:dyDescent="0.3">
      <c r="A2577" t="s">
        <v>17</v>
      </c>
      <c r="B2577" t="str">
        <f>"688533"</f>
        <v>688533</v>
      </c>
      <c r="C2577" t="s">
        <v>5486</v>
      </c>
      <c r="D2577" t="s">
        <v>433</v>
      </c>
      <c r="E2577">
        <v>340436975</v>
      </c>
      <c r="P2577">
        <v>39</v>
      </c>
      <c r="Q2577" t="s">
        <v>5487</v>
      </c>
    </row>
    <row r="2578" spans="1:17" x14ac:dyDescent="0.3">
      <c r="A2578" t="s">
        <v>75</v>
      </c>
      <c r="B2578" t="str">
        <f>"003028"</f>
        <v>003028</v>
      </c>
      <c r="C2578" t="s">
        <v>5488</v>
      </c>
      <c r="D2578" t="s">
        <v>55</v>
      </c>
      <c r="E2578">
        <v>340223911</v>
      </c>
      <c r="F2578">
        <v>218054504</v>
      </c>
      <c r="G2578">
        <v>147975007</v>
      </c>
      <c r="P2578">
        <v>83</v>
      </c>
      <c r="Q2578" t="s">
        <v>5489</v>
      </c>
    </row>
    <row r="2579" spans="1:17" x14ac:dyDescent="0.3">
      <c r="A2579" t="s">
        <v>17</v>
      </c>
      <c r="B2579" t="str">
        <f>"600692"</f>
        <v>600692</v>
      </c>
      <c r="C2579" t="s">
        <v>5490</v>
      </c>
      <c r="D2579" t="s">
        <v>65</v>
      </c>
      <c r="E2579">
        <v>340137544</v>
      </c>
      <c r="F2579">
        <v>242029826</v>
      </c>
      <c r="G2579">
        <v>194833577</v>
      </c>
      <c r="H2579">
        <v>84636990</v>
      </c>
      <c r="I2579">
        <v>104137403</v>
      </c>
      <c r="J2579">
        <v>118254936</v>
      </c>
      <c r="K2579">
        <v>303476180</v>
      </c>
      <c r="L2579">
        <v>217887239</v>
      </c>
      <c r="M2579">
        <v>57418018</v>
      </c>
      <c r="N2579">
        <v>104915803</v>
      </c>
      <c r="O2579">
        <v>58731534</v>
      </c>
      <c r="P2579">
        <v>76</v>
      </c>
      <c r="Q2579" t="s">
        <v>5491</v>
      </c>
    </row>
    <row r="2580" spans="1:17" x14ac:dyDescent="0.3">
      <c r="A2580" t="s">
        <v>75</v>
      </c>
      <c r="B2580" t="str">
        <f>"002785"</f>
        <v>002785</v>
      </c>
      <c r="C2580" t="s">
        <v>5492</v>
      </c>
      <c r="D2580" t="s">
        <v>1257</v>
      </c>
      <c r="E2580">
        <v>339999871</v>
      </c>
      <c r="F2580">
        <v>285813604</v>
      </c>
      <c r="G2580">
        <v>241730462</v>
      </c>
      <c r="H2580">
        <v>251120963</v>
      </c>
      <c r="I2580">
        <v>222992037</v>
      </c>
      <c r="J2580">
        <v>224192871</v>
      </c>
      <c r="K2580">
        <v>163359687</v>
      </c>
      <c r="L2580">
        <v>142923846</v>
      </c>
      <c r="M2580">
        <v>136185315</v>
      </c>
      <c r="P2580">
        <v>57</v>
      </c>
      <c r="Q2580" t="s">
        <v>5493</v>
      </c>
    </row>
    <row r="2581" spans="1:17" x14ac:dyDescent="0.3">
      <c r="A2581" t="s">
        <v>17</v>
      </c>
      <c r="B2581" t="str">
        <f>"688165"</f>
        <v>688165</v>
      </c>
      <c r="C2581" t="s">
        <v>5494</v>
      </c>
      <c r="D2581" t="s">
        <v>3105</v>
      </c>
      <c r="E2581">
        <v>339954739</v>
      </c>
      <c r="F2581">
        <v>293668208</v>
      </c>
      <c r="G2581">
        <v>258475278</v>
      </c>
      <c r="P2581">
        <v>64</v>
      </c>
      <c r="Q2581" t="s">
        <v>5495</v>
      </c>
    </row>
    <row r="2582" spans="1:17" x14ac:dyDescent="0.3">
      <c r="A2582" t="s">
        <v>75</v>
      </c>
      <c r="B2582" t="str">
        <f>"002937"</f>
        <v>002937</v>
      </c>
      <c r="C2582" t="s">
        <v>5496</v>
      </c>
      <c r="D2582" t="s">
        <v>55</v>
      </c>
      <c r="E2582">
        <v>339670378</v>
      </c>
      <c r="F2582">
        <v>257275851</v>
      </c>
      <c r="G2582">
        <v>224931767</v>
      </c>
      <c r="H2582">
        <v>272284224</v>
      </c>
      <c r="I2582">
        <v>226162507</v>
      </c>
      <c r="P2582">
        <v>209</v>
      </c>
      <c r="Q2582" t="s">
        <v>5497</v>
      </c>
    </row>
    <row r="2583" spans="1:17" x14ac:dyDescent="0.3">
      <c r="A2583" t="s">
        <v>17</v>
      </c>
      <c r="B2583" t="str">
        <f>"605123"</f>
        <v>605123</v>
      </c>
      <c r="C2583" t="s">
        <v>5498</v>
      </c>
      <c r="D2583" t="s">
        <v>1551</v>
      </c>
      <c r="E2583">
        <v>339498084</v>
      </c>
      <c r="F2583">
        <v>192084953</v>
      </c>
      <c r="G2583">
        <v>125905272</v>
      </c>
      <c r="P2583">
        <v>143</v>
      </c>
      <c r="Q2583" t="s">
        <v>5499</v>
      </c>
    </row>
    <row r="2584" spans="1:17" x14ac:dyDescent="0.3">
      <c r="A2584" t="s">
        <v>17</v>
      </c>
      <c r="B2584" t="str">
        <f>"688315"</f>
        <v>688315</v>
      </c>
      <c r="C2584" t="s">
        <v>5500</v>
      </c>
      <c r="D2584" t="s">
        <v>5501</v>
      </c>
      <c r="E2584">
        <v>339375841</v>
      </c>
      <c r="F2584">
        <v>285986830</v>
      </c>
      <c r="G2584">
        <v>215214006</v>
      </c>
      <c r="P2584">
        <v>46</v>
      </c>
      <c r="Q2584" t="s">
        <v>5502</v>
      </c>
    </row>
    <row r="2585" spans="1:17" x14ac:dyDescent="0.3">
      <c r="A2585" t="s">
        <v>17</v>
      </c>
      <c r="B2585" t="str">
        <f>"688550"</f>
        <v>688550</v>
      </c>
      <c r="C2585" t="s">
        <v>5503</v>
      </c>
      <c r="D2585" t="s">
        <v>1853</v>
      </c>
      <c r="E2585">
        <v>339310687</v>
      </c>
      <c r="F2585">
        <v>252060331</v>
      </c>
      <c r="G2585">
        <v>192438101</v>
      </c>
      <c r="H2585">
        <v>0</v>
      </c>
      <c r="P2585">
        <v>54</v>
      </c>
      <c r="Q2585" t="s">
        <v>5504</v>
      </c>
    </row>
    <row r="2586" spans="1:17" x14ac:dyDescent="0.3">
      <c r="A2586" t="s">
        <v>75</v>
      </c>
      <c r="B2586" t="str">
        <f>"002166"</f>
        <v>002166</v>
      </c>
      <c r="C2586" t="s">
        <v>5505</v>
      </c>
      <c r="D2586" t="s">
        <v>321</v>
      </c>
      <c r="E2586">
        <v>339115432</v>
      </c>
      <c r="F2586">
        <v>255092533</v>
      </c>
      <c r="G2586">
        <v>244560054</v>
      </c>
      <c r="H2586">
        <v>155077856</v>
      </c>
      <c r="I2586">
        <v>217935125</v>
      </c>
      <c r="J2586">
        <v>84763814</v>
      </c>
      <c r="K2586">
        <v>91614735</v>
      </c>
      <c r="L2586">
        <v>264426296</v>
      </c>
      <c r="M2586">
        <v>191110793</v>
      </c>
      <c r="N2586">
        <v>66672028</v>
      </c>
      <c r="O2586">
        <v>43939037</v>
      </c>
      <c r="P2586">
        <v>200</v>
      </c>
      <c r="Q2586" t="s">
        <v>5506</v>
      </c>
    </row>
    <row r="2587" spans="1:17" x14ac:dyDescent="0.3">
      <c r="A2587" t="s">
        <v>75</v>
      </c>
      <c r="B2587" t="str">
        <f>"300630"</f>
        <v>300630</v>
      </c>
      <c r="C2587" t="s">
        <v>5507</v>
      </c>
      <c r="D2587" t="s">
        <v>543</v>
      </c>
      <c r="E2587">
        <v>339064985</v>
      </c>
      <c r="F2587">
        <v>257236020</v>
      </c>
      <c r="G2587">
        <v>182880000</v>
      </c>
      <c r="H2587">
        <v>135144663</v>
      </c>
      <c r="I2587">
        <v>109984573</v>
      </c>
      <c r="J2587">
        <v>65547810</v>
      </c>
      <c r="K2587">
        <v>39280202</v>
      </c>
      <c r="P2587">
        <v>1261</v>
      </c>
      <c r="Q2587" t="s">
        <v>5508</v>
      </c>
    </row>
    <row r="2588" spans="1:17" x14ac:dyDescent="0.3">
      <c r="A2588" t="s">
        <v>75</v>
      </c>
      <c r="B2588" t="str">
        <f>"300176"</f>
        <v>300176</v>
      </c>
      <c r="C2588" t="s">
        <v>5509</v>
      </c>
      <c r="D2588" t="s">
        <v>172</v>
      </c>
      <c r="E2588">
        <v>338867576</v>
      </c>
      <c r="F2588">
        <v>322536257</v>
      </c>
      <c r="G2588">
        <v>334418186</v>
      </c>
      <c r="H2588">
        <v>442432406</v>
      </c>
      <c r="I2588">
        <v>1147103431</v>
      </c>
      <c r="J2588">
        <v>414179433</v>
      </c>
      <c r="K2588">
        <v>421931228</v>
      </c>
      <c r="L2588">
        <v>337545147</v>
      </c>
      <c r="M2588">
        <v>291796686</v>
      </c>
      <c r="N2588">
        <v>199029459</v>
      </c>
      <c r="O2588">
        <v>136617530</v>
      </c>
      <c r="P2588">
        <v>151</v>
      </c>
      <c r="Q2588" t="s">
        <v>5510</v>
      </c>
    </row>
    <row r="2589" spans="1:17" x14ac:dyDescent="0.3">
      <c r="A2589" t="s">
        <v>17</v>
      </c>
      <c r="B2589" t="str">
        <f>"603238"</f>
        <v>603238</v>
      </c>
      <c r="C2589" t="s">
        <v>5511</v>
      </c>
      <c r="D2589" t="s">
        <v>1636</v>
      </c>
      <c r="E2589">
        <v>338727320</v>
      </c>
      <c r="F2589">
        <v>497130378</v>
      </c>
      <c r="G2589">
        <v>417438174</v>
      </c>
      <c r="H2589">
        <v>227884240</v>
      </c>
      <c r="I2589">
        <v>205787845</v>
      </c>
      <c r="J2589">
        <v>114398950</v>
      </c>
      <c r="K2589">
        <v>110771676</v>
      </c>
      <c r="P2589">
        <v>240</v>
      </c>
      <c r="Q2589" t="s">
        <v>5512</v>
      </c>
    </row>
    <row r="2590" spans="1:17" x14ac:dyDescent="0.3">
      <c r="A2590" t="s">
        <v>17</v>
      </c>
      <c r="B2590" t="str">
        <f>"603966"</f>
        <v>603966</v>
      </c>
      <c r="C2590" t="s">
        <v>5513</v>
      </c>
      <c r="D2590" t="s">
        <v>786</v>
      </c>
      <c r="E2590">
        <v>337904252</v>
      </c>
      <c r="F2590">
        <v>299456854</v>
      </c>
      <c r="G2590">
        <v>266244204</v>
      </c>
      <c r="H2590">
        <v>296733938</v>
      </c>
      <c r="I2590">
        <v>220016615</v>
      </c>
      <c r="J2590">
        <v>155801154</v>
      </c>
      <c r="K2590">
        <v>117690469</v>
      </c>
      <c r="P2590">
        <v>122</v>
      </c>
      <c r="Q2590" t="s">
        <v>5514</v>
      </c>
    </row>
    <row r="2591" spans="1:17" x14ac:dyDescent="0.3">
      <c r="A2591" t="s">
        <v>17</v>
      </c>
      <c r="B2591" t="str">
        <f>"603900"</f>
        <v>603900</v>
      </c>
      <c r="C2591" t="s">
        <v>5515</v>
      </c>
      <c r="D2591" t="s">
        <v>314</v>
      </c>
      <c r="E2591">
        <v>337564521</v>
      </c>
      <c r="F2591">
        <v>497190482</v>
      </c>
      <c r="G2591">
        <v>266242049</v>
      </c>
      <c r="H2591">
        <v>496085296</v>
      </c>
      <c r="I2591">
        <v>610917932</v>
      </c>
      <c r="J2591">
        <v>596844251</v>
      </c>
      <c r="K2591">
        <v>501234011</v>
      </c>
      <c r="P2591">
        <v>137</v>
      </c>
      <c r="Q2591" t="s">
        <v>5516</v>
      </c>
    </row>
    <row r="2592" spans="1:17" x14ac:dyDescent="0.3">
      <c r="A2592" t="s">
        <v>17</v>
      </c>
      <c r="B2592" t="str">
        <f>"603823"</f>
        <v>603823</v>
      </c>
      <c r="C2592" t="s">
        <v>5517</v>
      </c>
      <c r="D2592" t="s">
        <v>4853</v>
      </c>
      <c r="E2592">
        <v>337041351</v>
      </c>
      <c r="F2592">
        <v>324903420</v>
      </c>
      <c r="G2592">
        <v>265644257</v>
      </c>
      <c r="H2592">
        <v>279694854</v>
      </c>
      <c r="I2592">
        <v>266354198</v>
      </c>
      <c r="J2592">
        <v>204545984</v>
      </c>
      <c r="K2592">
        <v>193830851</v>
      </c>
      <c r="P2592">
        <v>142</v>
      </c>
      <c r="Q2592" t="s">
        <v>5518</v>
      </c>
    </row>
    <row r="2593" spans="1:17" x14ac:dyDescent="0.3">
      <c r="A2593" t="s">
        <v>17</v>
      </c>
      <c r="B2593" t="str">
        <f>"603983"</f>
        <v>603983</v>
      </c>
      <c r="C2593" t="s">
        <v>5519</v>
      </c>
      <c r="D2593" t="s">
        <v>1764</v>
      </c>
      <c r="E2593">
        <v>336922733</v>
      </c>
      <c r="F2593">
        <v>414053065</v>
      </c>
      <c r="G2593">
        <v>375639502</v>
      </c>
      <c r="H2593">
        <v>449325285</v>
      </c>
      <c r="I2593">
        <v>498127960</v>
      </c>
      <c r="P2593">
        <v>898</v>
      </c>
      <c r="Q2593" t="s">
        <v>5520</v>
      </c>
    </row>
    <row r="2594" spans="1:17" x14ac:dyDescent="0.3">
      <c r="A2594" t="s">
        <v>17</v>
      </c>
      <c r="B2594" t="str">
        <f>"603608"</f>
        <v>603608</v>
      </c>
      <c r="C2594" t="s">
        <v>5521</v>
      </c>
      <c r="D2594" t="s">
        <v>2921</v>
      </c>
      <c r="E2594">
        <v>336725414</v>
      </c>
      <c r="F2594">
        <v>435048628</v>
      </c>
      <c r="G2594">
        <v>430005333</v>
      </c>
      <c r="H2594">
        <v>589731653</v>
      </c>
      <c r="I2594">
        <v>580540096</v>
      </c>
      <c r="J2594">
        <v>465981702</v>
      </c>
      <c r="K2594">
        <v>426754811</v>
      </c>
      <c r="L2594">
        <v>446806705</v>
      </c>
      <c r="P2594">
        <v>138</v>
      </c>
      <c r="Q2594" t="s">
        <v>5522</v>
      </c>
    </row>
    <row r="2595" spans="1:17" x14ac:dyDescent="0.3">
      <c r="A2595" t="s">
        <v>75</v>
      </c>
      <c r="B2595" t="str">
        <f>"002998"</f>
        <v>002998</v>
      </c>
      <c r="C2595" t="s">
        <v>5523</v>
      </c>
      <c r="D2595" t="s">
        <v>519</v>
      </c>
      <c r="E2595">
        <v>336673397</v>
      </c>
      <c r="F2595">
        <v>264875937</v>
      </c>
      <c r="G2595">
        <v>147359306</v>
      </c>
      <c r="P2595">
        <v>36</v>
      </c>
      <c r="Q2595" t="s">
        <v>5524</v>
      </c>
    </row>
    <row r="2596" spans="1:17" x14ac:dyDescent="0.3">
      <c r="A2596" t="s">
        <v>75</v>
      </c>
      <c r="B2596" t="str">
        <f>"300593"</f>
        <v>300593</v>
      </c>
      <c r="C2596" t="s">
        <v>5525</v>
      </c>
      <c r="D2596" t="s">
        <v>2692</v>
      </c>
      <c r="E2596">
        <v>336652144</v>
      </c>
      <c r="F2596">
        <v>173295109</v>
      </c>
      <c r="G2596">
        <v>112293512</v>
      </c>
      <c r="H2596">
        <v>140968773</v>
      </c>
      <c r="I2596">
        <v>93813546</v>
      </c>
      <c r="J2596">
        <v>71057837</v>
      </c>
      <c r="K2596">
        <v>69610969</v>
      </c>
      <c r="P2596">
        <v>254</v>
      </c>
      <c r="Q2596" t="s">
        <v>5526</v>
      </c>
    </row>
    <row r="2597" spans="1:17" x14ac:dyDescent="0.3">
      <c r="A2597" t="s">
        <v>75</v>
      </c>
      <c r="B2597" t="str">
        <f>"300243"</f>
        <v>300243</v>
      </c>
      <c r="C2597" t="s">
        <v>5527</v>
      </c>
      <c r="D2597" t="s">
        <v>3251</v>
      </c>
      <c r="E2597">
        <v>336470814</v>
      </c>
      <c r="F2597">
        <v>310360597</v>
      </c>
      <c r="G2597">
        <v>186003168</v>
      </c>
      <c r="H2597">
        <v>239837971</v>
      </c>
      <c r="I2597">
        <v>247474526</v>
      </c>
      <c r="J2597">
        <v>197483300</v>
      </c>
      <c r="K2597">
        <v>132919986</v>
      </c>
      <c r="L2597">
        <v>145366281</v>
      </c>
      <c r="M2597">
        <v>97954976</v>
      </c>
      <c r="N2597">
        <v>98317520</v>
      </c>
      <c r="O2597">
        <v>136177560</v>
      </c>
      <c r="P2597">
        <v>103</v>
      </c>
      <c r="Q2597" t="s">
        <v>5528</v>
      </c>
    </row>
    <row r="2598" spans="1:17" x14ac:dyDescent="0.3">
      <c r="A2598" t="s">
        <v>17</v>
      </c>
      <c r="B2598" t="str">
        <f>"605169"</f>
        <v>605169</v>
      </c>
      <c r="C2598" t="s">
        <v>5529</v>
      </c>
      <c r="D2598" t="s">
        <v>147</v>
      </c>
      <c r="E2598">
        <v>336071170</v>
      </c>
      <c r="F2598">
        <v>198952143</v>
      </c>
      <c r="G2598">
        <v>151694428</v>
      </c>
      <c r="P2598">
        <v>62</v>
      </c>
      <c r="Q2598" t="s">
        <v>5530</v>
      </c>
    </row>
    <row r="2599" spans="1:17" x14ac:dyDescent="0.3">
      <c r="A2599" t="s">
        <v>17</v>
      </c>
      <c r="B2599" t="str">
        <f>"600992"</f>
        <v>600992</v>
      </c>
      <c r="C2599" t="s">
        <v>5531</v>
      </c>
      <c r="D2599" t="s">
        <v>153</v>
      </c>
      <c r="E2599">
        <v>336003445</v>
      </c>
      <c r="F2599">
        <v>286926724</v>
      </c>
      <c r="G2599">
        <v>286813518</v>
      </c>
      <c r="H2599">
        <v>395513183</v>
      </c>
      <c r="I2599">
        <v>280223340</v>
      </c>
      <c r="J2599">
        <v>258045910</v>
      </c>
      <c r="K2599">
        <v>223716758</v>
      </c>
      <c r="L2599">
        <v>189414816</v>
      </c>
      <c r="M2599">
        <v>258493296</v>
      </c>
      <c r="N2599">
        <v>303843457</v>
      </c>
      <c r="O2599">
        <v>235116543</v>
      </c>
      <c r="P2599">
        <v>57</v>
      </c>
      <c r="Q2599" t="s">
        <v>5532</v>
      </c>
    </row>
    <row r="2600" spans="1:17" x14ac:dyDescent="0.3">
      <c r="A2600" t="s">
        <v>17</v>
      </c>
      <c r="B2600" t="str">
        <f>"600712"</f>
        <v>600712</v>
      </c>
      <c r="C2600" t="s">
        <v>5533</v>
      </c>
      <c r="D2600" t="s">
        <v>582</v>
      </c>
      <c r="E2600">
        <v>334949935</v>
      </c>
      <c r="F2600">
        <v>418453236</v>
      </c>
      <c r="G2600">
        <v>200401328</v>
      </c>
      <c r="H2600">
        <v>573442187</v>
      </c>
      <c r="I2600">
        <v>716395946</v>
      </c>
      <c r="J2600">
        <v>632651384</v>
      </c>
      <c r="K2600">
        <v>677568815</v>
      </c>
      <c r="L2600">
        <v>752349243</v>
      </c>
      <c r="M2600">
        <v>843902058</v>
      </c>
      <c r="N2600">
        <v>938901645</v>
      </c>
      <c r="O2600">
        <v>772897131</v>
      </c>
      <c r="P2600">
        <v>87</v>
      </c>
      <c r="Q2600" t="s">
        <v>5534</v>
      </c>
    </row>
    <row r="2601" spans="1:17" x14ac:dyDescent="0.3">
      <c r="A2601" t="s">
        <v>75</v>
      </c>
      <c r="B2601" t="str">
        <f>"300265"</f>
        <v>300265</v>
      </c>
      <c r="C2601" t="s">
        <v>5535</v>
      </c>
      <c r="D2601" t="s">
        <v>562</v>
      </c>
      <c r="E2601">
        <v>334882719</v>
      </c>
      <c r="F2601">
        <v>292574078</v>
      </c>
      <c r="G2601">
        <v>252698712</v>
      </c>
      <c r="H2601">
        <v>404519352</v>
      </c>
      <c r="I2601">
        <v>290927473</v>
      </c>
      <c r="J2601">
        <v>276839178</v>
      </c>
      <c r="K2601">
        <v>161959723</v>
      </c>
      <c r="L2601">
        <v>182779599</v>
      </c>
      <c r="M2601">
        <v>108568732</v>
      </c>
      <c r="N2601">
        <v>151892600</v>
      </c>
      <c r="O2601">
        <v>128427051</v>
      </c>
      <c r="P2601">
        <v>162</v>
      </c>
      <c r="Q2601" t="s">
        <v>5536</v>
      </c>
    </row>
    <row r="2602" spans="1:17" x14ac:dyDescent="0.3">
      <c r="A2602" t="s">
        <v>75</v>
      </c>
      <c r="B2602" t="str">
        <f>"000659"</f>
        <v>000659</v>
      </c>
      <c r="C2602" t="s">
        <v>5537</v>
      </c>
      <c r="D2602" t="s">
        <v>1603</v>
      </c>
      <c r="E2602">
        <v>334047594</v>
      </c>
      <c r="F2602">
        <v>303050727</v>
      </c>
      <c r="G2602">
        <v>293026170</v>
      </c>
      <c r="H2602">
        <v>410044926</v>
      </c>
      <c r="I2602">
        <v>379656537</v>
      </c>
      <c r="J2602">
        <v>371654487</v>
      </c>
      <c r="K2602">
        <v>446022463</v>
      </c>
      <c r="L2602">
        <v>514873641</v>
      </c>
      <c r="M2602">
        <v>664567993</v>
      </c>
      <c r="N2602">
        <v>606158989</v>
      </c>
      <c r="O2602">
        <v>739443994</v>
      </c>
      <c r="P2602">
        <v>77</v>
      </c>
      <c r="Q2602" t="s">
        <v>5538</v>
      </c>
    </row>
    <row r="2603" spans="1:17" x14ac:dyDescent="0.3">
      <c r="A2603" t="s">
        <v>75</v>
      </c>
      <c r="B2603" t="str">
        <f>"300343"</f>
        <v>300343</v>
      </c>
      <c r="C2603" t="s">
        <v>5539</v>
      </c>
      <c r="D2603" t="s">
        <v>622</v>
      </c>
      <c r="E2603">
        <v>333493697</v>
      </c>
      <c r="F2603">
        <v>207149259</v>
      </c>
      <c r="G2603">
        <v>550817969</v>
      </c>
      <c r="H2603">
        <v>852330750</v>
      </c>
      <c r="I2603">
        <v>893779381</v>
      </c>
      <c r="J2603">
        <v>818998468</v>
      </c>
      <c r="K2603">
        <v>285767890</v>
      </c>
      <c r="L2603">
        <v>144189791</v>
      </c>
      <c r="M2603">
        <v>91668977</v>
      </c>
      <c r="N2603">
        <v>106564182</v>
      </c>
      <c r="O2603">
        <v>76518890</v>
      </c>
      <c r="P2603">
        <v>155</v>
      </c>
      <c r="Q2603" t="s">
        <v>5540</v>
      </c>
    </row>
    <row r="2604" spans="1:17" x14ac:dyDescent="0.3">
      <c r="A2604" t="s">
        <v>17</v>
      </c>
      <c r="B2604" t="str">
        <f>"601218"</f>
        <v>601218</v>
      </c>
      <c r="C2604" t="s">
        <v>5541</v>
      </c>
      <c r="D2604" t="s">
        <v>1398</v>
      </c>
      <c r="E2604">
        <v>333021674</v>
      </c>
      <c r="F2604">
        <v>441350824</v>
      </c>
      <c r="G2604">
        <v>283119373</v>
      </c>
      <c r="H2604">
        <v>203526317</v>
      </c>
      <c r="I2604">
        <v>122601873</v>
      </c>
      <c r="J2604">
        <v>395928868</v>
      </c>
      <c r="K2604">
        <v>325048431</v>
      </c>
      <c r="L2604">
        <v>315909260</v>
      </c>
      <c r="M2604">
        <v>429961550</v>
      </c>
      <c r="N2604">
        <v>185277768</v>
      </c>
      <c r="O2604">
        <v>443651937</v>
      </c>
      <c r="P2604">
        <v>146</v>
      </c>
      <c r="Q2604" t="s">
        <v>5542</v>
      </c>
    </row>
    <row r="2605" spans="1:17" x14ac:dyDescent="0.3">
      <c r="A2605" t="s">
        <v>75</v>
      </c>
      <c r="B2605" t="str">
        <f>"300453"</f>
        <v>300453</v>
      </c>
      <c r="C2605" t="s">
        <v>5543</v>
      </c>
      <c r="D2605" t="s">
        <v>1538</v>
      </c>
      <c r="E2605">
        <v>332918108</v>
      </c>
      <c r="F2605">
        <v>250206118</v>
      </c>
      <c r="G2605">
        <v>225401487</v>
      </c>
      <c r="H2605">
        <v>121757559</v>
      </c>
      <c r="I2605">
        <v>109222071</v>
      </c>
      <c r="J2605">
        <v>70883808</v>
      </c>
      <c r="K2605">
        <v>66845620</v>
      </c>
      <c r="L2605">
        <v>0</v>
      </c>
      <c r="P2605">
        <v>226</v>
      </c>
      <c r="Q2605" t="s">
        <v>5544</v>
      </c>
    </row>
    <row r="2606" spans="1:17" x14ac:dyDescent="0.3">
      <c r="A2606" t="s">
        <v>75</v>
      </c>
      <c r="B2606" t="str">
        <f>"300119"</f>
        <v>300119</v>
      </c>
      <c r="C2606" t="s">
        <v>5545</v>
      </c>
      <c r="D2606" t="s">
        <v>3609</v>
      </c>
      <c r="E2606">
        <v>332330205</v>
      </c>
      <c r="F2606">
        <v>453313623</v>
      </c>
      <c r="G2606">
        <v>351327734</v>
      </c>
      <c r="H2606">
        <v>260795958</v>
      </c>
      <c r="I2606">
        <v>227844962</v>
      </c>
      <c r="J2606">
        <v>202004183</v>
      </c>
      <c r="K2606">
        <v>178015892</v>
      </c>
      <c r="L2606">
        <v>151403047</v>
      </c>
      <c r="M2606">
        <v>106442600</v>
      </c>
      <c r="N2606">
        <v>111597618</v>
      </c>
      <c r="O2606">
        <v>102121582</v>
      </c>
      <c r="P2606">
        <v>388</v>
      </c>
      <c r="Q2606" t="s">
        <v>5546</v>
      </c>
    </row>
    <row r="2607" spans="1:17" x14ac:dyDescent="0.3">
      <c r="A2607" t="s">
        <v>75</v>
      </c>
      <c r="B2607" t="str">
        <f>"002674"</f>
        <v>002674</v>
      </c>
      <c r="C2607" t="s">
        <v>5547</v>
      </c>
      <c r="D2607" t="s">
        <v>3460</v>
      </c>
      <c r="E2607">
        <v>331074053</v>
      </c>
      <c r="F2607">
        <v>471306117</v>
      </c>
      <c r="G2607">
        <v>278547340</v>
      </c>
      <c r="H2607">
        <v>429106650</v>
      </c>
      <c r="I2607">
        <v>496398434</v>
      </c>
      <c r="J2607">
        <v>453690745</v>
      </c>
      <c r="K2607">
        <v>692849511</v>
      </c>
      <c r="L2607">
        <v>414440971</v>
      </c>
      <c r="M2607">
        <v>312959106</v>
      </c>
      <c r="N2607">
        <v>253146355</v>
      </c>
      <c r="O2607">
        <v>282916481</v>
      </c>
      <c r="P2607">
        <v>102</v>
      </c>
      <c r="Q2607" t="s">
        <v>5548</v>
      </c>
    </row>
    <row r="2608" spans="1:17" x14ac:dyDescent="0.3">
      <c r="A2608" t="s">
        <v>75</v>
      </c>
      <c r="B2608" t="str">
        <f>"300490"</f>
        <v>300490</v>
      </c>
      <c r="C2608" t="s">
        <v>5549</v>
      </c>
      <c r="D2608" t="s">
        <v>682</v>
      </c>
      <c r="E2608">
        <v>330786286</v>
      </c>
      <c r="F2608">
        <v>327259239</v>
      </c>
      <c r="G2608">
        <v>184190148</v>
      </c>
      <c r="H2608">
        <v>257113815</v>
      </c>
      <c r="I2608">
        <v>205773121</v>
      </c>
      <c r="J2608">
        <v>95659431</v>
      </c>
      <c r="K2608">
        <v>77723506</v>
      </c>
      <c r="L2608">
        <v>115831956</v>
      </c>
      <c r="M2608">
        <v>77914375</v>
      </c>
      <c r="P2608">
        <v>161</v>
      </c>
      <c r="Q2608" t="s">
        <v>5550</v>
      </c>
    </row>
    <row r="2609" spans="1:17" x14ac:dyDescent="0.3">
      <c r="A2609" t="s">
        <v>75</v>
      </c>
      <c r="B2609" t="str">
        <f>"000791"</f>
        <v>000791</v>
      </c>
      <c r="C2609" t="s">
        <v>5551</v>
      </c>
      <c r="D2609" t="s">
        <v>528</v>
      </c>
      <c r="E2609">
        <v>330660306</v>
      </c>
      <c r="F2609">
        <v>480769995</v>
      </c>
      <c r="G2609">
        <v>350002995</v>
      </c>
      <c r="H2609">
        <v>485446404</v>
      </c>
      <c r="I2609">
        <v>560862985</v>
      </c>
      <c r="J2609">
        <v>313741008</v>
      </c>
      <c r="K2609">
        <v>245366921</v>
      </c>
      <c r="L2609">
        <v>250279751</v>
      </c>
      <c r="M2609">
        <v>247062535</v>
      </c>
      <c r="N2609">
        <v>372187822</v>
      </c>
      <c r="O2609">
        <v>67991070</v>
      </c>
      <c r="P2609">
        <v>219</v>
      </c>
      <c r="Q2609" t="s">
        <v>5552</v>
      </c>
    </row>
    <row r="2610" spans="1:17" x14ac:dyDescent="0.3">
      <c r="A2610" t="s">
        <v>75</v>
      </c>
      <c r="B2610" t="str">
        <f>"300325"</f>
        <v>300325</v>
      </c>
      <c r="C2610" t="s">
        <v>5553</v>
      </c>
      <c r="D2610" t="s">
        <v>3251</v>
      </c>
      <c r="E2610">
        <v>330398876</v>
      </c>
      <c r="F2610">
        <v>283374403</v>
      </c>
      <c r="G2610">
        <v>221867947</v>
      </c>
      <c r="H2610">
        <v>498113242</v>
      </c>
      <c r="I2610">
        <v>726644059</v>
      </c>
      <c r="J2610">
        <v>387117522</v>
      </c>
      <c r="K2610">
        <v>462109522</v>
      </c>
      <c r="L2610">
        <v>364904855</v>
      </c>
      <c r="M2610">
        <v>306950677</v>
      </c>
      <c r="N2610">
        <v>207726021</v>
      </c>
      <c r="O2610">
        <v>169157447</v>
      </c>
      <c r="P2610">
        <v>81</v>
      </c>
      <c r="Q2610" t="s">
        <v>5554</v>
      </c>
    </row>
    <row r="2611" spans="1:17" x14ac:dyDescent="0.3">
      <c r="A2611" t="s">
        <v>17</v>
      </c>
      <c r="B2611" t="str">
        <f>"601700"</f>
        <v>601700</v>
      </c>
      <c r="C2611" t="s">
        <v>5555</v>
      </c>
      <c r="D2611" t="s">
        <v>562</v>
      </c>
      <c r="E2611">
        <v>330308634</v>
      </c>
      <c r="F2611">
        <v>471838046</v>
      </c>
      <c r="G2611">
        <v>540889301</v>
      </c>
      <c r="H2611">
        <v>467351493</v>
      </c>
      <c r="I2611">
        <v>545542795</v>
      </c>
      <c r="J2611">
        <v>586344123</v>
      </c>
      <c r="K2611">
        <v>859533880</v>
      </c>
      <c r="L2611">
        <v>681178490</v>
      </c>
      <c r="M2611">
        <v>386016595</v>
      </c>
      <c r="N2611">
        <v>302566585</v>
      </c>
      <c r="O2611">
        <v>435293061</v>
      </c>
      <c r="P2611">
        <v>126</v>
      </c>
      <c r="Q2611" t="s">
        <v>5556</v>
      </c>
    </row>
    <row r="2612" spans="1:17" x14ac:dyDescent="0.3">
      <c r="A2612" t="s">
        <v>75</v>
      </c>
      <c r="B2612" t="str">
        <f>"300627"</f>
        <v>300627</v>
      </c>
      <c r="C2612" t="s">
        <v>5557</v>
      </c>
      <c r="D2612" t="s">
        <v>556</v>
      </c>
      <c r="E2612">
        <v>329288294</v>
      </c>
      <c r="F2612">
        <v>299805991</v>
      </c>
      <c r="G2612">
        <v>164514402</v>
      </c>
      <c r="H2612">
        <v>157055236</v>
      </c>
      <c r="I2612">
        <v>123487507</v>
      </c>
      <c r="J2612">
        <v>81443648</v>
      </c>
      <c r="K2612">
        <v>57326850</v>
      </c>
      <c r="P2612">
        <v>295</v>
      </c>
      <c r="Q2612" t="s">
        <v>5558</v>
      </c>
    </row>
    <row r="2613" spans="1:17" x14ac:dyDescent="0.3">
      <c r="A2613" t="s">
        <v>75</v>
      </c>
      <c r="B2613" t="str">
        <f>"300205"</f>
        <v>300205</v>
      </c>
      <c r="C2613" t="s">
        <v>5559</v>
      </c>
      <c r="D2613" t="s">
        <v>556</v>
      </c>
      <c r="E2613">
        <v>329185179</v>
      </c>
      <c r="F2613">
        <v>316912448</v>
      </c>
      <c r="G2613">
        <v>224087672</v>
      </c>
      <c r="H2613">
        <v>357897200</v>
      </c>
      <c r="I2613">
        <v>260299934</v>
      </c>
      <c r="J2613">
        <v>240897828</v>
      </c>
      <c r="K2613">
        <v>218470369</v>
      </c>
      <c r="L2613">
        <v>162155955</v>
      </c>
      <c r="M2613">
        <v>306227236</v>
      </c>
      <c r="N2613">
        <v>136092268</v>
      </c>
      <c r="O2613">
        <v>79262684</v>
      </c>
      <c r="P2613">
        <v>222</v>
      </c>
      <c r="Q2613" t="s">
        <v>5560</v>
      </c>
    </row>
    <row r="2614" spans="1:17" x14ac:dyDescent="0.3">
      <c r="A2614" t="s">
        <v>75</v>
      </c>
      <c r="B2614" t="str">
        <f>"003010"</f>
        <v>003010</v>
      </c>
      <c r="C2614" t="s">
        <v>5561</v>
      </c>
      <c r="D2614" t="s">
        <v>2946</v>
      </c>
      <c r="E2614">
        <v>328514354</v>
      </c>
      <c r="F2614">
        <v>334092169</v>
      </c>
      <c r="G2614">
        <v>247953526</v>
      </c>
      <c r="I2614">
        <v>0</v>
      </c>
      <c r="J2614">
        <v>126752441</v>
      </c>
      <c r="P2614">
        <v>58</v>
      </c>
      <c r="Q2614" t="s">
        <v>5562</v>
      </c>
    </row>
    <row r="2615" spans="1:17" x14ac:dyDescent="0.3">
      <c r="A2615" t="s">
        <v>17</v>
      </c>
      <c r="B2615" t="str">
        <f>"600738"</f>
        <v>600738</v>
      </c>
      <c r="C2615" t="s">
        <v>5563</v>
      </c>
      <c r="D2615" t="s">
        <v>582</v>
      </c>
      <c r="E2615">
        <v>328133438</v>
      </c>
      <c r="F2615">
        <v>304255296</v>
      </c>
      <c r="G2615">
        <v>225150878</v>
      </c>
      <c r="H2615">
        <v>413305056</v>
      </c>
      <c r="I2615">
        <v>502129075</v>
      </c>
      <c r="J2615">
        <v>379287796</v>
      </c>
      <c r="K2615">
        <v>313949469</v>
      </c>
      <c r="L2615">
        <v>336274637</v>
      </c>
      <c r="M2615">
        <v>355580428</v>
      </c>
      <c r="N2615">
        <v>479853655</v>
      </c>
      <c r="O2615">
        <v>463453371</v>
      </c>
      <c r="P2615">
        <v>153</v>
      </c>
      <c r="Q2615" t="s">
        <v>5564</v>
      </c>
    </row>
    <row r="2616" spans="1:17" x14ac:dyDescent="0.3">
      <c r="A2616" t="s">
        <v>17</v>
      </c>
      <c r="B2616" t="str">
        <f>"600199"</f>
        <v>600199</v>
      </c>
      <c r="C2616" t="s">
        <v>5565</v>
      </c>
      <c r="D2616" t="s">
        <v>201</v>
      </c>
      <c r="E2616">
        <v>327985547</v>
      </c>
      <c r="F2616">
        <v>363776496</v>
      </c>
      <c r="G2616">
        <v>133950700</v>
      </c>
      <c r="H2616">
        <v>321157729</v>
      </c>
      <c r="I2616">
        <v>303126299</v>
      </c>
      <c r="J2616">
        <v>370023537</v>
      </c>
      <c r="K2616">
        <v>402916595</v>
      </c>
      <c r="L2616">
        <v>584603988</v>
      </c>
      <c r="M2616">
        <v>467451977</v>
      </c>
      <c r="N2616">
        <v>676157835</v>
      </c>
      <c r="O2616">
        <v>496171836</v>
      </c>
      <c r="P2616">
        <v>383</v>
      </c>
      <c r="Q2616" t="s">
        <v>5566</v>
      </c>
    </row>
    <row r="2617" spans="1:17" x14ac:dyDescent="0.3">
      <c r="A2617" t="s">
        <v>75</v>
      </c>
      <c r="B2617" t="str">
        <f>"002261"</f>
        <v>002261</v>
      </c>
      <c r="C2617" t="s">
        <v>5567</v>
      </c>
      <c r="D2617" t="s">
        <v>1001</v>
      </c>
      <c r="E2617">
        <v>327873197</v>
      </c>
      <c r="F2617">
        <v>315691674</v>
      </c>
      <c r="G2617">
        <v>153905326</v>
      </c>
      <c r="H2617">
        <v>209506172</v>
      </c>
      <c r="I2617">
        <v>201293328</v>
      </c>
      <c r="J2617">
        <v>235112101</v>
      </c>
      <c r="K2617">
        <v>222173373</v>
      </c>
      <c r="L2617">
        <v>153337946</v>
      </c>
      <c r="M2617">
        <v>161716630</v>
      </c>
      <c r="N2617">
        <v>72981381</v>
      </c>
      <c r="O2617">
        <v>80352118</v>
      </c>
      <c r="P2617">
        <v>299</v>
      </c>
      <c r="Q2617" t="s">
        <v>5568</v>
      </c>
    </row>
    <row r="2618" spans="1:17" x14ac:dyDescent="0.3">
      <c r="A2618" t="s">
        <v>75</v>
      </c>
      <c r="B2618" t="str">
        <f>"002796"</f>
        <v>002796</v>
      </c>
      <c r="C2618" t="s">
        <v>5569</v>
      </c>
      <c r="D2618" t="s">
        <v>892</v>
      </c>
      <c r="E2618">
        <v>327630613</v>
      </c>
      <c r="F2618">
        <v>482869821</v>
      </c>
      <c r="G2618">
        <v>304712452</v>
      </c>
      <c r="H2618">
        <v>369333744</v>
      </c>
      <c r="I2618">
        <v>307646215</v>
      </c>
      <c r="J2618">
        <v>119504794</v>
      </c>
      <c r="K2618">
        <v>104480096</v>
      </c>
      <c r="L2618">
        <v>97021678</v>
      </c>
      <c r="P2618">
        <v>248</v>
      </c>
      <c r="Q2618" t="s">
        <v>5570</v>
      </c>
    </row>
    <row r="2619" spans="1:17" x14ac:dyDescent="0.3">
      <c r="A2619" t="s">
        <v>17</v>
      </c>
      <c r="B2619" t="str">
        <f>"605299"</f>
        <v>605299</v>
      </c>
      <c r="C2619" t="s">
        <v>5571</v>
      </c>
      <c r="D2619" t="s">
        <v>5484</v>
      </c>
      <c r="E2619">
        <v>327515374</v>
      </c>
      <c r="F2619">
        <v>391931410</v>
      </c>
      <c r="G2619">
        <v>322381150</v>
      </c>
      <c r="I2619">
        <v>281189751</v>
      </c>
      <c r="P2619">
        <v>58</v>
      </c>
      <c r="Q2619" t="s">
        <v>5572</v>
      </c>
    </row>
    <row r="2620" spans="1:17" x14ac:dyDescent="0.3">
      <c r="A2620" t="s">
        <v>75</v>
      </c>
      <c r="B2620" t="str">
        <f>"000697"</f>
        <v>000697</v>
      </c>
      <c r="C2620" t="s">
        <v>5573</v>
      </c>
      <c r="D2620" t="s">
        <v>1551</v>
      </c>
      <c r="E2620">
        <v>327238882</v>
      </c>
      <c r="F2620">
        <v>171942340</v>
      </c>
      <c r="G2620">
        <v>492975603</v>
      </c>
      <c r="H2620">
        <v>530470430</v>
      </c>
      <c r="I2620">
        <v>344886515</v>
      </c>
      <c r="J2620">
        <v>895050</v>
      </c>
      <c r="K2620">
        <v>0</v>
      </c>
      <c r="L2620">
        <v>112573</v>
      </c>
      <c r="M2620">
        <v>38193750</v>
      </c>
      <c r="N2620">
        <v>20153164</v>
      </c>
      <c r="O2620">
        <v>42881500</v>
      </c>
      <c r="P2620">
        <v>110</v>
      </c>
      <c r="Q2620" t="s">
        <v>5574</v>
      </c>
    </row>
    <row r="2621" spans="1:17" x14ac:dyDescent="0.3">
      <c r="A2621" t="s">
        <v>17</v>
      </c>
      <c r="B2621" t="str">
        <f>"603006"</f>
        <v>603006</v>
      </c>
      <c r="C2621" t="s">
        <v>5575</v>
      </c>
      <c r="D2621" t="s">
        <v>1321</v>
      </c>
      <c r="E2621">
        <v>327180572</v>
      </c>
      <c r="F2621">
        <v>262013458</v>
      </c>
      <c r="G2621">
        <v>169338527</v>
      </c>
      <c r="H2621">
        <v>191575480</v>
      </c>
      <c r="I2621">
        <v>268929985</v>
      </c>
      <c r="J2621">
        <v>226382358</v>
      </c>
      <c r="K2621">
        <v>233258045</v>
      </c>
      <c r="L2621">
        <v>148021751</v>
      </c>
      <c r="M2621">
        <v>0</v>
      </c>
      <c r="N2621">
        <v>0</v>
      </c>
      <c r="P2621">
        <v>106</v>
      </c>
      <c r="Q2621" t="s">
        <v>5576</v>
      </c>
    </row>
    <row r="2622" spans="1:17" x14ac:dyDescent="0.3">
      <c r="A2622" t="s">
        <v>17</v>
      </c>
      <c r="B2622" t="str">
        <f>"605151"</f>
        <v>605151</v>
      </c>
      <c r="C2622" t="s">
        <v>5577</v>
      </c>
      <c r="D2622" t="s">
        <v>3620</v>
      </c>
      <c r="E2622">
        <v>326933139</v>
      </c>
      <c r="F2622">
        <v>361023965</v>
      </c>
      <c r="G2622">
        <v>284838106</v>
      </c>
      <c r="P2622">
        <v>55</v>
      </c>
      <c r="Q2622" t="s">
        <v>5578</v>
      </c>
    </row>
    <row r="2623" spans="1:17" x14ac:dyDescent="0.3">
      <c r="A2623" t="s">
        <v>17</v>
      </c>
      <c r="B2623" t="str">
        <f>"688301"</f>
        <v>688301</v>
      </c>
      <c r="C2623" t="s">
        <v>5579</v>
      </c>
      <c r="D2623" t="s">
        <v>334</v>
      </c>
      <c r="E2623">
        <v>326452247</v>
      </c>
      <c r="F2623">
        <v>234239589</v>
      </c>
      <c r="G2623">
        <v>208804148</v>
      </c>
      <c r="P2623">
        <v>178</v>
      </c>
      <c r="Q2623" t="s">
        <v>5580</v>
      </c>
    </row>
    <row r="2624" spans="1:17" x14ac:dyDescent="0.3">
      <c r="A2624" t="s">
        <v>17</v>
      </c>
      <c r="B2624" t="str">
        <f>"603726"</f>
        <v>603726</v>
      </c>
      <c r="C2624" t="s">
        <v>5581</v>
      </c>
      <c r="D2624" t="s">
        <v>1063</v>
      </c>
      <c r="E2624">
        <v>326075395</v>
      </c>
      <c r="F2624">
        <v>213889822</v>
      </c>
      <c r="G2624">
        <v>190061168</v>
      </c>
      <c r="H2624">
        <v>334766441</v>
      </c>
      <c r="I2624">
        <v>325763485</v>
      </c>
      <c r="J2624">
        <v>212868099</v>
      </c>
      <c r="K2624">
        <v>169023287</v>
      </c>
      <c r="L2624">
        <v>182290236</v>
      </c>
      <c r="P2624">
        <v>123</v>
      </c>
      <c r="Q2624" t="s">
        <v>5582</v>
      </c>
    </row>
    <row r="2625" spans="1:17" x14ac:dyDescent="0.3">
      <c r="A2625" t="s">
        <v>75</v>
      </c>
      <c r="B2625" t="str">
        <f>"300039"</f>
        <v>300039</v>
      </c>
      <c r="C2625" t="s">
        <v>5583</v>
      </c>
      <c r="D2625" t="s">
        <v>321</v>
      </c>
      <c r="E2625">
        <v>325234290</v>
      </c>
      <c r="F2625">
        <v>256489419</v>
      </c>
      <c r="G2625">
        <v>358528181</v>
      </c>
      <c r="H2625">
        <v>384866206</v>
      </c>
      <c r="I2625">
        <v>420500695</v>
      </c>
      <c r="J2625">
        <v>451165915</v>
      </c>
      <c r="K2625">
        <v>396647603</v>
      </c>
      <c r="L2625">
        <v>304254978</v>
      </c>
      <c r="M2625">
        <v>372325616</v>
      </c>
      <c r="N2625">
        <v>358205045</v>
      </c>
      <c r="O2625">
        <v>282374775</v>
      </c>
      <c r="P2625">
        <v>223</v>
      </c>
      <c r="Q2625" t="s">
        <v>5584</v>
      </c>
    </row>
    <row r="2626" spans="1:17" x14ac:dyDescent="0.3">
      <c r="A2626" t="s">
        <v>75</v>
      </c>
      <c r="B2626" t="str">
        <f>"002792"</f>
        <v>002792</v>
      </c>
      <c r="C2626" t="s">
        <v>5585</v>
      </c>
      <c r="D2626" t="s">
        <v>169</v>
      </c>
      <c r="E2626">
        <v>325203119</v>
      </c>
      <c r="F2626">
        <v>512428017</v>
      </c>
      <c r="G2626">
        <v>435741856</v>
      </c>
      <c r="H2626">
        <v>359271159</v>
      </c>
      <c r="I2626">
        <v>347761390</v>
      </c>
      <c r="J2626">
        <v>335891292</v>
      </c>
      <c r="K2626">
        <v>274789745</v>
      </c>
      <c r="L2626">
        <v>294904148</v>
      </c>
      <c r="P2626">
        <v>343</v>
      </c>
      <c r="Q2626" t="s">
        <v>5586</v>
      </c>
    </row>
    <row r="2627" spans="1:17" x14ac:dyDescent="0.3">
      <c r="A2627" t="s">
        <v>75</v>
      </c>
      <c r="B2627" t="str">
        <f>"300986"</f>
        <v>300986</v>
      </c>
      <c r="C2627" t="s">
        <v>5587</v>
      </c>
      <c r="D2627" t="s">
        <v>96</v>
      </c>
      <c r="E2627">
        <v>324479734</v>
      </c>
      <c r="F2627">
        <v>317281553</v>
      </c>
      <c r="G2627">
        <v>154619697</v>
      </c>
      <c r="P2627">
        <v>34</v>
      </c>
      <c r="Q2627" t="s">
        <v>5588</v>
      </c>
    </row>
    <row r="2628" spans="1:17" x14ac:dyDescent="0.3">
      <c r="A2628" t="s">
        <v>75</v>
      </c>
      <c r="B2628" t="str">
        <f>"300341"</f>
        <v>300341</v>
      </c>
      <c r="C2628" t="s">
        <v>5589</v>
      </c>
      <c r="D2628" t="s">
        <v>347</v>
      </c>
      <c r="E2628">
        <v>324361734</v>
      </c>
      <c r="F2628">
        <v>296383077</v>
      </c>
      <c r="G2628">
        <v>227805101</v>
      </c>
      <c r="H2628">
        <v>214162383</v>
      </c>
      <c r="I2628">
        <v>164520164</v>
      </c>
      <c r="J2628">
        <v>179885728</v>
      </c>
      <c r="K2628">
        <v>142643978</v>
      </c>
      <c r="L2628">
        <v>74046850</v>
      </c>
      <c r="M2628">
        <v>88938265</v>
      </c>
      <c r="N2628">
        <v>74529523</v>
      </c>
      <c r="O2628">
        <v>73188328</v>
      </c>
      <c r="P2628">
        <v>142</v>
      </c>
      <c r="Q2628" t="s">
        <v>5590</v>
      </c>
    </row>
    <row r="2629" spans="1:17" x14ac:dyDescent="0.3">
      <c r="A2629" t="s">
        <v>17</v>
      </c>
      <c r="B2629" t="str">
        <f>"600857"</f>
        <v>600857</v>
      </c>
      <c r="C2629" t="s">
        <v>5591</v>
      </c>
      <c r="D2629" t="s">
        <v>582</v>
      </c>
      <c r="E2629">
        <v>323759566</v>
      </c>
      <c r="F2629">
        <v>378149649</v>
      </c>
      <c r="G2629">
        <v>214145393</v>
      </c>
      <c r="H2629">
        <v>305362401</v>
      </c>
      <c r="I2629">
        <v>313955711</v>
      </c>
      <c r="J2629">
        <v>297612113</v>
      </c>
      <c r="K2629">
        <v>310765875</v>
      </c>
      <c r="L2629">
        <v>378851834</v>
      </c>
      <c r="M2629">
        <v>428867135</v>
      </c>
      <c r="N2629">
        <v>453285256</v>
      </c>
      <c r="O2629">
        <v>384510438</v>
      </c>
      <c r="P2629">
        <v>74</v>
      </c>
      <c r="Q2629" t="s">
        <v>5592</v>
      </c>
    </row>
    <row r="2630" spans="1:17" x14ac:dyDescent="0.3">
      <c r="A2630" t="s">
        <v>17</v>
      </c>
      <c r="B2630" t="str">
        <f>"688037"</f>
        <v>688037</v>
      </c>
      <c r="C2630" t="s">
        <v>5593</v>
      </c>
      <c r="D2630" t="s">
        <v>1859</v>
      </c>
      <c r="E2630">
        <v>323635059</v>
      </c>
      <c r="F2630">
        <v>124083384</v>
      </c>
      <c r="G2630">
        <v>46544405</v>
      </c>
      <c r="H2630">
        <v>28763446</v>
      </c>
      <c r="P2630">
        <v>168</v>
      </c>
      <c r="Q2630" t="s">
        <v>5594</v>
      </c>
    </row>
    <row r="2631" spans="1:17" x14ac:dyDescent="0.3">
      <c r="A2631" t="s">
        <v>75</v>
      </c>
      <c r="B2631" t="str">
        <f>"300684"</f>
        <v>300684</v>
      </c>
      <c r="C2631" t="s">
        <v>5595</v>
      </c>
      <c r="D2631" t="s">
        <v>55</v>
      </c>
      <c r="E2631">
        <v>323352633</v>
      </c>
      <c r="F2631">
        <v>357543588</v>
      </c>
      <c r="G2631">
        <v>251948452</v>
      </c>
      <c r="H2631">
        <v>143940383</v>
      </c>
      <c r="I2631">
        <v>270963772</v>
      </c>
      <c r="J2631">
        <v>78522983</v>
      </c>
      <c r="P2631">
        <v>348</v>
      </c>
      <c r="Q2631" t="s">
        <v>5596</v>
      </c>
    </row>
    <row r="2632" spans="1:17" x14ac:dyDescent="0.3">
      <c r="A2632" t="s">
        <v>75</v>
      </c>
      <c r="B2632" t="str">
        <f>"300982"</f>
        <v>300982</v>
      </c>
      <c r="C2632" t="s">
        <v>5597</v>
      </c>
      <c r="D2632" t="s">
        <v>27</v>
      </c>
      <c r="E2632">
        <v>323210175</v>
      </c>
      <c r="F2632">
        <v>351901759</v>
      </c>
      <c r="G2632">
        <v>181497224</v>
      </c>
      <c r="P2632">
        <v>65</v>
      </c>
      <c r="Q2632" t="s">
        <v>5598</v>
      </c>
    </row>
    <row r="2633" spans="1:17" x14ac:dyDescent="0.3">
      <c r="A2633" t="s">
        <v>75</v>
      </c>
      <c r="B2633" t="str">
        <f>"300792"</f>
        <v>300792</v>
      </c>
      <c r="C2633" t="s">
        <v>5599</v>
      </c>
      <c r="D2633" t="s">
        <v>2946</v>
      </c>
      <c r="E2633">
        <v>323058174</v>
      </c>
      <c r="F2633">
        <v>260761763</v>
      </c>
      <c r="G2633">
        <v>300990384</v>
      </c>
      <c r="H2633">
        <v>273014521</v>
      </c>
      <c r="P2633">
        <v>369</v>
      </c>
      <c r="Q2633" t="s">
        <v>5600</v>
      </c>
    </row>
    <row r="2634" spans="1:17" x14ac:dyDescent="0.3">
      <c r="A2634" t="s">
        <v>75</v>
      </c>
      <c r="B2634" t="str">
        <f>"002686"</f>
        <v>002686</v>
      </c>
      <c r="C2634" t="s">
        <v>5601</v>
      </c>
      <c r="D2634" t="s">
        <v>2626</v>
      </c>
      <c r="E2634">
        <v>322823086</v>
      </c>
      <c r="F2634">
        <v>343441188</v>
      </c>
      <c r="G2634">
        <v>261916083</v>
      </c>
      <c r="H2634">
        <v>324207326</v>
      </c>
      <c r="I2634">
        <v>251699869</v>
      </c>
      <c r="J2634">
        <v>227961293</v>
      </c>
      <c r="K2634">
        <v>167949019</v>
      </c>
      <c r="L2634">
        <v>138268904</v>
      </c>
      <c r="M2634">
        <v>106787061</v>
      </c>
      <c r="N2634">
        <v>114985673</v>
      </c>
      <c r="O2634">
        <v>70577884</v>
      </c>
      <c r="P2634">
        <v>78</v>
      </c>
      <c r="Q2634" t="s">
        <v>5602</v>
      </c>
    </row>
    <row r="2635" spans="1:17" x14ac:dyDescent="0.3">
      <c r="A2635" t="s">
        <v>75</v>
      </c>
      <c r="B2635" t="str">
        <f>"300416"</f>
        <v>300416</v>
      </c>
      <c r="C2635" t="s">
        <v>5603</v>
      </c>
      <c r="D2635" t="s">
        <v>2549</v>
      </c>
      <c r="E2635">
        <v>322415210</v>
      </c>
      <c r="F2635">
        <v>340540589</v>
      </c>
      <c r="G2635">
        <v>184701636</v>
      </c>
      <c r="H2635">
        <v>100118651</v>
      </c>
      <c r="I2635">
        <v>94888618</v>
      </c>
      <c r="J2635">
        <v>62178228</v>
      </c>
      <c r="K2635">
        <v>59198927</v>
      </c>
      <c r="L2635">
        <v>54346142</v>
      </c>
      <c r="M2635">
        <v>42430314</v>
      </c>
      <c r="P2635">
        <v>305</v>
      </c>
      <c r="Q2635" t="s">
        <v>5604</v>
      </c>
    </row>
    <row r="2636" spans="1:17" x14ac:dyDescent="0.3">
      <c r="A2636" t="s">
        <v>75</v>
      </c>
      <c r="B2636" t="str">
        <f>"003036"</f>
        <v>003036</v>
      </c>
      <c r="C2636" t="s">
        <v>5605</v>
      </c>
      <c r="D2636" t="s">
        <v>2265</v>
      </c>
      <c r="E2636">
        <v>321953173</v>
      </c>
      <c r="F2636">
        <v>211611138</v>
      </c>
      <c r="G2636">
        <v>133813179</v>
      </c>
      <c r="H2636">
        <v>162092647</v>
      </c>
      <c r="P2636">
        <v>37</v>
      </c>
      <c r="Q2636" t="s">
        <v>5606</v>
      </c>
    </row>
    <row r="2637" spans="1:17" x14ac:dyDescent="0.3">
      <c r="A2637" t="s">
        <v>75</v>
      </c>
      <c r="B2637" t="str">
        <f>"300738"</f>
        <v>300738</v>
      </c>
      <c r="C2637" t="s">
        <v>5607</v>
      </c>
      <c r="D2637" t="s">
        <v>224</v>
      </c>
      <c r="E2637">
        <v>321936900</v>
      </c>
      <c r="F2637">
        <v>266523762</v>
      </c>
      <c r="G2637">
        <v>145266082</v>
      </c>
      <c r="H2637">
        <v>208418850</v>
      </c>
      <c r="I2637">
        <v>92574040</v>
      </c>
      <c r="J2637">
        <v>71040298</v>
      </c>
      <c r="P2637">
        <v>300</v>
      </c>
      <c r="Q2637" t="s">
        <v>5608</v>
      </c>
    </row>
    <row r="2638" spans="1:17" x14ac:dyDescent="0.3">
      <c r="A2638" t="s">
        <v>75</v>
      </c>
      <c r="B2638" t="str">
        <f>"300091"</f>
        <v>300091</v>
      </c>
      <c r="C2638" t="s">
        <v>5609</v>
      </c>
      <c r="D2638" t="s">
        <v>1424</v>
      </c>
      <c r="E2638">
        <v>321387865</v>
      </c>
      <c r="F2638">
        <v>355260615</v>
      </c>
      <c r="G2638">
        <v>246818535</v>
      </c>
      <c r="H2638">
        <v>370079839</v>
      </c>
      <c r="I2638">
        <v>264355513</v>
      </c>
      <c r="J2638">
        <v>177874439</v>
      </c>
      <c r="K2638">
        <v>163607579</v>
      </c>
      <c r="L2638">
        <v>148793633</v>
      </c>
      <c r="M2638">
        <v>161403463</v>
      </c>
      <c r="N2638">
        <v>154508541</v>
      </c>
      <c r="O2638">
        <v>137891688</v>
      </c>
      <c r="P2638">
        <v>101</v>
      </c>
      <c r="Q2638" t="s">
        <v>5610</v>
      </c>
    </row>
    <row r="2639" spans="1:17" x14ac:dyDescent="0.3">
      <c r="A2639" t="s">
        <v>75</v>
      </c>
      <c r="B2639" t="str">
        <f>"000509"</f>
        <v>000509</v>
      </c>
      <c r="C2639" t="s">
        <v>5611</v>
      </c>
      <c r="D2639" t="s">
        <v>1129</v>
      </c>
      <c r="E2639">
        <v>321368290</v>
      </c>
      <c r="F2639">
        <v>12297084</v>
      </c>
      <c r="G2639">
        <v>13322568</v>
      </c>
      <c r="H2639">
        <v>16779939</v>
      </c>
      <c r="I2639">
        <v>721058481</v>
      </c>
      <c r="J2639">
        <v>102363235</v>
      </c>
      <c r="K2639">
        <v>35350938</v>
      </c>
      <c r="L2639">
        <v>27603583</v>
      </c>
      <c r="M2639">
        <v>45345335</v>
      </c>
      <c r="N2639">
        <v>87365232</v>
      </c>
      <c r="O2639">
        <v>60967541</v>
      </c>
      <c r="P2639">
        <v>84</v>
      </c>
      <c r="Q2639" t="s">
        <v>5612</v>
      </c>
    </row>
    <row r="2640" spans="1:17" x14ac:dyDescent="0.3">
      <c r="A2640" t="s">
        <v>17</v>
      </c>
      <c r="B2640" t="str">
        <f>"603809"</f>
        <v>603809</v>
      </c>
      <c r="C2640" t="s">
        <v>5613</v>
      </c>
      <c r="D2640" t="s">
        <v>172</v>
      </c>
      <c r="E2640">
        <v>321204195</v>
      </c>
      <c r="F2640">
        <v>303250011</v>
      </c>
      <c r="G2640">
        <v>225032401</v>
      </c>
      <c r="H2640">
        <v>219642693</v>
      </c>
      <c r="I2640">
        <v>181132148</v>
      </c>
      <c r="J2640">
        <v>127626397</v>
      </c>
      <c r="P2640">
        <v>137</v>
      </c>
      <c r="Q2640" t="s">
        <v>5614</v>
      </c>
    </row>
    <row r="2641" spans="1:17" x14ac:dyDescent="0.3">
      <c r="A2641" t="s">
        <v>17</v>
      </c>
      <c r="B2641" t="str">
        <f>"600592"</f>
        <v>600592</v>
      </c>
      <c r="C2641" t="s">
        <v>5615</v>
      </c>
      <c r="D2641" t="s">
        <v>153</v>
      </c>
      <c r="E2641">
        <v>321019670</v>
      </c>
      <c r="F2641">
        <v>259289656</v>
      </c>
      <c r="G2641">
        <v>171800176</v>
      </c>
      <c r="H2641">
        <v>223530899</v>
      </c>
      <c r="I2641">
        <v>208071571</v>
      </c>
      <c r="J2641">
        <v>126494854</v>
      </c>
      <c r="K2641">
        <v>123810765</v>
      </c>
      <c r="L2641">
        <v>170113764</v>
      </c>
      <c r="M2641">
        <v>125637998</v>
      </c>
      <c r="N2641">
        <v>136731771</v>
      </c>
      <c r="O2641">
        <v>207104062</v>
      </c>
      <c r="P2641">
        <v>75</v>
      </c>
      <c r="Q2641" t="s">
        <v>5616</v>
      </c>
    </row>
    <row r="2642" spans="1:17" x14ac:dyDescent="0.3">
      <c r="A2642" t="s">
        <v>75</v>
      </c>
      <c r="B2642" t="str">
        <f>"300102"</f>
        <v>300102</v>
      </c>
      <c r="C2642" t="s">
        <v>5617</v>
      </c>
      <c r="D2642" t="s">
        <v>1044</v>
      </c>
      <c r="E2642">
        <v>320878973</v>
      </c>
      <c r="F2642">
        <v>284741778</v>
      </c>
      <c r="G2642">
        <v>280116314</v>
      </c>
      <c r="H2642">
        <v>218615740</v>
      </c>
      <c r="I2642">
        <v>282244069</v>
      </c>
      <c r="J2642">
        <v>234446001</v>
      </c>
      <c r="K2642">
        <v>163037568</v>
      </c>
      <c r="L2642">
        <v>98839230</v>
      </c>
      <c r="M2642">
        <v>123299226</v>
      </c>
      <c r="N2642">
        <v>71883521</v>
      </c>
      <c r="O2642">
        <v>37162602</v>
      </c>
      <c r="P2642">
        <v>158</v>
      </c>
      <c r="Q2642" t="s">
        <v>5618</v>
      </c>
    </row>
    <row r="2643" spans="1:17" x14ac:dyDescent="0.3">
      <c r="A2643" t="s">
        <v>17</v>
      </c>
      <c r="B2643" t="str">
        <f>"601965"</f>
        <v>601965</v>
      </c>
      <c r="C2643" t="s">
        <v>5619</v>
      </c>
      <c r="D2643" t="s">
        <v>3620</v>
      </c>
      <c r="E2643">
        <v>320806760</v>
      </c>
      <c r="F2643">
        <v>410630959</v>
      </c>
      <c r="G2643">
        <v>289620867</v>
      </c>
      <c r="H2643">
        <v>275667412</v>
      </c>
      <c r="I2643">
        <v>354908356</v>
      </c>
      <c r="J2643">
        <v>261661691</v>
      </c>
      <c r="K2643">
        <v>188219712</v>
      </c>
      <c r="L2643">
        <v>152788904</v>
      </c>
      <c r="M2643">
        <v>212660913</v>
      </c>
      <c r="N2643">
        <v>173285978</v>
      </c>
      <c r="O2643">
        <v>163027728</v>
      </c>
      <c r="P2643">
        <v>307</v>
      </c>
      <c r="Q2643" t="s">
        <v>5620</v>
      </c>
    </row>
    <row r="2644" spans="1:17" x14ac:dyDescent="0.3">
      <c r="A2644" t="s">
        <v>75</v>
      </c>
      <c r="B2644" t="str">
        <f>"000882"</f>
        <v>000882</v>
      </c>
      <c r="C2644" t="s">
        <v>5621</v>
      </c>
      <c r="D2644" t="s">
        <v>582</v>
      </c>
      <c r="E2644">
        <v>320275782</v>
      </c>
      <c r="F2644">
        <v>243440908</v>
      </c>
      <c r="G2644">
        <v>271796681</v>
      </c>
      <c r="H2644">
        <v>354857855</v>
      </c>
      <c r="I2644">
        <v>327155689</v>
      </c>
      <c r="J2644">
        <v>237885326</v>
      </c>
      <c r="K2644">
        <v>263055002</v>
      </c>
      <c r="L2644">
        <v>457878047</v>
      </c>
      <c r="M2644">
        <v>330182492</v>
      </c>
      <c r="N2644">
        <v>160628202</v>
      </c>
      <c r="O2644">
        <v>167229193</v>
      </c>
      <c r="P2644">
        <v>114</v>
      </c>
      <c r="Q2644" t="s">
        <v>5622</v>
      </c>
    </row>
    <row r="2645" spans="1:17" x14ac:dyDescent="0.3">
      <c r="A2645" t="s">
        <v>17</v>
      </c>
      <c r="B2645" t="str">
        <f>"600725"</f>
        <v>600725</v>
      </c>
      <c r="C2645" t="s">
        <v>5623</v>
      </c>
      <c r="D2645" t="s">
        <v>837</v>
      </c>
      <c r="E2645">
        <v>320175204</v>
      </c>
      <c r="F2645">
        <v>383484048</v>
      </c>
      <c r="G2645">
        <v>247956105</v>
      </c>
      <c r="H2645">
        <v>93251325</v>
      </c>
      <c r="I2645">
        <v>149012152</v>
      </c>
      <c r="J2645">
        <v>38591473</v>
      </c>
      <c r="K2645">
        <v>350494527</v>
      </c>
      <c r="L2645">
        <v>610164931</v>
      </c>
      <c r="M2645">
        <v>1689206898</v>
      </c>
      <c r="N2645">
        <v>2905302801</v>
      </c>
      <c r="O2645">
        <v>1352678144</v>
      </c>
      <c r="P2645">
        <v>69</v>
      </c>
      <c r="Q2645" t="s">
        <v>5624</v>
      </c>
    </row>
    <row r="2646" spans="1:17" x14ac:dyDescent="0.3">
      <c r="A2646" t="s">
        <v>75</v>
      </c>
      <c r="B2646" t="str">
        <f>"300394"</f>
        <v>300394</v>
      </c>
      <c r="C2646" t="s">
        <v>5625</v>
      </c>
      <c r="D2646" t="s">
        <v>169</v>
      </c>
      <c r="E2646">
        <v>320085674</v>
      </c>
      <c r="F2646">
        <v>261505677</v>
      </c>
      <c r="G2646">
        <v>169833852</v>
      </c>
      <c r="H2646">
        <v>124366716</v>
      </c>
      <c r="I2646">
        <v>90488731</v>
      </c>
      <c r="J2646">
        <v>95397028</v>
      </c>
      <c r="K2646">
        <v>77678307</v>
      </c>
      <c r="L2646">
        <v>62075796</v>
      </c>
      <c r="M2646">
        <v>53237202</v>
      </c>
      <c r="P2646">
        <v>802</v>
      </c>
      <c r="Q2646" t="s">
        <v>5626</v>
      </c>
    </row>
    <row r="2647" spans="1:17" x14ac:dyDescent="0.3">
      <c r="A2647" t="s">
        <v>75</v>
      </c>
      <c r="B2647" t="str">
        <f>"002997"</f>
        <v>002997</v>
      </c>
      <c r="C2647" t="s">
        <v>5627</v>
      </c>
      <c r="D2647" t="s">
        <v>1321</v>
      </c>
      <c r="E2647">
        <v>319981892</v>
      </c>
      <c r="F2647">
        <v>222848279</v>
      </c>
      <c r="G2647">
        <v>246155329</v>
      </c>
      <c r="P2647">
        <v>85</v>
      </c>
      <c r="Q2647" t="s">
        <v>5628</v>
      </c>
    </row>
    <row r="2648" spans="1:17" x14ac:dyDescent="0.3">
      <c r="A2648" t="s">
        <v>75</v>
      </c>
      <c r="B2648" t="str">
        <f>"003001"</f>
        <v>003001</v>
      </c>
      <c r="C2648" t="s">
        <v>5629</v>
      </c>
      <c r="D2648" t="s">
        <v>52</v>
      </c>
      <c r="E2648">
        <v>319801884</v>
      </c>
      <c r="F2648">
        <v>219184269</v>
      </c>
      <c r="G2648">
        <v>182235876</v>
      </c>
      <c r="P2648">
        <v>95</v>
      </c>
      <c r="Q2648" t="s">
        <v>5630</v>
      </c>
    </row>
    <row r="2649" spans="1:17" x14ac:dyDescent="0.3">
      <c r="A2649" t="s">
        <v>75</v>
      </c>
      <c r="B2649" t="str">
        <f>"300149"</f>
        <v>300149</v>
      </c>
      <c r="C2649" t="s">
        <v>5631</v>
      </c>
      <c r="D2649" t="s">
        <v>716</v>
      </c>
      <c r="E2649">
        <v>319618184</v>
      </c>
      <c r="F2649">
        <v>395537011</v>
      </c>
      <c r="G2649">
        <v>256847436</v>
      </c>
      <c r="H2649">
        <v>289244939</v>
      </c>
      <c r="I2649">
        <v>77747485</v>
      </c>
      <c r="J2649">
        <v>63373853</v>
      </c>
      <c r="K2649">
        <v>65837088</v>
      </c>
      <c r="L2649">
        <v>86034659</v>
      </c>
      <c r="M2649">
        <v>53308094</v>
      </c>
      <c r="N2649">
        <v>49424120</v>
      </c>
      <c r="O2649">
        <v>54610355</v>
      </c>
      <c r="P2649">
        <v>193</v>
      </c>
      <c r="Q2649" t="s">
        <v>5632</v>
      </c>
    </row>
    <row r="2650" spans="1:17" x14ac:dyDescent="0.3">
      <c r="A2650" t="s">
        <v>75</v>
      </c>
      <c r="B2650" t="str">
        <f>"002554"</f>
        <v>002554</v>
      </c>
      <c r="C2650" t="s">
        <v>5633</v>
      </c>
      <c r="D2650" t="s">
        <v>402</v>
      </c>
      <c r="E2650">
        <v>319569684</v>
      </c>
      <c r="F2650">
        <v>239540479</v>
      </c>
      <c r="G2650">
        <v>382019132</v>
      </c>
      <c r="H2650">
        <v>514661702</v>
      </c>
      <c r="I2650">
        <v>294969716</v>
      </c>
      <c r="J2650">
        <v>512721456</v>
      </c>
      <c r="K2650">
        <v>162434966</v>
      </c>
      <c r="L2650">
        <v>331741635</v>
      </c>
      <c r="M2650">
        <v>247736647</v>
      </c>
      <c r="N2650">
        <v>174681509</v>
      </c>
      <c r="O2650">
        <v>45222959</v>
      </c>
      <c r="P2650">
        <v>112</v>
      </c>
      <c r="Q2650" t="s">
        <v>5634</v>
      </c>
    </row>
    <row r="2651" spans="1:17" x14ac:dyDescent="0.3">
      <c r="A2651" t="s">
        <v>17</v>
      </c>
      <c r="B2651" t="str">
        <f>"603222"</f>
        <v>603222</v>
      </c>
      <c r="C2651" t="s">
        <v>5635</v>
      </c>
      <c r="D2651" t="s">
        <v>1538</v>
      </c>
      <c r="E2651">
        <v>319525005</v>
      </c>
      <c r="F2651">
        <v>250121203</v>
      </c>
      <c r="G2651">
        <v>134796881</v>
      </c>
      <c r="H2651">
        <v>169109292</v>
      </c>
      <c r="I2651">
        <v>134618165</v>
      </c>
      <c r="J2651">
        <v>113267939</v>
      </c>
      <c r="K2651">
        <v>82440473</v>
      </c>
      <c r="L2651">
        <v>111381334</v>
      </c>
      <c r="M2651">
        <v>117194264</v>
      </c>
      <c r="P2651">
        <v>171</v>
      </c>
      <c r="Q2651" t="s">
        <v>5636</v>
      </c>
    </row>
    <row r="2652" spans="1:17" x14ac:dyDescent="0.3">
      <c r="A2652" t="s">
        <v>17</v>
      </c>
      <c r="B2652" t="str">
        <f>"603309"</f>
        <v>603309</v>
      </c>
      <c r="C2652" t="s">
        <v>5637</v>
      </c>
      <c r="D2652" t="s">
        <v>1538</v>
      </c>
      <c r="E2652">
        <v>319459559</v>
      </c>
      <c r="F2652">
        <v>240696090</v>
      </c>
      <c r="G2652">
        <v>227076919</v>
      </c>
      <c r="H2652">
        <v>226858701</v>
      </c>
      <c r="I2652">
        <v>195285109</v>
      </c>
      <c r="J2652">
        <v>136064809</v>
      </c>
      <c r="K2652">
        <v>137128058</v>
      </c>
      <c r="L2652">
        <v>127134993</v>
      </c>
      <c r="M2652">
        <v>108807328</v>
      </c>
      <c r="P2652">
        <v>147</v>
      </c>
      <c r="Q2652" t="s">
        <v>5638</v>
      </c>
    </row>
    <row r="2653" spans="1:17" x14ac:dyDescent="0.3">
      <c r="A2653" t="s">
        <v>17</v>
      </c>
      <c r="B2653" t="str">
        <f>"603535"</f>
        <v>603535</v>
      </c>
      <c r="C2653" t="s">
        <v>5639</v>
      </c>
      <c r="D2653" t="s">
        <v>229</v>
      </c>
      <c r="E2653">
        <v>319379530</v>
      </c>
      <c r="F2653">
        <v>235467913</v>
      </c>
      <c r="G2653">
        <v>226466778</v>
      </c>
      <c r="H2653">
        <v>227211152</v>
      </c>
      <c r="I2653">
        <v>226764141</v>
      </c>
      <c r="J2653">
        <v>151072002</v>
      </c>
      <c r="K2653">
        <v>0</v>
      </c>
      <c r="P2653">
        <v>85</v>
      </c>
      <c r="Q2653" t="s">
        <v>5640</v>
      </c>
    </row>
    <row r="2654" spans="1:17" x14ac:dyDescent="0.3">
      <c r="A2654" t="s">
        <v>17</v>
      </c>
      <c r="B2654" t="str">
        <f>"600229"</f>
        <v>600229</v>
      </c>
      <c r="C2654" t="s">
        <v>5641</v>
      </c>
      <c r="D2654" t="s">
        <v>1703</v>
      </c>
      <c r="E2654">
        <v>319323105</v>
      </c>
      <c r="F2654">
        <v>398828103</v>
      </c>
      <c r="G2654">
        <v>142687201</v>
      </c>
      <c r="H2654">
        <v>330237404</v>
      </c>
      <c r="I2654">
        <v>333490469</v>
      </c>
      <c r="J2654">
        <v>291945456</v>
      </c>
      <c r="K2654">
        <v>203229002</v>
      </c>
      <c r="L2654">
        <v>438247393</v>
      </c>
      <c r="M2654">
        <v>436153753</v>
      </c>
      <c r="N2654">
        <v>542646773</v>
      </c>
      <c r="O2654">
        <v>583400884</v>
      </c>
      <c r="P2654">
        <v>174</v>
      </c>
      <c r="Q2654" t="s">
        <v>5642</v>
      </c>
    </row>
    <row r="2655" spans="1:17" x14ac:dyDescent="0.3">
      <c r="A2655" t="s">
        <v>17</v>
      </c>
      <c r="B2655" t="str">
        <f>"601579"</f>
        <v>601579</v>
      </c>
      <c r="C2655" t="s">
        <v>5643</v>
      </c>
      <c r="D2655" t="s">
        <v>2575</v>
      </c>
      <c r="E2655">
        <v>319219355</v>
      </c>
      <c r="F2655">
        <v>360727365</v>
      </c>
      <c r="G2655">
        <v>210115211</v>
      </c>
      <c r="H2655">
        <v>300762273</v>
      </c>
      <c r="I2655">
        <v>305444913</v>
      </c>
      <c r="J2655">
        <v>339291758</v>
      </c>
      <c r="K2655">
        <v>292655849</v>
      </c>
      <c r="L2655">
        <v>228809733</v>
      </c>
      <c r="M2655">
        <v>0</v>
      </c>
      <c r="P2655">
        <v>186</v>
      </c>
      <c r="Q2655" t="s">
        <v>5644</v>
      </c>
    </row>
    <row r="2656" spans="1:17" x14ac:dyDescent="0.3">
      <c r="A2656" t="s">
        <v>17</v>
      </c>
      <c r="B2656" t="str">
        <f>"603881"</f>
        <v>603881</v>
      </c>
      <c r="C2656" t="s">
        <v>5645</v>
      </c>
      <c r="D2656" t="s">
        <v>224</v>
      </c>
      <c r="E2656">
        <v>319095975</v>
      </c>
      <c r="F2656">
        <v>170754079</v>
      </c>
      <c r="G2656">
        <v>146832272</v>
      </c>
      <c r="H2656">
        <v>184856374</v>
      </c>
      <c r="I2656">
        <v>148228015</v>
      </c>
      <c r="J2656">
        <v>83314989</v>
      </c>
      <c r="K2656">
        <v>103395789</v>
      </c>
      <c r="P2656">
        <v>486</v>
      </c>
      <c r="Q2656" t="s">
        <v>5646</v>
      </c>
    </row>
    <row r="2657" spans="1:17" x14ac:dyDescent="0.3">
      <c r="A2657" t="s">
        <v>75</v>
      </c>
      <c r="B2657" t="str">
        <f>"300071"</f>
        <v>300071</v>
      </c>
      <c r="C2657" t="s">
        <v>5647</v>
      </c>
      <c r="D2657" t="s">
        <v>622</v>
      </c>
      <c r="E2657">
        <v>319077695</v>
      </c>
      <c r="F2657">
        <v>257164767</v>
      </c>
      <c r="G2657">
        <v>244331929</v>
      </c>
      <c r="H2657">
        <v>774749623</v>
      </c>
      <c r="I2657">
        <v>872609000</v>
      </c>
      <c r="J2657">
        <v>751995613</v>
      </c>
      <c r="K2657">
        <v>686263529</v>
      </c>
      <c r="L2657">
        <v>459135390</v>
      </c>
      <c r="M2657">
        <v>473424267</v>
      </c>
      <c r="N2657">
        <v>289272918</v>
      </c>
      <c r="O2657">
        <v>248546640</v>
      </c>
      <c r="P2657">
        <v>84</v>
      </c>
      <c r="Q2657" t="s">
        <v>5648</v>
      </c>
    </row>
    <row r="2658" spans="1:17" x14ac:dyDescent="0.3">
      <c r="A2658" t="s">
        <v>17</v>
      </c>
      <c r="B2658" t="str">
        <f>"600501"</f>
        <v>600501</v>
      </c>
      <c r="C2658" t="s">
        <v>5649</v>
      </c>
      <c r="D2658" t="s">
        <v>1624</v>
      </c>
      <c r="E2658">
        <v>318854815</v>
      </c>
      <c r="F2658">
        <v>834082617</v>
      </c>
      <c r="G2658">
        <v>1185047277</v>
      </c>
      <c r="H2658">
        <v>327705082</v>
      </c>
      <c r="I2658">
        <v>333906924</v>
      </c>
      <c r="J2658">
        <v>683851831</v>
      </c>
      <c r="K2658">
        <v>505411502</v>
      </c>
      <c r="L2658">
        <v>720561789</v>
      </c>
      <c r="M2658">
        <v>763793541</v>
      </c>
      <c r="N2658">
        <v>874182883</v>
      </c>
      <c r="O2658">
        <v>649937200</v>
      </c>
      <c r="P2658">
        <v>117</v>
      </c>
      <c r="Q2658" t="s">
        <v>5650</v>
      </c>
    </row>
    <row r="2659" spans="1:17" x14ac:dyDescent="0.3">
      <c r="A2659" t="s">
        <v>75</v>
      </c>
      <c r="B2659" t="str">
        <f>"002699"</f>
        <v>002699</v>
      </c>
      <c r="C2659" t="s">
        <v>5651</v>
      </c>
      <c r="D2659" t="s">
        <v>2532</v>
      </c>
      <c r="E2659">
        <v>318757389</v>
      </c>
      <c r="F2659">
        <v>213504249</v>
      </c>
      <c r="G2659">
        <v>295493912</v>
      </c>
      <c r="H2659">
        <v>127536647</v>
      </c>
      <c r="I2659">
        <v>143752632</v>
      </c>
      <c r="J2659">
        <v>122998083</v>
      </c>
      <c r="K2659">
        <v>78512691</v>
      </c>
      <c r="L2659">
        <v>97019009</v>
      </c>
      <c r="M2659">
        <v>50426902</v>
      </c>
      <c r="N2659">
        <v>21348727</v>
      </c>
      <c r="O2659">
        <v>26370583</v>
      </c>
      <c r="P2659">
        <v>157</v>
      </c>
      <c r="Q2659" t="s">
        <v>5652</v>
      </c>
    </row>
    <row r="2660" spans="1:17" x14ac:dyDescent="0.3">
      <c r="A2660" t="s">
        <v>17</v>
      </c>
      <c r="B2660" t="str">
        <f>"600815"</f>
        <v>600815</v>
      </c>
      <c r="C2660" t="s">
        <v>5653</v>
      </c>
      <c r="D2660" t="s">
        <v>262</v>
      </c>
      <c r="E2660">
        <v>318755159</v>
      </c>
      <c r="F2660">
        <v>298289744</v>
      </c>
      <c r="G2660">
        <v>204479908</v>
      </c>
      <c r="H2660">
        <v>551311812</v>
      </c>
      <c r="I2660">
        <v>1447652653</v>
      </c>
      <c r="J2660">
        <v>1241276380</v>
      </c>
      <c r="K2660">
        <v>560958075</v>
      </c>
      <c r="L2660">
        <v>850967209</v>
      </c>
      <c r="M2660">
        <v>789275900</v>
      </c>
      <c r="N2660">
        <v>1643125466</v>
      </c>
      <c r="O2660">
        <v>1217146246</v>
      </c>
      <c r="P2660">
        <v>67</v>
      </c>
      <c r="Q2660" t="s">
        <v>5654</v>
      </c>
    </row>
    <row r="2661" spans="1:17" x14ac:dyDescent="0.3">
      <c r="A2661" t="s">
        <v>75</v>
      </c>
      <c r="B2661" t="str">
        <f>"000544"</f>
        <v>000544</v>
      </c>
      <c r="C2661" t="s">
        <v>5655</v>
      </c>
      <c r="D2661" t="s">
        <v>1107</v>
      </c>
      <c r="E2661">
        <v>317872324</v>
      </c>
      <c r="F2661">
        <v>384899676</v>
      </c>
      <c r="G2661">
        <v>159776429</v>
      </c>
      <c r="H2661">
        <v>507937045</v>
      </c>
      <c r="I2661">
        <v>328206342</v>
      </c>
      <c r="J2661">
        <v>110117212</v>
      </c>
      <c r="K2661">
        <v>51741578</v>
      </c>
      <c r="L2661">
        <v>58599250</v>
      </c>
      <c r="M2661">
        <v>66435383</v>
      </c>
      <c r="N2661">
        <v>59065528</v>
      </c>
      <c r="O2661">
        <v>21887997</v>
      </c>
      <c r="P2661">
        <v>247</v>
      </c>
      <c r="Q2661" t="s">
        <v>5656</v>
      </c>
    </row>
    <row r="2662" spans="1:17" x14ac:dyDescent="0.3">
      <c r="A2662" t="s">
        <v>17</v>
      </c>
      <c r="B2662" t="str">
        <f>"605588"</f>
        <v>605588</v>
      </c>
      <c r="C2662" t="s">
        <v>5657</v>
      </c>
      <c r="D2662" t="s">
        <v>975</v>
      </c>
      <c r="E2662">
        <v>317815098</v>
      </c>
      <c r="F2662">
        <v>304374064</v>
      </c>
      <c r="G2662">
        <v>209581576</v>
      </c>
      <c r="P2662">
        <v>16</v>
      </c>
      <c r="Q2662" t="s">
        <v>5658</v>
      </c>
    </row>
    <row r="2663" spans="1:17" x14ac:dyDescent="0.3">
      <c r="A2663" t="s">
        <v>75</v>
      </c>
      <c r="B2663" t="str">
        <f>"300726"</f>
        <v>300726</v>
      </c>
      <c r="C2663" t="s">
        <v>5659</v>
      </c>
      <c r="D2663" t="s">
        <v>1572</v>
      </c>
      <c r="E2663">
        <v>317726740</v>
      </c>
      <c r="F2663">
        <v>305313345</v>
      </c>
      <c r="G2663">
        <v>134302064</v>
      </c>
      <c r="H2663">
        <v>133885086</v>
      </c>
      <c r="I2663">
        <v>77431612</v>
      </c>
      <c r="J2663">
        <v>79667915</v>
      </c>
      <c r="P2663">
        <v>748</v>
      </c>
      <c r="Q2663" t="s">
        <v>5660</v>
      </c>
    </row>
    <row r="2664" spans="1:17" x14ac:dyDescent="0.3">
      <c r="A2664" t="s">
        <v>17</v>
      </c>
      <c r="B2664" t="str">
        <f>"603800"</f>
        <v>603800</v>
      </c>
      <c r="C2664" t="s">
        <v>5661</v>
      </c>
      <c r="D2664" t="s">
        <v>786</v>
      </c>
      <c r="E2664">
        <v>317537308</v>
      </c>
      <c r="F2664">
        <v>165299738</v>
      </c>
      <c r="G2664">
        <v>211475776</v>
      </c>
      <c r="H2664">
        <v>288445479</v>
      </c>
      <c r="I2664">
        <v>195203984</v>
      </c>
      <c r="J2664">
        <v>124639187</v>
      </c>
      <c r="K2664">
        <v>85075692</v>
      </c>
      <c r="L2664">
        <v>0</v>
      </c>
      <c r="M2664">
        <v>0</v>
      </c>
      <c r="P2664">
        <v>75</v>
      </c>
      <c r="Q2664" t="s">
        <v>5662</v>
      </c>
    </row>
    <row r="2665" spans="1:17" x14ac:dyDescent="0.3">
      <c r="A2665" t="s">
        <v>75</v>
      </c>
      <c r="B2665" t="str">
        <f>"002096"</f>
        <v>002096</v>
      </c>
      <c r="C2665" t="s">
        <v>5663</v>
      </c>
      <c r="D2665" t="s">
        <v>1830</v>
      </c>
      <c r="E2665">
        <v>316726595</v>
      </c>
      <c r="F2665">
        <v>344639969</v>
      </c>
      <c r="G2665">
        <v>371185981</v>
      </c>
      <c r="H2665">
        <v>463131572</v>
      </c>
      <c r="I2665">
        <v>442643493</v>
      </c>
      <c r="J2665">
        <v>556223180</v>
      </c>
      <c r="K2665">
        <v>398588745</v>
      </c>
      <c r="L2665">
        <v>309115768</v>
      </c>
      <c r="M2665">
        <v>304405152</v>
      </c>
      <c r="N2665">
        <v>312034743</v>
      </c>
      <c r="O2665">
        <v>99009945</v>
      </c>
      <c r="P2665">
        <v>79</v>
      </c>
      <c r="Q2665" t="s">
        <v>5664</v>
      </c>
    </row>
    <row r="2666" spans="1:17" x14ac:dyDescent="0.3">
      <c r="A2666" t="s">
        <v>75</v>
      </c>
      <c r="B2666" t="str">
        <f>"002613"</f>
        <v>002613</v>
      </c>
      <c r="C2666" t="s">
        <v>5665</v>
      </c>
      <c r="D2666" t="s">
        <v>1436</v>
      </c>
      <c r="E2666">
        <v>316444155</v>
      </c>
      <c r="F2666">
        <v>261557426</v>
      </c>
      <c r="G2666">
        <v>151948054</v>
      </c>
      <c r="H2666">
        <v>197627403</v>
      </c>
      <c r="I2666">
        <v>256539468</v>
      </c>
      <c r="J2666">
        <v>191630883</v>
      </c>
      <c r="K2666">
        <v>145715293</v>
      </c>
      <c r="L2666">
        <v>129074183</v>
      </c>
      <c r="M2666">
        <v>127745176</v>
      </c>
      <c r="N2666">
        <v>110967277</v>
      </c>
      <c r="O2666">
        <v>136578789</v>
      </c>
      <c r="P2666">
        <v>90</v>
      </c>
      <c r="Q2666" t="s">
        <v>5666</v>
      </c>
    </row>
    <row r="2667" spans="1:17" x14ac:dyDescent="0.3">
      <c r="A2667" t="s">
        <v>75</v>
      </c>
      <c r="B2667" t="str">
        <f>"000584"</f>
        <v>000584</v>
      </c>
      <c r="C2667" t="s">
        <v>5667</v>
      </c>
      <c r="D2667" t="s">
        <v>3105</v>
      </c>
      <c r="E2667">
        <v>316354235</v>
      </c>
      <c r="F2667">
        <v>231781526</v>
      </c>
      <c r="G2667">
        <v>238026183</v>
      </c>
      <c r="H2667">
        <v>244141793</v>
      </c>
      <c r="I2667">
        <v>410360843</v>
      </c>
      <c r="J2667">
        <v>196057329</v>
      </c>
      <c r="K2667">
        <v>216738220</v>
      </c>
      <c r="L2667">
        <v>365018252</v>
      </c>
      <c r="M2667">
        <v>444099622</v>
      </c>
      <c r="N2667">
        <v>336199672</v>
      </c>
      <c r="O2667">
        <v>363650549</v>
      </c>
      <c r="P2667">
        <v>134</v>
      </c>
      <c r="Q2667" t="s">
        <v>5668</v>
      </c>
    </row>
    <row r="2668" spans="1:17" x14ac:dyDescent="0.3">
      <c r="A2668" t="s">
        <v>17</v>
      </c>
      <c r="B2668" t="str">
        <f>"688598"</f>
        <v>688598</v>
      </c>
      <c r="C2668" t="s">
        <v>5669</v>
      </c>
      <c r="D2668" t="s">
        <v>1512</v>
      </c>
      <c r="E2668">
        <v>315609840</v>
      </c>
      <c r="F2668">
        <v>130252705</v>
      </c>
      <c r="G2668">
        <v>63349870</v>
      </c>
      <c r="H2668">
        <v>23960263</v>
      </c>
      <c r="P2668">
        <v>262</v>
      </c>
      <c r="Q2668" t="s">
        <v>5670</v>
      </c>
    </row>
    <row r="2669" spans="1:17" x14ac:dyDescent="0.3">
      <c r="A2669" t="s">
        <v>17</v>
      </c>
      <c r="B2669" t="str">
        <f>"603331"</f>
        <v>603331</v>
      </c>
      <c r="C2669" t="s">
        <v>5671</v>
      </c>
      <c r="D2669" t="s">
        <v>1424</v>
      </c>
      <c r="E2669">
        <v>315209299</v>
      </c>
      <c r="F2669">
        <v>230963820</v>
      </c>
      <c r="G2669">
        <v>140503247</v>
      </c>
      <c r="H2669">
        <v>169148479</v>
      </c>
      <c r="I2669">
        <v>181558344</v>
      </c>
      <c r="J2669">
        <v>146465965</v>
      </c>
      <c r="K2669">
        <v>128570567</v>
      </c>
      <c r="P2669">
        <v>83</v>
      </c>
      <c r="Q2669" t="s">
        <v>5672</v>
      </c>
    </row>
    <row r="2670" spans="1:17" x14ac:dyDescent="0.3">
      <c r="A2670" t="s">
        <v>75</v>
      </c>
      <c r="B2670" t="str">
        <f>"300360"</f>
        <v>300360</v>
      </c>
      <c r="C2670" t="s">
        <v>5673</v>
      </c>
      <c r="D2670" t="s">
        <v>2251</v>
      </c>
      <c r="E2670">
        <v>314227643</v>
      </c>
      <c r="F2670">
        <v>160336240</v>
      </c>
      <c r="G2670">
        <v>202426384</v>
      </c>
      <c r="H2670">
        <v>221011398</v>
      </c>
      <c r="I2670">
        <v>239875154</v>
      </c>
      <c r="J2670">
        <v>160509421</v>
      </c>
      <c r="K2670">
        <v>149922831</v>
      </c>
      <c r="L2670">
        <v>192032967</v>
      </c>
      <c r="M2670">
        <v>120231395</v>
      </c>
      <c r="N2670">
        <v>79517120</v>
      </c>
      <c r="P2670">
        <v>958</v>
      </c>
      <c r="Q2670" t="s">
        <v>5674</v>
      </c>
    </row>
    <row r="2671" spans="1:17" x14ac:dyDescent="0.3">
      <c r="A2671" t="s">
        <v>75</v>
      </c>
      <c r="B2671" t="str">
        <f>"000836"</f>
        <v>000836</v>
      </c>
      <c r="C2671" t="s">
        <v>5675</v>
      </c>
      <c r="D2671" t="s">
        <v>549</v>
      </c>
      <c r="E2671">
        <v>314056383</v>
      </c>
      <c r="F2671">
        <v>124921888</v>
      </c>
      <c r="G2671">
        <v>76826098</v>
      </c>
      <c r="H2671">
        <v>306681529</v>
      </c>
      <c r="I2671">
        <v>175785307</v>
      </c>
      <c r="J2671">
        <v>451420412</v>
      </c>
      <c r="K2671">
        <v>346231602</v>
      </c>
      <c r="L2671">
        <v>256720352</v>
      </c>
      <c r="M2671">
        <v>153732932</v>
      </c>
      <c r="N2671">
        <v>182718198</v>
      </c>
      <c r="O2671">
        <v>163186650</v>
      </c>
      <c r="P2671">
        <v>135</v>
      </c>
      <c r="Q2671" t="s">
        <v>5676</v>
      </c>
    </row>
    <row r="2672" spans="1:17" x14ac:dyDescent="0.3">
      <c r="A2672" t="s">
        <v>75</v>
      </c>
      <c r="B2672" t="str">
        <f>"300573"</f>
        <v>300573</v>
      </c>
      <c r="C2672" t="s">
        <v>5677</v>
      </c>
      <c r="D2672" t="s">
        <v>543</v>
      </c>
      <c r="E2672">
        <v>313334689</v>
      </c>
      <c r="F2672">
        <v>213664992</v>
      </c>
      <c r="G2672">
        <v>114645424</v>
      </c>
      <c r="H2672">
        <v>119271325</v>
      </c>
      <c r="I2672">
        <v>97364933</v>
      </c>
      <c r="J2672">
        <v>91201485</v>
      </c>
      <c r="K2672">
        <v>76426814</v>
      </c>
      <c r="P2672">
        <v>315</v>
      </c>
      <c r="Q2672" t="s">
        <v>5678</v>
      </c>
    </row>
    <row r="2673" spans="1:17" x14ac:dyDescent="0.3">
      <c r="A2673" t="s">
        <v>75</v>
      </c>
      <c r="B2673" t="str">
        <f>"002842"</f>
        <v>002842</v>
      </c>
      <c r="C2673" t="s">
        <v>5679</v>
      </c>
      <c r="D2673" t="s">
        <v>783</v>
      </c>
      <c r="E2673">
        <v>313056559</v>
      </c>
      <c r="F2673">
        <v>248729940</v>
      </c>
      <c r="G2673">
        <v>272235719</v>
      </c>
      <c r="H2673">
        <v>309858753</v>
      </c>
      <c r="I2673">
        <v>242571093</v>
      </c>
      <c r="J2673">
        <v>66373749</v>
      </c>
      <c r="K2673">
        <v>104898533</v>
      </c>
      <c r="P2673">
        <v>99</v>
      </c>
      <c r="Q2673" t="s">
        <v>5680</v>
      </c>
    </row>
    <row r="2674" spans="1:17" x14ac:dyDescent="0.3">
      <c r="A2674" t="s">
        <v>75</v>
      </c>
      <c r="B2674" t="str">
        <f>"002458"</f>
        <v>002458</v>
      </c>
      <c r="C2674" t="s">
        <v>5681</v>
      </c>
      <c r="D2674" t="s">
        <v>1200</v>
      </c>
      <c r="E2674">
        <v>312889851</v>
      </c>
      <c r="F2674">
        <v>527480059</v>
      </c>
      <c r="G2674">
        <v>537029887</v>
      </c>
      <c r="H2674">
        <v>642407240</v>
      </c>
      <c r="I2674">
        <v>209381615</v>
      </c>
      <c r="J2674">
        <v>181900511</v>
      </c>
      <c r="K2674">
        <v>349392320</v>
      </c>
      <c r="L2674">
        <v>180116848</v>
      </c>
      <c r="M2674">
        <v>119009546</v>
      </c>
      <c r="N2674">
        <v>146681534</v>
      </c>
      <c r="O2674">
        <v>144708171</v>
      </c>
      <c r="P2674">
        <v>815</v>
      </c>
      <c r="Q2674" t="s">
        <v>5682</v>
      </c>
    </row>
    <row r="2675" spans="1:17" x14ac:dyDescent="0.3">
      <c r="A2675" t="s">
        <v>17</v>
      </c>
      <c r="B2675" t="str">
        <f>"603132"</f>
        <v>603132</v>
      </c>
      <c r="C2675" t="s">
        <v>5683</v>
      </c>
      <c r="E2675">
        <v>312867076</v>
      </c>
      <c r="P2675">
        <v>10</v>
      </c>
      <c r="Q2675" t="s">
        <v>5684</v>
      </c>
    </row>
    <row r="2676" spans="1:17" x14ac:dyDescent="0.3">
      <c r="A2676" t="s">
        <v>75</v>
      </c>
      <c r="B2676" t="str">
        <f>"002723"</f>
        <v>002723</v>
      </c>
      <c r="C2676" t="s">
        <v>5685</v>
      </c>
      <c r="D2676" t="s">
        <v>2044</v>
      </c>
      <c r="E2676">
        <v>312226702</v>
      </c>
      <c r="F2676">
        <v>256039134</v>
      </c>
      <c r="G2676">
        <v>186533900</v>
      </c>
      <c r="H2676">
        <v>174741704</v>
      </c>
      <c r="I2676">
        <v>227248894</v>
      </c>
      <c r="J2676">
        <v>235010135</v>
      </c>
      <c r="K2676">
        <v>153942891</v>
      </c>
      <c r="L2676">
        <v>153733387</v>
      </c>
      <c r="M2676">
        <v>119309444</v>
      </c>
      <c r="N2676">
        <v>110696489</v>
      </c>
      <c r="P2676">
        <v>92</v>
      </c>
      <c r="Q2676" t="s">
        <v>5686</v>
      </c>
    </row>
    <row r="2677" spans="1:17" x14ac:dyDescent="0.3">
      <c r="A2677" t="s">
        <v>75</v>
      </c>
      <c r="B2677" t="str">
        <f>"002268"</f>
        <v>002268</v>
      </c>
      <c r="C2677" t="s">
        <v>5687</v>
      </c>
      <c r="D2677" t="s">
        <v>508</v>
      </c>
      <c r="E2677">
        <v>312166898</v>
      </c>
      <c r="F2677">
        <v>352022458</v>
      </c>
      <c r="G2677">
        <v>163339259</v>
      </c>
      <c r="H2677">
        <v>264882855</v>
      </c>
      <c r="I2677">
        <v>267477871</v>
      </c>
      <c r="J2677">
        <v>276078464</v>
      </c>
      <c r="K2677">
        <v>137961731</v>
      </c>
      <c r="L2677">
        <v>165209170</v>
      </c>
      <c r="M2677">
        <v>59022429</v>
      </c>
      <c r="N2677">
        <v>48388138</v>
      </c>
      <c r="O2677">
        <v>48799212</v>
      </c>
      <c r="P2677">
        <v>525</v>
      </c>
      <c r="Q2677" t="s">
        <v>5688</v>
      </c>
    </row>
    <row r="2678" spans="1:17" x14ac:dyDescent="0.3">
      <c r="A2678" t="s">
        <v>75</v>
      </c>
      <c r="B2678" t="str">
        <f>"002748"</f>
        <v>002748</v>
      </c>
      <c r="C2678" t="s">
        <v>5689</v>
      </c>
      <c r="D2678" t="s">
        <v>311</v>
      </c>
      <c r="E2678">
        <v>312039497</v>
      </c>
      <c r="F2678">
        <v>256971118</v>
      </c>
      <c r="G2678">
        <v>227908840</v>
      </c>
      <c r="H2678">
        <v>355010000</v>
      </c>
      <c r="I2678">
        <v>149464858</v>
      </c>
      <c r="J2678">
        <v>162717440</v>
      </c>
      <c r="K2678">
        <v>105126876</v>
      </c>
      <c r="L2678">
        <v>94607387</v>
      </c>
      <c r="M2678">
        <v>145643182</v>
      </c>
      <c r="P2678">
        <v>77</v>
      </c>
      <c r="Q2678" t="s">
        <v>5690</v>
      </c>
    </row>
    <row r="2679" spans="1:17" x14ac:dyDescent="0.3">
      <c r="A2679" t="s">
        <v>75</v>
      </c>
      <c r="B2679" t="str">
        <f>"300402"</f>
        <v>300402</v>
      </c>
      <c r="C2679" t="s">
        <v>5691</v>
      </c>
      <c r="D2679" t="s">
        <v>153</v>
      </c>
      <c r="E2679">
        <v>312013833</v>
      </c>
      <c r="F2679">
        <v>203049318</v>
      </c>
      <c r="G2679">
        <v>73788465</v>
      </c>
      <c r="H2679">
        <v>182502179</v>
      </c>
      <c r="I2679">
        <v>128956432</v>
      </c>
      <c r="J2679">
        <v>44324177</v>
      </c>
      <c r="K2679">
        <v>53549452</v>
      </c>
      <c r="L2679">
        <v>81890949</v>
      </c>
      <c r="M2679">
        <v>71626355</v>
      </c>
      <c r="P2679">
        <v>101</v>
      </c>
      <c r="Q2679" t="s">
        <v>5692</v>
      </c>
    </row>
    <row r="2680" spans="1:17" x14ac:dyDescent="0.3">
      <c r="A2680" t="s">
        <v>17</v>
      </c>
      <c r="B2680" t="str">
        <f>"688739"</f>
        <v>688739</v>
      </c>
      <c r="C2680" t="s">
        <v>5693</v>
      </c>
      <c r="D2680" t="s">
        <v>928</v>
      </c>
      <c r="E2680">
        <v>311965822</v>
      </c>
      <c r="G2680">
        <v>378711319</v>
      </c>
      <c r="H2680">
        <v>251389039</v>
      </c>
      <c r="P2680">
        <v>36</v>
      </c>
      <c r="Q2680" t="s">
        <v>5694</v>
      </c>
    </row>
    <row r="2681" spans="1:17" x14ac:dyDescent="0.3">
      <c r="A2681" t="s">
        <v>75</v>
      </c>
      <c r="B2681" t="str">
        <f>"300499"</f>
        <v>300499</v>
      </c>
      <c r="C2681" t="s">
        <v>5695</v>
      </c>
      <c r="D2681" t="s">
        <v>1624</v>
      </c>
      <c r="E2681">
        <v>311190305</v>
      </c>
      <c r="F2681">
        <v>107775022</v>
      </c>
      <c r="G2681">
        <v>166949842</v>
      </c>
      <c r="H2681">
        <v>138910090</v>
      </c>
      <c r="I2681">
        <v>162112926</v>
      </c>
      <c r="J2681">
        <v>125022755</v>
      </c>
      <c r="K2681">
        <v>89586153</v>
      </c>
      <c r="L2681">
        <v>26766587</v>
      </c>
      <c r="P2681">
        <v>135</v>
      </c>
      <c r="Q2681" t="s">
        <v>5696</v>
      </c>
    </row>
    <row r="2682" spans="1:17" x14ac:dyDescent="0.3">
      <c r="A2682" t="s">
        <v>17</v>
      </c>
      <c r="B2682" t="str">
        <f>"600604"</f>
        <v>600604</v>
      </c>
      <c r="C2682" t="s">
        <v>5697</v>
      </c>
      <c r="D2682" t="s">
        <v>806</v>
      </c>
      <c r="E2682">
        <v>311106140</v>
      </c>
      <c r="F2682">
        <v>170832125</v>
      </c>
      <c r="G2682">
        <v>532736699</v>
      </c>
      <c r="H2682">
        <v>119529603</v>
      </c>
      <c r="I2682">
        <v>134782435</v>
      </c>
      <c r="J2682">
        <v>219191781</v>
      </c>
      <c r="K2682">
        <v>419290108</v>
      </c>
      <c r="L2682">
        <v>36147620</v>
      </c>
      <c r="M2682">
        <v>132226095</v>
      </c>
      <c r="N2682">
        <v>77488822</v>
      </c>
      <c r="O2682">
        <v>48759526</v>
      </c>
      <c r="P2682">
        <v>138</v>
      </c>
      <c r="Q2682" t="s">
        <v>5698</v>
      </c>
    </row>
    <row r="2683" spans="1:17" x14ac:dyDescent="0.3">
      <c r="A2683" t="s">
        <v>17</v>
      </c>
      <c r="B2683" t="str">
        <f>"600897"</f>
        <v>600897</v>
      </c>
      <c r="C2683" t="s">
        <v>5699</v>
      </c>
      <c r="D2683" t="s">
        <v>2262</v>
      </c>
      <c r="E2683">
        <v>310825641</v>
      </c>
      <c r="F2683">
        <v>366017673</v>
      </c>
      <c r="G2683">
        <v>351630900</v>
      </c>
      <c r="H2683">
        <v>479223093</v>
      </c>
      <c r="I2683">
        <v>422877457</v>
      </c>
      <c r="J2683">
        <v>316272237</v>
      </c>
      <c r="K2683">
        <v>304874836</v>
      </c>
      <c r="L2683">
        <v>270689656</v>
      </c>
      <c r="M2683">
        <v>277195804</v>
      </c>
      <c r="N2683">
        <v>243075956</v>
      </c>
      <c r="O2683">
        <v>197107095</v>
      </c>
      <c r="P2683">
        <v>479</v>
      </c>
      <c r="Q2683" t="s">
        <v>5700</v>
      </c>
    </row>
    <row r="2684" spans="1:17" x14ac:dyDescent="0.3">
      <c r="A2684" t="s">
        <v>75</v>
      </c>
      <c r="B2684" t="str">
        <f>"002523"</f>
        <v>002523</v>
      </c>
      <c r="C2684" t="s">
        <v>5701</v>
      </c>
      <c r="D2684" t="s">
        <v>786</v>
      </c>
      <c r="E2684">
        <v>310686961</v>
      </c>
      <c r="F2684">
        <v>304740999</v>
      </c>
      <c r="G2684">
        <v>273886997</v>
      </c>
      <c r="H2684">
        <v>462381426</v>
      </c>
      <c r="I2684">
        <v>156038807</v>
      </c>
      <c r="J2684">
        <v>238396043</v>
      </c>
      <c r="K2684">
        <v>170324598</v>
      </c>
      <c r="L2684">
        <v>156224111</v>
      </c>
      <c r="M2684">
        <v>92992907</v>
      </c>
      <c r="N2684">
        <v>45688366</v>
      </c>
      <c r="O2684">
        <v>106029914</v>
      </c>
      <c r="P2684">
        <v>53</v>
      </c>
      <c r="Q2684" t="s">
        <v>5702</v>
      </c>
    </row>
    <row r="2685" spans="1:17" x14ac:dyDescent="0.3">
      <c r="A2685" t="s">
        <v>75</v>
      </c>
      <c r="B2685" t="str">
        <f>"300891"</f>
        <v>300891</v>
      </c>
      <c r="C2685" t="s">
        <v>5703</v>
      </c>
      <c r="D2685" t="s">
        <v>956</v>
      </c>
      <c r="E2685">
        <v>310557332</v>
      </c>
      <c r="F2685">
        <v>272412113</v>
      </c>
      <c r="G2685">
        <v>145530135</v>
      </c>
      <c r="P2685">
        <v>59</v>
      </c>
      <c r="Q2685" t="s">
        <v>5704</v>
      </c>
    </row>
    <row r="2686" spans="1:17" x14ac:dyDescent="0.3">
      <c r="A2686" t="s">
        <v>17</v>
      </c>
      <c r="B2686" t="str">
        <f>"603985"</f>
        <v>603985</v>
      </c>
      <c r="C2686" t="s">
        <v>5705</v>
      </c>
      <c r="D2686" t="s">
        <v>153</v>
      </c>
      <c r="E2686">
        <v>310432006</v>
      </c>
      <c r="F2686">
        <v>277431469</v>
      </c>
      <c r="G2686">
        <v>301051470</v>
      </c>
      <c r="H2686">
        <v>198273616</v>
      </c>
      <c r="I2686">
        <v>141082271</v>
      </c>
      <c r="J2686">
        <v>182428279</v>
      </c>
      <c r="K2686">
        <v>80509634</v>
      </c>
      <c r="P2686">
        <v>218</v>
      </c>
      <c r="Q2686" t="s">
        <v>5706</v>
      </c>
    </row>
    <row r="2687" spans="1:17" x14ac:dyDescent="0.3">
      <c r="A2687" t="s">
        <v>17</v>
      </c>
      <c r="B2687" t="str">
        <f>"600303"</f>
        <v>600303</v>
      </c>
      <c r="C2687" t="s">
        <v>5707</v>
      </c>
      <c r="D2687" t="s">
        <v>972</v>
      </c>
      <c r="E2687">
        <v>310069472</v>
      </c>
      <c r="F2687">
        <v>494846821</v>
      </c>
      <c r="G2687">
        <v>364927755</v>
      </c>
      <c r="H2687">
        <v>420344813</v>
      </c>
      <c r="I2687">
        <v>609475399</v>
      </c>
      <c r="J2687">
        <v>801515335</v>
      </c>
      <c r="K2687">
        <v>783083391</v>
      </c>
      <c r="L2687">
        <v>667988121</v>
      </c>
      <c r="M2687">
        <v>589293153</v>
      </c>
      <c r="N2687">
        <v>660055316</v>
      </c>
      <c r="O2687">
        <v>830226420</v>
      </c>
      <c r="P2687">
        <v>131</v>
      </c>
      <c r="Q2687" t="s">
        <v>5708</v>
      </c>
    </row>
    <row r="2688" spans="1:17" x14ac:dyDescent="0.3">
      <c r="A2688" t="s">
        <v>75</v>
      </c>
      <c r="B2688" t="str">
        <f>"002344"</f>
        <v>002344</v>
      </c>
      <c r="C2688" t="s">
        <v>5709</v>
      </c>
      <c r="D2688" t="s">
        <v>378</v>
      </c>
      <c r="E2688">
        <v>309897861</v>
      </c>
      <c r="F2688">
        <v>408563655</v>
      </c>
      <c r="G2688">
        <v>254555202</v>
      </c>
      <c r="H2688">
        <v>340443127</v>
      </c>
      <c r="I2688">
        <v>463498792</v>
      </c>
      <c r="J2688">
        <v>465763643</v>
      </c>
      <c r="K2688">
        <v>277197622</v>
      </c>
      <c r="L2688">
        <v>463546102</v>
      </c>
      <c r="M2688">
        <v>429912538</v>
      </c>
      <c r="N2688">
        <v>675996430</v>
      </c>
      <c r="O2688">
        <v>537854323</v>
      </c>
      <c r="P2688">
        <v>145</v>
      </c>
      <c r="Q2688" t="s">
        <v>5710</v>
      </c>
    </row>
    <row r="2689" spans="1:17" x14ac:dyDescent="0.3">
      <c r="A2689" t="s">
        <v>75</v>
      </c>
      <c r="B2689" t="str">
        <f>"300625"</f>
        <v>300625</v>
      </c>
      <c r="C2689" t="s">
        <v>5711</v>
      </c>
      <c r="D2689" t="s">
        <v>2044</v>
      </c>
      <c r="E2689">
        <v>309481934</v>
      </c>
      <c r="F2689">
        <v>346118059</v>
      </c>
      <c r="G2689">
        <v>227902348</v>
      </c>
      <c r="H2689">
        <v>355259426</v>
      </c>
      <c r="I2689">
        <v>363709025</v>
      </c>
      <c r="J2689">
        <v>335178238</v>
      </c>
      <c r="K2689">
        <v>304977015</v>
      </c>
      <c r="P2689">
        <v>137</v>
      </c>
      <c r="Q2689" t="s">
        <v>5712</v>
      </c>
    </row>
    <row r="2690" spans="1:17" x14ac:dyDescent="0.3">
      <c r="A2690" t="s">
        <v>75</v>
      </c>
      <c r="B2690" t="str">
        <f>"300113"</f>
        <v>300113</v>
      </c>
      <c r="C2690" t="s">
        <v>5713</v>
      </c>
      <c r="D2690" t="s">
        <v>1165</v>
      </c>
      <c r="E2690">
        <v>309319206</v>
      </c>
      <c r="F2690">
        <v>287040421</v>
      </c>
      <c r="G2690">
        <v>259478074</v>
      </c>
      <c r="H2690">
        <v>497437400</v>
      </c>
      <c r="I2690">
        <v>650796643</v>
      </c>
      <c r="J2690">
        <v>430707354</v>
      </c>
      <c r="K2690">
        <v>416801153</v>
      </c>
      <c r="L2690">
        <v>213226155</v>
      </c>
      <c r="M2690">
        <v>111022772</v>
      </c>
      <c r="N2690">
        <v>68033128</v>
      </c>
      <c r="O2690">
        <v>44177355</v>
      </c>
      <c r="P2690">
        <v>481</v>
      </c>
      <c r="Q2690" t="s">
        <v>5714</v>
      </c>
    </row>
    <row r="2691" spans="1:17" x14ac:dyDescent="0.3">
      <c r="A2691" t="s">
        <v>75</v>
      </c>
      <c r="B2691" t="str">
        <f>"002486"</f>
        <v>002486</v>
      </c>
      <c r="C2691" t="s">
        <v>5715</v>
      </c>
      <c r="D2691" t="s">
        <v>2832</v>
      </c>
      <c r="E2691">
        <v>308840527</v>
      </c>
      <c r="F2691">
        <v>301543689</v>
      </c>
      <c r="G2691">
        <v>259281572</v>
      </c>
      <c r="H2691">
        <v>236829449</v>
      </c>
      <c r="I2691">
        <v>184851517</v>
      </c>
      <c r="J2691">
        <v>173856844</v>
      </c>
      <c r="K2691">
        <v>208023681</v>
      </c>
      <c r="L2691">
        <v>214194340</v>
      </c>
      <c r="M2691">
        <v>272923475</v>
      </c>
      <c r="N2691">
        <v>234371925</v>
      </c>
      <c r="O2691">
        <v>248096505</v>
      </c>
      <c r="P2691">
        <v>88</v>
      </c>
      <c r="Q2691" t="s">
        <v>5716</v>
      </c>
    </row>
    <row r="2692" spans="1:17" x14ac:dyDescent="0.3">
      <c r="A2692" t="s">
        <v>75</v>
      </c>
      <c r="B2692" t="str">
        <f>"002921"</f>
        <v>002921</v>
      </c>
      <c r="C2692" t="s">
        <v>5717</v>
      </c>
      <c r="D2692" t="s">
        <v>1321</v>
      </c>
      <c r="E2692">
        <v>308754021</v>
      </c>
      <c r="F2692">
        <v>269596315</v>
      </c>
      <c r="G2692">
        <v>209996323</v>
      </c>
      <c r="H2692">
        <v>162646086</v>
      </c>
      <c r="I2692">
        <v>138931221</v>
      </c>
      <c r="J2692">
        <v>123918889</v>
      </c>
      <c r="P2692">
        <v>95</v>
      </c>
      <c r="Q2692" t="s">
        <v>5718</v>
      </c>
    </row>
    <row r="2693" spans="1:17" x14ac:dyDescent="0.3">
      <c r="A2693" t="s">
        <v>75</v>
      </c>
      <c r="B2693" t="str">
        <f>"002149"</f>
        <v>002149</v>
      </c>
      <c r="C2693" t="s">
        <v>5719</v>
      </c>
      <c r="D2693" t="s">
        <v>364</v>
      </c>
      <c r="E2693">
        <v>308699990</v>
      </c>
      <c r="F2693">
        <v>275914600</v>
      </c>
      <c r="G2693">
        <v>170141001</v>
      </c>
      <c r="H2693">
        <v>170900833</v>
      </c>
      <c r="I2693">
        <v>148677856</v>
      </c>
      <c r="J2693">
        <v>163031583</v>
      </c>
      <c r="K2693">
        <v>134051872</v>
      </c>
      <c r="L2693">
        <v>138130114</v>
      </c>
      <c r="M2693">
        <v>156746347</v>
      </c>
      <c r="N2693">
        <v>199276129</v>
      </c>
      <c r="O2693">
        <v>177305838</v>
      </c>
      <c r="P2693">
        <v>259</v>
      </c>
      <c r="Q2693" t="s">
        <v>5720</v>
      </c>
    </row>
    <row r="2694" spans="1:17" x14ac:dyDescent="0.3">
      <c r="A2694" t="s">
        <v>75</v>
      </c>
      <c r="B2694" t="str">
        <f>"300109"</f>
        <v>300109</v>
      </c>
      <c r="C2694" t="s">
        <v>5721</v>
      </c>
      <c r="D2694" t="s">
        <v>292</v>
      </c>
      <c r="E2694">
        <v>308476920</v>
      </c>
      <c r="F2694">
        <v>279212765</v>
      </c>
      <c r="G2694">
        <v>173237040</v>
      </c>
      <c r="H2694">
        <v>179417035</v>
      </c>
      <c r="I2694">
        <v>103581742</v>
      </c>
      <c r="J2694">
        <v>78338859</v>
      </c>
      <c r="K2694">
        <v>123265765</v>
      </c>
      <c r="L2694">
        <v>58097875</v>
      </c>
      <c r="M2694">
        <v>49652542</v>
      </c>
      <c r="N2694">
        <v>46719373</v>
      </c>
      <c r="O2694">
        <v>44663694</v>
      </c>
      <c r="P2694">
        <v>122</v>
      </c>
      <c r="Q2694" t="s">
        <v>5722</v>
      </c>
    </row>
    <row r="2695" spans="1:17" x14ac:dyDescent="0.3">
      <c r="A2695" t="s">
        <v>17</v>
      </c>
      <c r="B2695" t="str">
        <f>"603306"</f>
        <v>603306</v>
      </c>
      <c r="C2695" t="s">
        <v>5723</v>
      </c>
      <c r="D2695" t="s">
        <v>194</v>
      </c>
      <c r="E2695">
        <v>308195706</v>
      </c>
      <c r="F2695">
        <v>273622576</v>
      </c>
      <c r="G2695">
        <v>183451964</v>
      </c>
      <c r="H2695">
        <v>278135151</v>
      </c>
      <c r="I2695">
        <v>306663358</v>
      </c>
      <c r="J2695">
        <v>260533071</v>
      </c>
      <c r="K2695">
        <v>196099559</v>
      </c>
      <c r="L2695">
        <v>122516623</v>
      </c>
      <c r="M2695">
        <v>105865680</v>
      </c>
      <c r="P2695">
        <v>631</v>
      </c>
      <c r="Q2695" t="s">
        <v>5724</v>
      </c>
    </row>
    <row r="2696" spans="1:17" x14ac:dyDescent="0.3">
      <c r="A2696" t="s">
        <v>17</v>
      </c>
      <c r="B2696" t="str">
        <f>"605183"</f>
        <v>605183</v>
      </c>
      <c r="C2696" t="s">
        <v>5725</v>
      </c>
      <c r="D2696" t="s">
        <v>4065</v>
      </c>
      <c r="E2696">
        <v>307954060</v>
      </c>
      <c r="F2696">
        <v>230450348</v>
      </c>
      <c r="G2696">
        <v>287246669</v>
      </c>
      <c r="H2696">
        <v>342284821</v>
      </c>
      <c r="I2696">
        <v>316704897</v>
      </c>
      <c r="P2696">
        <v>63</v>
      </c>
      <c r="Q2696" t="s">
        <v>5726</v>
      </c>
    </row>
    <row r="2697" spans="1:17" x14ac:dyDescent="0.3">
      <c r="A2697" t="s">
        <v>17</v>
      </c>
      <c r="B2697" t="str">
        <f>"600807"</f>
        <v>600807</v>
      </c>
      <c r="C2697" t="s">
        <v>5727</v>
      </c>
      <c r="D2697" t="s">
        <v>65</v>
      </c>
      <c r="E2697">
        <v>307591756</v>
      </c>
      <c r="F2697">
        <v>277075253</v>
      </c>
      <c r="G2697">
        <v>202026045</v>
      </c>
      <c r="H2697">
        <v>240674301</v>
      </c>
      <c r="I2697">
        <v>270273404</v>
      </c>
      <c r="J2697">
        <v>631981646</v>
      </c>
      <c r="K2697">
        <v>279177914</v>
      </c>
      <c r="L2697">
        <v>201754850</v>
      </c>
      <c r="M2697">
        <v>125311978</v>
      </c>
      <c r="N2697">
        <v>137783397</v>
      </c>
      <c r="O2697">
        <v>71689905</v>
      </c>
      <c r="P2697">
        <v>111</v>
      </c>
      <c r="Q2697" t="s">
        <v>5728</v>
      </c>
    </row>
    <row r="2698" spans="1:17" x14ac:dyDescent="0.3">
      <c r="A2698" t="s">
        <v>75</v>
      </c>
      <c r="B2698" t="str">
        <f>"300403"</f>
        <v>300403</v>
      </c>
      <c r="C2698" t="s">
        <v>5729</v>
      </c>
      <c r="D2698" t="s">
        <v>1063</v>
      </c>
      <c r="E2698">
        <v>306861229</v>
      </c>
      <c r="F2698">
        <v>248868524</v>
      </c>
      <c r="G2698">
        <v>178180235</v>
      </c>
      <c r="H2698">
        <v>192167599</v>
      </c>
      <c r="I2698">
        <v>181204490</v>
      </c>
      <c r="J2698">
        <v>177044802</v>
      </c>
      <c r="K2698">
        <v>176578240</v>
      </c>
      <c r="L2698">
        <v>151238643</v>
      </c>
      <c r="M2698">
        <v>134876649</v>
      </c>
      <c r="P2698">
        <v>253</v>
      </c>
      <c r="Q2698" t="s">
        <v>5730</v>
      </c>
    </row>
    <row r="2699" spans="1:17" x14ac:dyDescent="0.3">
      <c r="A2699" t="s">
        <v>75</v>
      </c>
      <c r="B2699" t="str">
        <f>"300658"</f>
        <v>300658</v>
      </c>
      <c r="C2699" t="s">
        <v>5731</v>
      </c>
      <c r="D2699" t="s">
        <v>1636</v>
      </c>
      <c r="E2699">
        <v>306581304</v>
      </c>
      <c r="F2699">
        <v>317751532</v>
      </c>
      <c r="G2699">
        <v>413415849</v>
      </c>
      <c r="H2699">
        <v>245297775</v>
      </c>
      <c r="I2699">
        <v>182348881</v>
      </c>
      <c r="J2699">
        <v>195694951</v>
      </c>
      <c r="K2699">
        <v>141658836</v>
      </c>
      <c r="P2699">
        <v>232</v>
      </c>
      <c r="Q2699" t="s">
        <v>5732</v>
      </c>
    </row>
    <row r="2700" spans="1:17" x14ac:dyDescent="0.3">
      <c r="A2700" t="s">
        <v>17</v>
      </c>
      <c r="B2700" t="str">
        <f>"603336"</f>
        <v>603336</v>
      </c>
      <c r="C2700" t="s">
        <v>5733</v>
      </c>
      <c r="D2700" t="s">
        <v>1334</v>
      </c>
      <c r="E2700">
        <v>306268676</v>
      </c>
      <c r="F2700">
        <v>205574681</v>
      </c>
      <c r="G2700">
        <v>201601440</v>
      </c>
      <c r="H2700">
        <v>196416268</v>
      </c>
      <c r="I2700">
        <v>202060497</v>
      </c>
      <c r="J2700">
        <v>199974780</v>
      </c>
      <c r="K2700">
        <v>177547354</v>
      </c>
      <c r="P2700">
        <v>179</v>
      </c>
      <c r="Q2700" t="s">
        <v>5734</v>
      </c>
    </row>
    <row r="2701" spans="1:17" x14ac:dyDescent="0.3">
      <c r="A2701" t="s">
        <v>17</v>
      </c>
      <c r="B2701" t="str">
        <f>"601177"</f>
        <v>601177</v>
      </c>
      <c r="C2701" t="s">
        <v>5735</v>
      </c>
      <c r="D2701" t="s">
        <v>153</v>
      </c>
      <c r="E2701">
        <v>306186406</v>
      </c>
      <c r="F2701">
        <v>379920018</v>
      </c>
      <c r="G2701">
        <v>235630618</v>
      </c>
      <c r="H2701">
        <v>280693795</v>
      </c>
      <c r="I2701">
        <v>340424589</v>
      </c>
      <c r="J2701">
        <v>306417004</v>
      </c>
      <c r="K2701">
        <v>316597054</v>
      </c>
      <c r="L2701">
        <v>351179657</v>
      </c>
      <c r="M2701">
        <v>358632929</v>
      </c>
      <c r="N2701">
        <v>383826296</v>
      </c>
      <c r="O2701">
        <v>509911414</v>
      </c>
      <c r="P2701">
        <v>74</v>
      </c>
      <c r="Q2701" t="s">
        <v>5736</v>
      </c>
    </row>
    <row r="2702" spans="1:17" x14ac:dyDescent="0.3">
      <c r="A2702" t="s">
        <v>75</v>
      </c>
      <c r="B2702" t="str">
        <f>"002141"</f>
        <v>002141</v>
      </c>
      <c r="C2702" t="s">
        <v>5737</v>
      </c>
      <c r="D2702" t="s">
        <v>221</v>
      </c>
      <c r="E2702">
        <v>306099181</v>
      </c>
      <c r="F2702">
        <v>341530892</v>
      </c>
      <c r="G2702">
        <v>167675983</v>
      </c>
      <c r="H2702">
        <v>175404657</v>
      </c>
      <c r="I2702">
        <v>274497444</v>
      </c>
      <c r="J2702">
        <v>227187225</v>
      </c>
      <c r="K2702">
        <v>178822198</v>
      </c>
      <c r="L2702">
        <v>200919515</v>
      </c>
      <c r="M2702">
        <v>211114466</v>
      </c>
      <c r="N2702">
        <v>199147052</v>
      </c>
      <c r="O2702">
        <v>217087384</v>
      </c>
      <c r="P2702">
        <v>74</v>
      </c>
      <c r="Q2702" t="s">
        <v>5738</v>
      </c>
    </row>
    <row r="2703" spans="1:17" x14ac:dyDescent="0.3">
      <c r="A2703" t="s">
        <v>75</v>
      </c>
      <c r="B2703" t="str">
        <f>"300703"</f>
        <v>300703</v>
      </c>
      <c r="C2703" t="s">
        <v>5739</v>
      </c>
      <c r="D2703" t="s">
        <v>1072</v>
      </c>
      <c r="E2703">
        <v>305969437</v>
      </c>
      <c r="F2703">
        <v>251303277</v>
      </c>
      <c r="G2703">
        <v>197311601</v>
      </c>
      <c r="H2703">
        <v>174974893</v>
      </c>
      <c r="I2703">
        <v>130661164</v>
      </c>
      <c r="J2703">
        <v>176112592</v>
      </c>
      <c r="P2703">
        <v>109</v>
      </c>
      <c r="Q2703" t="s">
        <v>5740</v>
      </c>
    </row>
    <row r="2704" spans="1:17" x14ac:dyDescent="0.3">
      <c r="A2704" t="s">
        <v>17</v>
      </c>
      <c r="B2704" t="str">
        <f>"688617"</f>
        <v>688617</v>
      </c>
      <c r="C2704" t="s">
        <v>5741</v>
      </c>
      <c r="D2704" t="s">
        <v>1538</v>
      </c>
      <c r="E2704">
        <v>305686169</v>
      </c>
      <c r="F2704">
        <v>200118384</v>
      </c>
      <c r="P2704">
        <v>137</v>
      </c>
      <c r="Q2704" t="s">
        <v>5742</v>
      </c>
    </row>
    <row r="2705" spans="1:17" x14ac:dyDescent="0.3">
      <c r="A2705" t="s">
        <v>17</v>
      </c>
      <c r="B2705" t="str">
        <f>"688155"</f>
        <v>688155</v>
      </c>
      <c r="C2705" t="s">
        <v>5743</v>
      </c>
      <c r="D2705" t="s">
        <v>1464</v>
      </c>
      <c r="E2705">
        <v>305425052</v>
      </c>
      <c r="F2705">
        <v>148751494</v>
      </c>
      <c r="P2705">
        <v>101</v>
      </c>
      <c r="Q2705" t="s">
        <v>5744</v>
      </c>
    </row>
    <row r="2706" spans="1:17" x14ac:dyDescent="0.3">
      <c r="A2706" t="s">
        <v>17</v>
      </c>
      <c r="B2706" t="str">
        <f>"600097"</f>
        <v>600097</v>
      </c>
      <c r="C2706" t="s">
        <v>5745</v>
      </c>
      <c r="D2706" t="s">
        <v>5746</v>
      </c>
      <c r="E2706">
        <v>305380954</v>
      </c>
      <c r="F2706">
        <v>455251100</v>
      </c>
      <c r="G2706">
        <v>462494693</v>
      </c>
      <c r="H2706">
        <v>396163403</v>
      </c>
      <c r="I2706">
        <v>374357711</v>
      </c>
      <c r="J2706">
        <v>337769732</v>
      </c>
      <c r="K2706">
        <v>161122129</v>
      </c>
      <c r="L2706">
        <v>96810873</v>
      </c>
      <c r="M2706">
        <v>131831947</v>
      </c>
      <c r="N2706">
        <v>178605977</v>
      </c>
      <c r="O2706">
        <v>169290040</v>
      </c>
      <c r="P2706">
        <v>116</v>
      </c>
      <c r="Q2706" t="s">
        <v>5747</v>
      </c>
    </row>
    <row r="2707" spans="1:17" x14ac:dyDescent="0.3">
      <c r="A2707" t="s">
        <v>75</v>
      </c>
      <c r="B2707" t="str">
        <f>"000592"</f>
        <v>000592</v>
      </c>
      <c r="C2707" t="s">
        <v>5748</v>
      </c>
      <c r="D2707" t="s">
        <v>5749</v>
      </c>
      <c r="E2707">
        <v>304816411</v>
      </c>
      <c r="F2707">
        <v>310418336</v>
      </c>
      <c r="G2707">
        <v>162479270</v>
      </c>
      <c r="H2707">
        <v>136637409</v>
      </c>
      <c r="I2707">
        <v>188095458</v>
      </c>
      <c r="J2707">
        <v>130041946</v>
      </c>
      <c r="K2707">
        <v>126292061</v>
      </c>
      <c r="L2707">
        <v>188882252</v>
      </c>
      <c r="M2707">
        <v>146907404</v>
      </c>
      <c r="N2707">
        <v>150679215</v>
      </c>
      <c r="O2707">
        <v>137568495</v>
      </c>
      <c r="P2707">
        <v>150</v>
      </c>
      <c r="Q2707" t="s">
        <v>5750</v>
      </c>
    </row>
    <row r="2708" spans="1:17" x14ac:dyDescent="0.3">
      <c r="A2708" t="s">
        <v>17</v>
      </c>
      <c r="B2708" t="str">
        <f>"603150"</f>
        <v>603150</v>
      </c>
      <c r="C2708" t="s">
        <v>5751</v>
      </c>
      <c r="E2708">
        <v>304255343</v>
      </c>
      <c r="P2708">
        <v>5</v>
      </c>
      <c r="Q2708" t="s">
        <v>5752</v>
      </c>
    </row>
    <row r="2709" spans="1:17" x14ac:dyDescent="0.3">
      <c r="A2709" t="s">
        <v>75</v>
      </c>
      <c r="B2709" t="str">
        <f>"300525"</f>
        <v>300525</v>
      </c>
      <c r="C2709" t="s">
        <v>5753</v>
      </c>
      <c r="D2709" t="s">
        <v>116</v>
      </c>
      <c r="E2709">
        <v>304208025</v>
      </c>
      <c r="F2709">
        <v>146722189</v>
      </c>
      <c r="G2709">
        <v>50579813</v>
      </c>
      <c r="H2709">
        <v>63578364</v>
      </c>
      <c r="I2709">
        <v>37905433</v>
      </c>
      <c r="J2709">
        <v>23745951</v>
      </c>
      <c r="K2709">
        <v>17107642</v>
      </c>
      <c r="P2709">
        <v>241</v>
      </c>
      <c r="Q2709" t="s">
        <v>5754</v>
      </c>
    </row>
    <row r="2710" spans="1:17" x14ac:dyDescent="0.3">
      <c r="A2710" t="s">
        <v>75</v>
      </c>
      <c r="B2710" t="str">
        <f>"000806"</f>
        <v>000806</v>
      </c>
      <c r="C2710" t="s">
        <v>5755</v>
      </c>
      <c r="D2710" t="s">
        <v>347</v>
      </c>
      <c r="E2710">
        <v>304010413</v>
      </c>
      <c r="F2710">
        <v>177449478</v>
      </c>
      <c r="G2710">
        <v>177819371</v>
      </c>
      <c r="H2710">
        <v>155734869</v>
      </c>
      <c r="I2710">
        <v>175275012</v>
      </c>
      <c r="J2710">
        <v>183587151</v>
      </c>
      <c r="K2710">
        <v>187356254</v>
      </c>
      <c r="L2710">
        <v>117586629</v>
      </c>
      <c r="M2710">
        <v>89697754</v>
      </c>
      <c r="N2710">
        <v>114450808</v>
      </c>
      <c r="O2710">
        <v>121324007</v>
      </c>
      <c r="P2710">
        <v>123</v>
      </c>
      <c r="Q2710" t="s">
        <v>5756</v>
      </c>
    </row>
    <row r="2711" spans="1:17" x14ac:dyDescent="0.3">
      <c r="A2711" t="s">
        <v>17</v>
      </c>
      <c r="B2711" t="str">
        <f>"603757"</f>
        <v>603757</v>
      </c>
      <c r="C2711" t="s">
        <v>5757</v>
      </c>
      <c r="D2711" t="s">
        <v>1424</v>
      </c>
      <c r="E2711">
        <v>303741880</v>
      </c>
      <c r="F2711">
        <v>316143417</v>
      </c>
      <c r="G2711">
        <v>254815036</v>
      </c>
      <c r="H2711">
        <v>270488530</v>
      </c>
      <c r="I2711">
        <v>222327989</v>
      </c>
      <c r="J2711">
        <v>186113456</v>
      </c>
      <c r="K2711">
        <v>152467080</v>
      </c>
      <c r="P2711">
        <v>523</v>
      </c>
      <c r="Q2711" t="s">
        <v>5758</v>
      </c>
    </row>
    <row r="2712" spans="1:17" x14ac:dyDescent="0.3">
      <c r="A2712" t="s">
        <v>75</v>
      </c>
      <c r="B2712" t="str">
        <f>"300955"</f>
        <v>300955</v>
      </c>
      <c r="C2712" t="s">
        <v>5759</v>
      </c>
      <c r="D2712" t="s">
        <v>2758</v>
      </c>
      <c r="E2712">
        <v>303735974</v>
      </c>
      <c r="F2712">
        <v>298751414</v>
      </c>
      <c r="G2712">
        <v>174155233</v>
      </c>
      <c r="P2712">
        <v>42</v>
      </c>
      <c r="Q2712" t="s">
        <v>5760</v>
      </c>
    </row>
    <row r="2713" spans="1:17" x14ac:dyDescent="0.3">
      <c r="A2713" t="s">
        <v>17</v>
      </c>
      <c r="B2713" t="str">
        <f>"600119"</f>
        <v>600119</v>
      </c>
      <c r="C2713" t="s">
        <v>5761</v>
      </c>
      <c r="D2713" t="s">
        <v>229</v>
      </c>
      <c r="E2713">
        <v>303460845</v>
      </c>
      <c r="F2713">
        <v>158915879</v>
      </c>
      <c r="G2713">
        <v>117304390</v>
      </c>
      <c r="H2713">
        <v>241754529</v>
      </c>
      <c r="I2713">
        <v>369694766</v>
      </c>
      <c r="J2713">
        <v>1119423685</v>
      </c>
      <c r="K2713">
        <v>501824323</v>
      </c>
      <c r="L2713">
        <v>625323299</v>
      </c>
      <c r="M2713">
        <v>440412699</v>
      </c>
      <c r="N2713">
        <v>241177076</v>
      </c>
      <c r="O2713">
        <v>292311700</v>
      </c>
      <c r="P2713">
        <v>55</v>
      </c>
      <c r="Q2713" t="s">
        <v>5762</v>
      </c>
    </row>
    <row r="2714" spans="1:17" x14ac:dyDescent="0.3">
      <c r="A2714" t="s">
        <v>75</v>
      </c>
      <c r="B2714" t="str">
        <f>"002125"</f>
        <v>002125</v>
      </c>
      <c r="C2714" t="s">
        <v>5763</v>
      </c>
      <c r="D2714" t="s">
        <v>1275</v>
      </c>
      <c r="E2714">
        <v>303269714</v>
      </c>
      <c r="F2714">
        <v>235165608</v>
      </c>
      <c r="G2714">
        <v>237122747</v>
      </c>
      <c r="H2714">
        <v>239152925</v>
      </c>
      <c r="I2714">
        <v>230568470</v>
      </c>
      <c r="J2714">
        <v>154796370</v>
      </c>
      <c r="K2714">
        <v>162882963</v>
      </c>
      <c r="L2714">
        <v>224598431</v>
      </c>
      <c r="M2714">
        <v>129512834</v>
      </c>
      <c r="N2714">
        <v>181617674</v>
      </c>
      <c r="O2714">
        <v>187814481</v>
      </c>
      <c r="P2714">
        <v>157</v>
      </c>
      <c r="Q2714" t="s">
        <v>5764</v>
      </c>
    </row>
    <row r="2715" spans="1:17" x14ac:dyDescent="0.3">
      <c r="A2715" t="s">
        <v>75</v>
      </c>
      <c r="B2715" t="str">
        <f>"000615"</f>
        <v>000615</v>
      </c>
      <c r="C2715" t="s">
        <v>5765</v>
      </c>
      <c r="D2715" t="s">
        <v>5766</v>
      </c>
      <c r="E2715">
        <v>303266370</v>
      </c>
      <c r="F2715">
        <v>226918554</v>
      </c>
      <c r="G2715">
        <v>211444867</v>
      </c>
      <c r="H2715">
        <v>1393706134</v>
      </c>
      <c r="I2715">
        <v>501059279</v>
      </c>
      <c r="J2715">
        <v>517346616</v>
      </c>
      <c r="K2715">
        <v>725412318</v>
      </c>
      <c r="L2715">
        <v>167551589</v>
      </c>
      <c r="M2715">
        <v>199032693</v>
      </c>
      <c r="N2715">
        <v>230059802</v>
      </c>
      <c r="O2715">
        <v>202740556</v>
      </c>
      <c r="P2715">
        <v>188</v>
      </c>
      <c r="Q2715" t="s">
        <v>5767</v>
      </c>
    </row>
    <row r="2716" spans="1:17" x14ac:dyDescent="0.3">
      <c r="A2716" t="s">
        <v>75</v>
      </c>
      <c r="B2716" t="str">
        <f>"300315"</f>
        <v>300315</v>
      </c>
      <c r="C2716" t="s">
        <v>5768</v>
      </c>
      <c r="D2716" t="s">
        <v>1165</v>
      </c>
      <c r="E2716">
        <v>303231614</v>
      </c>
      <c r="F2716">
        <v>296919312</v>
      </c>
      <c r="G2716">
        <v>339329429</v>
      </c>
      <c r="H2716">
        <v>277269599</v>
      </c>
      <c r="I2716">
        <v>513271622</v>
      </c>
      <c r="J2716">
        <v>401602303</v>
      </c>
      <c r="K2716">
        <v>486656314</v>
      </c>
      <c r="L2716">
        <v>180575155</v>
      </c>
      <c r="M2716">
        <v>101758454</v>
      </c>
      <c r="N2716">
        <v>59399473</v>
      </c>
      <c r="O2716">
        <v>37342649</v>
      </c>
      <c r="P2716">
        <v>456</v>
      </c>
      <c r="Q2716" t="s">
        <v>5769</v>
      </c>
    </row>
    <row r="2717" spans="1:17" x14ac:dyDescent="0.3">
      <c r="A2717" t="s">
        <v>75</v>
      </c>
      <c r="B2717" t="str">
        <f>"300166"</f>
        <v>300166</v>
      </c>
      <c r="C2717" t="s">
        <v>5770</v>
      </c>
      <c r="D2717" t="s">
        <v>224</v>
      </c>
      <c r="E2717">
        <v>302942359</v>
      </c>
      <c r="F2717">
        <v>358112059</v>
      </c>
      <c r="G2717">
        <v>292230597</v>
      </c>
      <c r="H2717">
        <v>324599898</v>
      </c>
      <c r="I2717">
        <v>183613918</v>
      </c>
      <c r="J2717">
        <v>165665498</v>
      </c>
      <c r="K2717">
        <v>210361410</v>
      </c>
      <c r="L2717">
        <v>137600937</v>
      </c>
      <c r="M2717">
        <v>127061567</v>
      </c>
      <c r="N2717">
        <v>66366538</v>
      </c>
      <c r="O2717">
        <v>46227437</v>
      </c>
      <c r="P2717">
        <v>461</v>
      </c>
      <c r="Q2717" t="s">
        <v>5771</v>
      </c>
    </row>
    <row r="2718" spans="1:17" x14ac:dyDescent="0.3">
      <c r="A2718" t="s">
        <v>17</v>
      </c>
      <c r="B2718" t="str">
        <f>"605366"</f>
        <v>605366</v>
      </c>
      <c r="C2718" t="s">
        <v>5772</v>
      </c>
      <c r="D2718" t="s">
        <v>292</v>
      </c>
      <c r="E2718">
        <v>302654872</v>
      </c>
      <c r="F2718">
        <v>225290174</v>
      </c>
      <c r="G2718">
        <v>146066810</v>
      </c>
      <c r="H2718">
        <v>141970145</v>
      </c>
      <c r="P2718">
        <v>59</v>
      </c>
      <c r="Q2718" t="s">
        <v>5773</v>
      </c>
    </row>
    <row r="2719" spans="1:17" x14ac:dyDescent="0.3">
      <c r="A2719" t="s">
        <v>75</v>
      </c>
      <c r="B2719" t="str">
        <f>"000605"</f>
        <v>000605</v>
      </c>
      <c r="C2719" t="s">
        <v>5774</v>
      </c>
      <c r="D2719" t="s">
        <v>1107</v>
      </c>
      <c r="E2719">
        <v>302571373</v>
      </c>
      <c r="F2719">
        <v>304197883</v>
      </c>
      <c r="G2719">
        <v>287184235</v>
      </c>
      <c r="H2719">
        <v>361547327</v>
      </c>
      <c r="I2719">
        <v>365126906</v>
      </c>
      <c r="J2719">
        <v>222207166</v>
      </c>
      <c r="K2719">
        <v>139681114</v>
      </c>
      <c r="L2719">
        <v>125972396</v>
      </c>
      <c r="M2719">
        <v>142379774</v>
      </c>
      <c r="N2719">
        <v>13464443</v>
      </c>
      <c r="O2719">
        <v>12356844</v>
      </c>
      <c r="P2719">
        <v>85</v>
      </c>
      <c r="Q2719" t="s">
        <v>5775</v>
      </c>
    </row>
    <row r="2720" spans="1:17" x14ac:dyDescent="0.3">
      <c r="A2720" t="s">
        <v>75</v>
      </c>
      <c r="B2720" t="str">
        <f>"300140"</f>
        <v>300140</v>
      </c>
      <c r="C2720" t="s">
        <v>5776</v>
      </c>
      <c r="D2720" t="s">
        <v>1642</v>
      </c>
      <c r="E2720">
        <v>302342721</v>
      </c>
      <c r="F2720">
        <v>344013653</v>
      </c>
      <c r="G2720">
        <v>317806707</v>
      </c>
      <c r="H2720">
        <v>543801283</v>
      </c>
      <c r="I2720">
        <v>367262212</v>
      </c>
      <c r="J2720">
        <v>154157200</v>
      </c>
      <c r="K2720">
        <v>68383109</v>
      </c>
      <c r="L2720">
        <v>60013119</v>
      </c>
      <c r="M2720">
        <v>64444451</v>
      </c>
      <c r="N2720">
        <v>37624007</v>
      </c>
      <c r="O2720">
        <v>54253198</v>
      </c>
      <c r="P2720">
        <v>103</v>
      </c>
      <c r="Q2720" t="s">
        <v>5777</v>
      </c>
    </row>
    <row r="2721" spans="1:17" x14ac:dyDescent="0.3">
      <c r="A2721" t="s">
        <v>17</v>
      </c>
      <c r="B2721" t="str">
        <f>"688268"</f>
        <v>688268</v>
      </c>
      <c r="C2721" t="s">
        <v>5778</v>
      </c>
      <c r="D2721" t="s">
        <v>1853</v>
      </c>
      <c r="E2721">
        <v>302256251</v>
      </c>
      <c r="F2721">
        <v>263220699</v>
      </c>
      <c r="G2721">
        <v>168840086</v>
      </c>
      <c r="H2721">
        <v>171128220</v>
      </c>
      <c r="P2721">
        <v>184</v>
      </c>
      <c r="Q2721" t="s">
        <v>5779</v>
      </c>
    </row>
    <row r="2722" spans="1:17" x14ac:dyDescent="0.3">
      <c r="A2722" t="s">
        <v>17</v>
      </c>
      <c r="B2722" t="str">
        <f>"603978"</f>
        <v>603978</v>
      </c>
      <c r="C2722" t="s">
        <v>5780</v>
      </c>
      <c r="D2722" t="s">
        <v>1526</v>
      </c>
      <c r="E2722">
        <v>301959894</v>
      </c>
      <c r="F2722">
        <v>241370422</v>
      </c>
      <c r="G2722">
        <v>154706093</v>
      </c>
      <c r="H2722">
        <v>218710992</v>
      </c>
      <c r="I2722">
        <v>215604043</v>
      </c>
      <c r="J2722">
        <v>128433814</v>
      </c>
      <c r="K2722">
        <v>81975606</v>
      </c>
      <c r="P2722">
        <v>112</v>
      </c>
      <c r="Q2722" t="s">
        <v>5781</v>
      </c>
    </row>
    <row r="2723" spans="1:17" x14ac:dyDescent="0.3">
      <c r="A2723" t="s">
        <v>75</v>
      </c>
      <c r="B2723" t="str">
        <f>"300293"</f>
        <v>300293</v>
      </c>
      <c r="C2723" t="s">
        <v>5782</v>
      </c>
      <c r="D2723" t="s">
        <v>1624</v>
      </c>
      <c r="E2723">
        <v>301824844</v>
      </c>
      <c r="F2723">
        <v>315564238</v>
      </c>
      <c r="G2723">
        <v>357940385</v>
      </c>
      <c r="H2723">
        <v>409296542</v>
      </c>
      <c r="I2723">
        <v>506975638</v>
      </c>
      <c r="J2723">
        <v>83262983</v>
      </c>
      <c r="K2723">
        <v>63963281</v>
      </c>
      <c r="L2723">
        <v>147688226</v>
      </c>
      <c r="M2723">
        <v>32817358</v>
      </c>
      <c r="N2723">
        <v>14680624</v>
      </c>
      <c r="O2723">
        <v>39440935</v>
      </c>
      <c r="P2723">
        <v>112</v>
      </c>
      <c r="Q2723" t="s">
        <v>5783</v>
      </c>
    </row>
    <row r="2724" spans="1:17" x14ac:dyDescent="0.3">
      <c r="A2724" t="s">
        <v>17</v>
      </c>
      <c r="B2724" t="str">
        <f>"688052"</f>
        <v>688052</v>
      </c>
      <c r="C2724" t="s">
        <v>5784</v>
      </c>
      <c r="E2724">
        <v>301591549</v>
      </c>
      <c r="F2724">
        <v>113670668</v>
      </c>
      <c r="P2724">
        <v>11</v>
      </c>
      <c r="Q2724" t="s">
        <v>5785</v>
      </c>
    </row>
    <row r="2725" spans="1:17" x14ac:dyDescent="0.3">
      <c r="A2725" t="s">
        <v>17</v>
      </c>
      <c r="B2725" t="str">
        <f>"603005"</f>
        <v>603005</v>
      </c>
      <c r="C2725" t="s">
        <v>5786</v>
      </c>
      <c r="D2725" t="s">
        <v>613</v>
      </c>
      <c r="E2725">
        <v>301296333</v>
      </c>
      <c r="F2725">
        <v>349970234</v>
      </c>
      <c r="G2725">
        <v>228099953</v>
      </c>
      <c r="H2725">
        <v>116687746</v>
      </c>
      <c r="I2725">
        <v>148233175</v>
      </c>
      <c r="J2725">
        <v>185516183</v>
      </c>
      <c r="K2725">
        <v>118406575</v>
      </c>
      <c r="L2725">
        <v>196893940</v>
      </c>
      <c r="M2725">
        <v>132713794</v>
      </c>
      <c r="N2725">
        <v>94866031</v>
      </c>
      <c r="P2725">
        <v>3661</v>
      </c>
      <c r="Q2725" t="s">
        <v>5787</v>
      </c>
    </row>
    <row r="2726" spans="1:17" x14ac:dyDescent="0.3">
      <c r="A2726" t="s">
        <v>17</v>
      </c>
      <c r="B2726" t="str">
        <f>"605055"</f>
        <v>605055</v>
      </c>
      <c r="C2726" t="s">
        <v>5788</v>
      </c>
      <c r="D2726" t="s">
        <v>951</v>
      </c>
      <c r="E2726">
        <v>301290624</v>
      </c>
      <c r="F2726">
        <v>160430735</v>
      </c>
      <c r="G2726">
        <v>88136601</v>
      </c>
      <c r="P2726">
        <v>38</v>
      </c>
      <c r="Q2726" t="s">
        <v>5789</v>
      </c>
    </row>
    <row r="2727" spans="1:17" x14ac:dyDescent="0.3">
      <c r="A2727" t="s">
        <v>17</v>
      </c>
      <c r="B2727" t="str">
        <f>"603326"</f>
        <v>603326</v>
      </c>
      <c r="C2727" t="s">
        <v>5790</v>
      </c>
      <c r="D2727" t="s">
        <v>1004</v>
      </c>
      <c r="E2727">
        <v>300757628</v>
      </c>
      <c r="F2727">
        <v>235122267</v>
      </c>
      <c r="G2727">
        <v>191112050</v>
      </c>
      <c r="H2727">
        <v>194271665</v>
      </c>
      <c r="I2727">
        <v>129009402</v>
      </c>
      <c r="J2727">
        <v>146001346</v>
      </c>
      <c r="K2727">
        <v>97379509</v>
      </c>
      <c r="P2727">
        <v>247</v>
      </c>
      <c r="Q2727" t="s">
        <v>5791</v>
      </c>
    </row>
    <row r="2728" spans="1:17" x14ac:dyDescent="0.3">
      <c r="A2728" t="s">
        <v>75</v>
      </c>
      <c r="B2728" t="str">
        <f>"300251"</f>
        <v>300251</v>
      </c>
      <c r="C2728" t="s">
        <v>5792</v>
      </c>
      <c r="D2728" t="s">
        <v>2532</v>
      </c>
      <c r="E2728">
        <v>300706061</v>
      </c>
      <c r="F2728">
        <v>455568860</v>
      </c>
      <c r="G2728">
        <v>283486461</v>
      </c>
      <c r="H2728">
        <v>17581490</v>
      </c>
      <c r="I2728">
        <v>373715568</v>
      </c>
      <c r="J2728">
        <v>1012728347</v>
      </c>
      <c r="K2728">
        <v>458416107</v>
      </c>
      <c r="L2728">
        <v>317948332</v>
      </c>
      <c r="M2728">
        <v>93692972</v>
      </c>
      <c r="N2728">
        <v>353534231</v>
      </c>
      <c r="O2728">
        <v>144743811</v>
      </c>
      <c r="P2728">
        <v>807</v>
      </c>
      <c r="Q2728" t="s">
        <v>5793</v>
      </c>
    </row>
    <row r="2729" spans="1:17" x14ac:dyDescent="0.3">
      <c r="A2729" t="s">
        <v>17</v>
      </c>
      <c r="B2729" t="str">
        <f>"601999"</f>
        <v>601999</v>
      </c>
      <c r="C2729" t="s">
        <v>5794</v>
      </c>
      <c r="D2729" t="s">
        <v>1703</v>
      </c>
      <c r="E2729">
        <v>300644988</v>
      </c>
      <c r="F2729">
        <v>321246343</v>
      </c>
      <c r="G2729">
        <v>130911318</v>
      </c>
      <c r="H2729">
        <v>287278686</v>
      </c>
      <c r="I2729">
        <v>225821868</v>
      </c>
      <c r="J2729">
        <v>200101404</v>
      </c>
      <c r="K2729">
        <v>232602861</v>
      </c>
      <c r="L2729">
        <v>197552718</v>
      </c>
      <c r="M2729">
        <v>191924111</v>
      </c>
      <c r="N2729">
        <v>146309041</v>
      </c>
      <c r="O2729">
        <v>216458459</v>
      </c>
      <c r="P2729">
        <v>82</v>
      </c>
      <c r="Q2729" t="s">
        <v>5795</v>
      </c>
    </row>
    <row r="2730" spans="1:17" x14ac:dyDescent="0.3">
      <c r="A2730" t="s">
        <v>75</v>
      </c>
      <c r="B2730" t="str">
        <f>"000816"</f>
        <v>000816</v>
      </c>
      <c r="C2730" t="s">
        <v>5796</v>
      </c>
      <c r="D2730" t="s">
        <v>172</v>
      </c>
      <c r="E2730">
        <v>300590723</v>
      </c>
      <c r="F2730">
        <v>398709943</v>
      </c>
      <c r="G2730">
        <v>197856629</v>
      </c>
      <c r="H2730">
        <v>273750570</v>
      </c>
      <c r="I2730">
        <v>313744702</v>
      </c>
      <c r="J2730">
        <v>436337850</v>
      </c>
      <c r="K2730">
        <v>399111385</v>
      </c>
      <c r="L2730">
        <v>435966824</v>
      </c>
      <c r="M2730">
        <v>495142710</v>
      </c>
      <c r="N2730">
        <v>633204265</v>
      </c>
      <c r="O2730">
        <v>604708435</v>
      </c>
      <c r="P2730">
        <v>153</v>
      </c>
      <c r="Q2730" t="s">
        <v>5797</v>
      </c>
    </row>
    <row r="2731" spans="1:17" x14ac:dyDescent="0.3">
      <c r="A2731" t="s">
        <v>75</v>
      </c>
      <c r="B2731" t="str">
        <f>"002632"</f>
        <v>002632</v>
      </c>
      <c r="C2731" t="s">
        <v>5798</v>
      </c>
      <c r="D2731" t="s">
        <v>2029</v>
      </c>
      <c r="E2731">
        <v>300445540</v>
      </c>
      <c r="F2731">
        <v>628970809</v>
      </c>
      <c r="G2731">
        <v>305883930</v>
      </c>
      <c r="H2731">
        <v>268976033</v>
      </c>
      <c r="I2731">
        <v>163709845</v>
      </c>
      <c r="J2731">
        <v>159084623</v>
      </c>
      <c r="K2731">
        <v>102147914</v>
      </c>
      <c r="L2731">
        <v>88504548</v>
      </c>
      <c r="M2731">
        <v>94739682</v>
      </c>
      <c r="N2731">
        <v>89290808</v>
      </c>
      <c r="O2731">
        <v>82776413</v>
      </c>
      <c r="P2731">
        <v>144</v>
      </c>
      <c r="Q2731" t="s">
        <v>5799</v>
      </c>
    </row>
    <row r="2732" spans="1:17" x14ac:dyDescent="0.3">
      <c r="A2732" t="s">
        <v>75</v>
      </c>
      <c r="B2732" t="str">
        <f>"300692"</f>
        <v>300692</v>
      </c>
      <c r="C2732" t="s">
        <v>5800</v>
      </c>
      <c r="D2732" t="s">
        <v>1107</v>
      </c>
      <c r="E2732">
        <v>300293264</v>
      </c>
      <c r="F2732">
        <v>221339088</v>
      </c>
      <c r="G2732">
        <v>105313288</v>
      </c>
      <c r="H2732">
        <v>97860158</v>
      </c>
      <c r="I2732">
        <v>34555323</v>
      </c>
      <c r="J2732">
        <v>25857710</v>
      </c>
      <c r="P2732">
        <v>162</v>
      </c>
      <c r="Q2732" t="s">
        <v>5801</v>
      </c>
    </row>
    <row r="2733" spans="1:17" x14ac:dyDescent="0.3">
      <c r="A2733" t="s">
        <v>75</v>
      </c>
      <c r="B2733" t="str">
        <f>"300644"</f>
        <v>300644</v>
      </c>
      <c r="C2733" t="s">
        <v>5802</v>
      </c>
      <c r="D2733" t="s">
        <v>639</v>
      </c>
      <c r="E2733">
        <v>300054860</v>
      </c>
      <c r="F2733">
        <v>238282750</v>
      </c>
      <c r="G2733">
        <v>133611685</v>
      </c>
      <c r="H2733">
        <v>137383786</v>
      </c>
      <c r="I2733">
        <v>143444077</v>
      </c>
      <c r="J2733">
        <v>150284039</v>
      </c>
      <c r="P2733">
        <v>133</v>
      </c>
      <c r="Q2733" t="s">
        <v>5803</v>
      </c>
    </row>
    <row r="2734" spans="1:17" x14ac:dyDescent="0.3">
      <c r="A2734" t="s">
        <v>17</v>
      </c>
      <c r="B2734" t="str">
        <f>"600322"</f>
        <v>600322</v>
      </c>
      <c r="C2734" t="s">
        <v>5804</v>
      </c>
      <c r="D2734" t="s">
        <v>65</v>
      </c>
      <c r="E2734">
        <v>299817463</v>
      </c>
      <c r="F2734">
        <v>925897026</v>
      </c>
      <c r="G2734">
        <v>309118105</v>
      </c>
      <c r="H2734">
        <v>478941622</v>
      </c>
      <c r="I2734">
        <v>1019068990</v>
      </c>
      <c r="J2734">
        <v>2340023528</v>
      </c>
      <c r="K2734">
        <v>815286931</v>
      </c>
      <c r="L2734">
        <v>397257836</v>
      </c>
      <c r="M2734">
        <v>380615512</v>
      </c>
      <c r="N2734">
        <v>481429209</v>
      </c>
      <c r="O2734">
        <v>252935605</v>
      </c>
      <c r="P2734">
        <v>84</v>
      </c>
      <c r="Q2734" t="s">
        <v>5805</v>
      </c>
    </row>
    <row r="2735" spans="1:17" x14ac:dyDescent="0.3">
      <c r="A2735" t="s">
        <v>75</v>
      </c>
      <c r="B2735" t="str">
        <f>"300822"</f>
        <v>300822</v>
      </c>
      <c r="C2735" t="s">
        <v>5806</v>
      </c>
      <c r="D2735" t="s">
        <v>55</v>
      </c>
      <c r="E2735">
        <v>299676229</v>
      </c>
      <c r="F2735">
        <v>168322444</v>
      </c>
      <c r="G2735">
        <v>171522300</v>
      </c>
      <c r="H2735">
        <v>123792894</v>
      </c>
      <c r="P2735">
        <v>131</v>
      </c>
      <c r="Q2735" t="s">
        <v>5807</v>
      </c>
    </row>
    <row r="2736" spans="1:17" x14ac:dyDescent="0.3">
      <c r="A2736" t="s">
        <v>17</v>
      </c>
      <c r="B2736" t="str">
        <f>"688513"</f>
        <v>688513</v>
      </c>
      <c r="C2736" t="s">
        <v>5808</v>
      </c>
      <c r="D2736" t="s">
        <v>543</v>
      </c>
      <c r="E2736">
        <v>299663469</v>
      </c>
      <c r="F2736">
        <v>259712536</v>
      </c>
      <c r="G2736">
        <v>213946783</v>
      </c>
      <c r="P2736">
        <v>58</v>
      </c>
      <c r="Q2736" t="s">
        <v>5809</v>
      </c>
    </row>
    <row r="2737" spans="1:17" x14ac:dyDescent="0.3">
      <c r="A2737" t="s">
        <v>75</v>
      </c>
      <c r="B2737" t="str">
        <f>"301187"</f>
        <v>301187</v>
      </c>
      <c r="C2737" t="s">
        <v>5810</v>
      </c>
      <c r="E2737">
        <v>299470740</v>
      </c>
      <c r="G2737">
        <v>140239168</v>
      </c>
      <c r="P2737">
        <v>1</v>
      </c>
      <c r="Q2737" t="s">
        <v>5811</v>
      </c>
    </row>
    <row r="2738" spans="1:17" x14ac:dyDescent="0.3">
      <c r="A2738" t="s">
        <v>17</v>
      </c>
      <c r="B2738" t="str">
        <f>"688136"</f>
        <v>688136</v>
      </c>
      <c r="C2738" t="s">
        <v>5812</v>
      </c>
      <c r="D2738" t="s">
        <v>1533</v>
      </c>
      <c r="E2738">
        <v>298179934</v>
      </c>
      <c r="F2738">
        <v>287548025</v>
      </c>
      <c r="G2738">
        <v>268180859</v>
      </c>
      <c r="P2738">
        <v>66</v>
      </c>
      <c r="Q2738" t="s">
        <v>5813</v>
      </c>
    </row>
    <row r="2739" spans="1:17" x14ac:dyDescent="0.3">
      <c r="A2739" t="s">
        <v>75</v>
      </c>
      <c r="B2739" t="str">
        <f>"002342"</f>
        <v>002342</v>
      </c>
      <c r="C2739" t="s">
        <v>5814</v>
      </c>
      <c r="D2739" t="s">
        <v>153</v>
      </c>
      <c r="E2739">
        <v>298156512</v>
      </c>
      <c r="F2739">
        <v>357434599</v>
      </c>
      <c r="G2739">
        <v>246946830</v>
      </c>
      <c r="H2739">
        <v>321735040</v>
      </c>
      <c r="I2739">
        <v>199798552</v>
      </c>
      <c r="J2739">
        <v>223684739</v>
      </c>
      <c r="K2739">
        <v>187014068</v>
      </c>
      <c r="L2739">
        <v>246739327</v>
      </c>
      <c r="M2739">
        <v>301970557</v>
      </c>
      <c r="N2739">
        <v>269221248</v>
      </c>
      <c r="O2739">
        <v>207577218</v>
      </c>
      <c r="P2739">
        <v>112</v>
      </c>
      <c r="Q2739" t="s">
        <v>5815</v>
      </c>
    </row>
    <row r="2740" spans="1:17" x14ac:dyDescent="0.3">
      <c r="A2740" t="s">
        <v>75</v>
      </c>
      <c r="B2740" t="str">
        <f>"002446"</f>
        <v>002446</v>
      </c>
      <c r="C2740" t="s">
        <v>5816</v>
      </c>
      <c r="D2740" t="s">
        <v>1572</v>
      </c>
      <c r="E2740">
        <v>298032601</v>
      </c>
      <c r="F2740">
        <v>217376095</v>
      </c>
      <c r="G2740">
        <v>292540154</v>
      </c>
      <c r="H2740">
        <v>468162452</v>
      </c>
      <c r="I2740">
        <v>278857358</v>
      </c>
      <c r="J2740">
        <v>314605709</v>
      </c>
      <c r="K2740">
        <v>290529469</v>
      </c>
      <c r="L2740">
        <v>210637666</v>
      </c>
      <c r="M2740">
        <v>67754987</v>
      </c>
      <c r="N2740">
        <v>76636987</v>
      </c>
      <c r="O2740">
        <v>87009589</v>
      </c>
      <c r="P2740">
        <v>371</v>
      </c>
      <c r="Q2740" t="s">
        <v>5817</v>
      </c>
    </row>
    <row r="2741" spans="1:17" x14ac:dyDescent="0.3">
      <c r="A2741" t="s">
        <v>75</v>
      </c>
      <c r="B2741" t="str">
        <f>"002218"</f>
        <v>002218</v>
      </c>
      <c r="C2741" t="s">
        <v>5818</v>
      </c>
      <c r="D2741" t="s">
        <v>1512</v>
      </c>
      <c r="E2741">
        <v>297769473</v>
      </c>
      <c r="F2741">
        <v>280413152</v>
      </c>
      <c r="G2741">
        <v>155792229</v>
      </c>
      <c r="H2741">
        <v>219332111</v>
      </c>
      <c r="I2741">
        <v>165821577</v>
      </c>
      <c r="J2741">
        <v>261256222</v>
      </c>
      <c r="K2741">
        <v>338175830</v>
      </c>
      <c r="L2741">
        <v>86835621</v>
      </c>
      <c r="M2741">
        <v>94797680</v>
      </c>
      <c r="N2741">
        <v>93861465</v>
      </c>
      <c r="O2741">
        <v>89326935</v>
      </c>
      <c r="P2741">
        <v>218</v>
      </c>
      <c r="Q2741" t="s">
        <v>5819</v>
      </c>
    </row>
    <row r="2742" spans="1:17" x14ac:dyDescent="0.3">
      <c r="A2742" t="s">
        <v>75</v>
      </c>
      <c r="B2742" t="str">
        <f>"300867"</f>
        <v>300867</v>
      </c>
      <c r="C2742" t="s">
        <v>5820</v>
      </c>
      <c r="D2742" t="s">
        <v>1187</v>
      </c>
      <c r="E2742">
        <v>297357762</v>
      </c>
      <c r="F2742">
        <v>212057627</v>
      </c>
      <c r="G2742">
        <v>204487996</v>
      </c>
      <c r="P2742">
        <v>103</v>
      </c>
      <c r="Q2742" t="s">
        <v>5821</v>
      </c>
    </row>
    <row r="2743" spans="1:17" x14ac:dyDescent="0.3">
      <c r="A2743" t="s">
        <v>75</v>
      </c>
      <c r="B2743" t="str">
        <f>"301123"</f>
        <v>301123</v>
      </c>
      <c r="C2743" t="s">
        <v>5822</v>
      </c>
      <c r="E2743">
        <v>296996062</v>
      </c>
      <c r="P2743">
        <v>6</v>
      </c>
      <c r="Q2743" t="s">
        <v>5823</v>
      </c>
    </row>
    <row r="2744" spans="1:17" x14ac:dyDescent="0.3">
      <c r="A2744" t="s">
        <v>17</v>
      </c>
      <c r="B2744" t="str">
        <f>"600198"</f>
        <v>600198</v>
      </c>
      <c r="C2744" t="s">
        <v>5824</v>
      </c>
      <c r="D2744" t="s">
        <v>883</v>
      </c>
      <c r="E2744">
        <v>296803448</v>
      </c>
      <c r="F2744">
        <v>105941532</v>
      </c>
      <c r="G2744">
        <v>306769834</v>
      </c>
      <c r="H2744">
        <v>414534744</v>
      </c>
      <c r="I2744">
        <v>707167575</v>
      </c>
      <c r="J2744">
        <v>1479461540</v>
      </c>
      <c r="K2744">
        <v>2131899657</v>
      </c>
      <c r="L2744">
        <v>1390376435</v>
      </c>
      <c r="M2744">
        <v>1352914664</v>
      </c>
      <c r="N2744">
        <v>1237608887</v>
      </c>
      <c r="O2744">
        <v>753961425</v>
      </c>
      <c r="P2744">
        <v>286</v>
      </c>
      <c r="Q2744" t="s">
        <v>5825</v>
      </c>
    </row>
    <row r="2745" spans="1:17" x14ac:dyDescent="0.3">
      <c r="A2745" t="s">
        <v>75</v>
      </c>
      <c r="B2745" t="str">
        <f>"300364"</f>
        <v>300364</v>
      </c>
      <c r="C2745" t="s">
        <v>5826</v>
      </c>
      <c r="D2745" t="s">
        <v>1703</v>
      </c>
      <c r="E2745">
        <v>296792770</v>
      </c>
      <c r="F2745">
        <v>235357876</v>
      </c>
      <c r="G2745">
        <v>176523076</v>
      </c>
      <c r="H2745">
        <v>147280931</v>
      </c>
      <c r="I2745">
        <v>123711537</v>
      </c>
      <c r="J2745">
        <v>127874809</v>
      </c>
      <c r="K2745">
        <v>133273389</v>
      </c>
      <c r="L2745">
        <v>51054492</v>
      </c>
      <c r="M2745">
        <v>42476069</v>
      </c>
      <c r="P2745">
        <v>153</v>
      </c>
      <c r="Q2745" t="s">
        <v>5827</v>
      </c>
    </row>
    <row r="2746" spans="1:17" x14ac:dyDescent="0.3">
      <c r="A2746" t="s">
        <v>75</v>
      </c>
      <c r="B2746" t="str">
        <f>"003000"</f>
        <v>003000</v>
      </c>
      <c r="C2746" t="s">
        <v>5828</v>
      </c>
      <c r="D2746" t="s">
        <v>1268</v>
      </c>
      <c r="E2746">
        <v>296717628</v>
      </c>
      <c r="F2746">
        <v>249741605</v>
      </c>
      <c r="G2746">
        <v>229634530</v>
      </c>
      <c r="P2746">
        <v>84</v>
      </c>
      <c r="Q2746" t="s">
        <v>5829</v>
      </c>
    </row>
    <row r="2747" spans="1:17" x14ac:dyDescent="0.3">
      <c r="A2747" t="s">
        <v>75</v>
      </c>
      <c r="B2747" t="str">
        <f>"301108"</f>
        <v>301108</v>
      </c>
      <c r="C2747" t="s">
        <v>5830</v>
      </c>
      <c r="D2747" t="s">
        <v>1636</v>
      </c>
      <c r="E2747">
        <v>296695480</v>
      </c>
      <c r="P2747">
        <v>24</v>
      </c>
      <c r="Q2747" t="s">
        <v>5831</v>
      </c>
    </row>
    <row r="2748" spans="1:17" x14ac:dyDescent="0.3">
      <c r="A2748" t="s">
        <v>75</v>
      </c>
      <c r="B2748" t="str">
        <f>"300647"</f>
        <v>300647</v>
      </c>
      <c r="C2748" t="s">
        <v>5832</v>
      </c>
      <c r="D2748" t="s">
        <v>55</v>
      </c>
      <c r="E2748">
        <v>296468362</v>
      </c>
      <c r="F2748">
        <v>157829744</v>
      </c>
      <c r="G2748">
        <v>113581587</v>
      </c>
      <c r="H2748">
        <v>138764781</v>
      </c>
      <c r="I2748">
        <v>128997869</v>
      </c>
      <c r="J2748">
        <v>79766133</v>
      </c>
      <c r="K2748">
        <v>74149939</v>
      </c>
      <c r="P2748">
        <v>116</v>
      </c>
      <c r="Q2748" t="s">
        <v>5833</v>
      </c>
    </row>
    <row r="2749" spans="1:17" x14ac:dyDescent="0.3">
      <c r="A2749" t="s">
        <v>75</v>
      </c>
      <c r="B2749" t="str">
        <f>"002892"</f>
        <v>002892</v>
      </c>
      <c r="C2749" t="s">
        <v>5834</v>
      </c>
      <c r="D2749" t="s">
        <v>1487</v>
      </c>
      <c r="E2749">
        <v>296451750</v>
      </c>
      <c r="F2749">
        <v>264139301</v>
      </c>
      <c r="G2749">
        <v>169120848</v>
      </c>
      <c r="H2749">
        <v>164926629</v>
      </c>
      <c r="I2749">
        <v>132974225</v>
      </c>
      <c r="J2749">
        <v>117257108</v>
      </c>
      <c r="P2749">
        <v>145</v>
      </c>
      <c r="Q2749" t="s">
        <v>5835</v>
      </c>
    </row>
    <row r="2750" spans="1:17" x14ac:dyDescent="0.3">
      <c r="A2750" t="s">
        <v>75</v>
      </c>
      <c r="B2750" t="str">
        <f>"300843"</f>
        <v>300843</v>
      </c>
      <c r="C2750" t="s">
        <v>5836</v>
      </c>
      <c r="D2750" t="s">
        <v>55</v>
      </c>
      <c r="E2750">
        <v>296289461</v>
      </c>
      <c r="F2750">
        <v>251438449</v>
      </c>
      <c r="G2750">
        <v>170702960</v>
      </c>
      <c r="H2750">
        <v>141163480</v>
      </c>
      <c r="P2750">
        <v>80</v>
      </c>
      <c r="Q2750" t="s">
        <v>5837</v>
      </c>
    </row>
    <row r="2751" spans="1:17" x14ac:dyDescent="0.3">
      <c r="A2751" t="s">
        <v>75</v>
      </c>
      <c r="B2751" t="str">
        <f>"002962"</f>
        <v>002962</v>
      </c>
      <c r="C2751" t="s">
        <v>5838</v>
      </c>
      <c r="D2751" t="s">
        <v>975</v>
      </c>
      <c r="E2751">
        <v>296176937</v>
      </c>
      <c r="F2751">
        <v>138059469</v>
      </c>
      <c r="G2751">
        <v>143381987</v>
      </c>
      <c r="H2751">
        <v>129170148</v>
      </c>
      <c r="P2751">
        <v>137</v>
      </c>
      <c r="Q2751" t="s">
        <v>5839</v>
      </c>
    </row>
    <row r="2752" spans="1:17" x14ac:dyDescent="0.3">
      <c r="A2752" t="s">
        <v>17</v>
      </c>
      <c r="B2752" t="str">
        <f>"603203"</f>
        <v>603203</v>
      </c>
      <c r="C2752" t="s">
        <v>5840</v>
      </c>
      <c r="D2752" t="s">
        <v>1352</v>
      </c>
      <c r="E2752">
        <v>295988234</v>
      </c>
      <c r="F2752">
        <v>176680748</v>
      </c>
      <c r="G2752">
        <v>87639466</v>
      </c>
      <c r="H2752">
        <v>106449119</v>
      </c>
      <c r="I2752">
        <v>87693859</v>
      </c>
      <c r="J2752">
        <v>82207649</v>
      </c>
      <c r="K2752">
        <v>65119341</v>
      </c>
      <c r="P2752">
        <v>2649</v>
      </c>
      <c r="Q2752" t="s">
        <v>5841</v>
      </c>
    </row>
    <row r="2753" spans="1:17" x14ac:dyDescent="0.3">
      <c r="A2753" t="s">
        <v>75</v>
      </c>
      <c r="B2753" t="str">
        <f>"000766"</f>
        <v>000766</v>
      </c>
      <c r="C2753" t="s">
        <v>5842</v>
      </c>
      <c r="D2753" t="s">
        <v>543</v>
      </c>
      <c r="E2753">
        <v>295966768</v>
      </c>
      <c r="F2753">
        <v>352164510</v>
      </c>
      <c r="G2753">
        <v>262284411</v>
      </c>
      <c r="H2753">
        <v>451463712</v>
      </c>
      <c r="I2753">
        <v>362647156</v>
      </c>
      <c r="J2753">
        <v>199067595</v>
      </c>
      <c r="K2753">
        <v>99902828</v>
      </c>
      <c r="L2753">
        <v>41209120</v>
      </c>
      <c r="M2753">
        <v>27604930</v>
      </c>
      <c r="N2753">
        <v>30334924</v>
      </c>
      <c r="O2753">
        <v>31938860</v>
      </c>
      <c r="P2753">
        <v>146</v>
      </c>
      <c r="Q2753" t="s">
        <v>5843</v>
      </c>
    </row>
    <row r="2754" spans="1:17" x14ac:dyDescent="0.3">
      <c r="A2754" t="s">
        <v>75</v>
      </c>
      <c r="B2754" t="str">
        <f>"002406"</f>
        <v>002406</v>
      </c>
      <c r="C2754" t="s">
        <v>5844</v>
      </c>
      <c r="D2754" t="s">
        <v>172</v>
      </c>
      <c r="E2754">
        <v>295832438</v>
      </c>
      <c r="F2754">
        <v>583045536</v>
      </c>
      <c r="G2754">
        <v>265046864</v>
      </c>
      <c r="H2754">
        <v>267788843</v>
      </c>
      <c r="I2754">
        <v>228913417</v>
      </c>
      <c r="J2754">
        <v>205212683</v>
      </c>
      <c r="K2754">
        <v>145400534</v>
      </c>
      <c r="L2754">
        <v>256118986</v>
      </c>
      <c r="M2754">
        <v>233373805</v>
      </c>
      <c r="N2754">
        <v>165823979</v>
      </c>
      <c r="O2754">
        <v>152047069</v>
      </c>
      <c r="P2754">
        <v>272</v>
      </c>
      <c r="Q2754" t="s">
        <v>5845</v>
      </c>
    </row>
    <row r="2755" spans="1:17" x14ac:dyDescent="0.3">
      <c r="A2755" t="s">
        <v>17</v>
      </c>
      <c r="B2755" t="str">
        <f>"605068"</f>
        <v>605068</v>
      </c>
      <c r="C2755" t="s">
        <v>5846</v>
      </c>
      <c r="D2755" t="s">
        <v>194</v>
      </c>
      <c r="E2755">
        <v>295741836</v>
      </c>
      <c r="F2755">
        <v>346699209</v>
      </c>
      <c r="G2755">
        <v>209967510</v>
      </c>
      <c r="P2755">
        <v>89</v>
      </c>
      <c r="Q2755" t="s">
        <v>5847</v>
      </c>
    </row>
    <row r="2756" spans="1:17" x14ac:dyDescent="0.3">
      <c r="A2756" t="s">
        <v>17</v>
      </c>
      <c r="B2756" t="str">
        <f>"603059"</f>
        <v>603059</v>
      </c>
      <c r="C2756" t="s">
        <v>5848</v>
      </c>
      <c r="D2756" t="s">
        <v>3592</v>
      </c>
      <c r="E2756">
        <v>295672993</v>
      </c>
      <c r="F2756">
        <v>221751029</v>
      </c>
      <c r="G2756">
        <v>140360453</v>
      </c>
      <c r="H2756">
        <v>180697924</v>
      </c>
      <c r="I2756">
        <v>161010922</v>
      </c>
      <c r="J2756">
        <v>182544709</v>
      </c>
      <c r="P2756">
        <v>99</v>
      </c>
      <c r="Q2756" t="s">
        <v>5849</v>
      </c>
    </row>
    <row r="2757" spans="1:17" x14ac:dyDescent="0.3">
      <c r="A2757" t="s">
        <v>17</v>
      </c>
      <c r="B2757" t="str">
        <f>"603676"</f>
        <v>603676</v>
      </c>
      <c r="C2757" t="s">
        <v>5850</v>
      </c>
      <c r="D2757" t="s">
        <v>543</v>
      </c>
      <c r="E2757">
        <v>295617106</v>
      </c>
      <c r="F2757">
        <v>184173652</v>
      </c>
      <c r="G2757">
        <v>145101392</v>
      </c>
      <c r="H2757">
        <v>169294976</v>
      </c>
      <c r="I2757">
        <v>151389395</v>
      </c>
      <c r="J2757">
        <v>78188508</v>
      </c>
      <c r="K2757">
        <v>0</v>
      </c>
      <c r="P2757">
        <v>108</v>
      </c>
      <c r="Q2757" t="s">
        <v>5851</v>
      </c>
    </row>
    <row r="2758" spans="1:17" x14ac:dyDescent="0.3">
      <c r="A2758" t="s">
        <v>75</v>
      </c>
      <c r="B2758" t="str">
        <f>"300143"</f>
        <v>300143</v>
      </c>
      <c r="C2758" t="s">
        <v>5852</v>
      </c>
      <c r="D2758" t="s">
        <v>1129</v>
      </c>
      <c r="E2758">
        <v>295614194</v>
      </c>
      <c r="F2758">
        <v>185698990</v>
      </c>
      <c r="G2758">
        <v>179651617</v>
      </c>
      <c r="H2758">
        <v>95969887</v>
      </c>
      <c r="I2758">
        <v>79102645</v>
      </c>
      <c r="J2758">
        <v>53106339</v>
      </c>
      <c r="K2758">
        <v>71054384</v>
      </c>
      <c r="L2758">
        <v>79264158</v>
      </c>
      <c r="M2758">
        <v>75752060</v>
      </c>
      <c r="N2758">
        <v>61566020</v>
      </c>
      <c r="O2758">
        <v>52569150</v>
      </c>
      <c r="P2758">
        <v>150</v>
      </c>
      <c r="Q2758" t="s">
        <v>5853</v>
      </c>
    </row>
    <row r="2759" spans="1:17" x14ac:dyDescent="0.3">
      <c r="A2759" t="s">
        <v>17</v>
      </c>
      <c r="B2759" t="str">
        <f>"688025"</f>
        <v>688025</v>
      </c>
      <c r="C2759" t="s">
        <v>5854</v>
      </c>
      <c r="D2759" t="s">
        <v>1497</v>
      </c>
      <c r="E2759">
        <v>295482101</v>
      </c>
      <c r="F2759">
        <v>269490058</v>
      </c>
      <c r="G2759">
        <v>117379732</v>
      </c>
      <c r="H2759">
        <v>118174530</v>
      </c>
      <c r="P2759">
        <v>158</v>
      </c>
      <c r="Q2759" t="s">
        <v>5855</v>
      </c>
    </row>
    <row r="2760" spans="1:17" x14ac:dyDescent="0.3">
      <c r="A2760" t="s">
        <v>75</v>
      </c>
      <c r="B2760" t="str">
        <f>"300385"</f>
        <v>300385</v>
      </c>
      <c r="C2760" t="s">
        <v>5856</v>
      </c>
      <c r="D2760" t="s">
        <v>2317</v>
      </c>
      <c r="E2760">
        <v>295375771</v>
      </c>
      <c r="F2760">
        <v>323962229</v>
      </c>
      <c r="G2760">
        <v>287200775</v>
      </c>
      <c r="H2760">
        <v>210566024</v>
      </c>
      <c r="I2760">
        <v>219478725</v>
      </c>
      <c r="J2760">
        <v>207806423</v>
      </c>
      <c r="K2760">
        <v>181196081</v>
      </c>
      <c r="L2760">
        <v>117834073</v>
      </c>
      <c r="M2760">
        <v>0</v>
      </c>
      <c r="P2760">
        <v>92</v>
      </c>
      <c r="Q2760" t="s">
        <v>5857</v>
      </c>
    </row>
    <row r="2761" spans="1:17" x14ac:dyDescent="0.3">
      <c r="A2761" t="s">
        <v>17</v>
      </c>
      <c r="B2761" t="str">
        <f>"688368"</f>
        <v>688368</v>
      </c>
      <c r="C2761" t="s">
        <v>5858</v>
      </c>
      <c r="D2761" t="s">
        <v>2580</v>
      </c>
      <c r="E2761">
        <v>295118858</v>
      </c>
      <c r="F2761">
        <v>359210203</v>
      </c>
      <c r="G2761">
        <v>113801709</v>
      </c>
      <c r="H2761">
        <v>112975061</v>
      </c>
      <c r="I2761">
        <v>0</v>
      </c>
      <c r="J2761">
        <v>95621531</v>
      </c>
      <c r="P2761">
        <v>213</v>
      </c>
      <c r="Q2761" t="s">
        <v>5859</v>
      </c>
    </row>
    <row r="2762" spans="1:17" x14ac:dyDescent="0.3">
      <c r="A2762" t="s">
        <v>75</v>
      </c>
      <c r="B2762" t="str">
        <f>"300177"</f>
        <v>300177</v>
      </c>
      <c r="C2762" t="s">
        <v>5860</v>
      </c>
      <c r="D2762" t="s">
        <v>1572</v>
      </c>
      <c r="E2762">
        <v>294938296</v>
      </c>
      <c r="F2762">
        <v>259706284</v>
      </c>
      <c r="G2762">
        <v>276879345</v>
      </c>
      <c r="H2762">
        <v>217447548</v>
      </c>
      <c r="I2762">
        <v>197437085</v>
      </c>
      <c r="J2762">
        <v>214397732</v>
      </c>
      <c r="K2762">
        <v>143899259</v>
      </c>
      <c r="L2762">
        <v>103375814</v>
      </c>
      <c r="M2762">
        <v>90401914</v>
      </c>
      <c r="N2762">
        <v>69050896</v>
      </c>
      <c r="O2762">
        <v>59811020</v>
      </c>
      <c r="P2762">
        <v>232</v>
      </c>
      <c r="Q2762" t="s">
        <v>5861</v>
      </c>
    </row>
    <row r="2763" spans="1:17" x14ac:dyDescent="0.3">
      <c r="A2763" t="s">
        <v>75</v>
      </c>
      <c r="B2763" t="str">
        <f>"300346"</f>
        <v>300346</v>
      </c>
      <c r="C2763" t="s">
        <v>5862</v>
      </c>
      <c r="D2763" t="s">
        <v>1853</v>
      </c>
      <c r="E2763">
        <v>294766257</v>
      </c>
      <c r="F2763">
        <v>189676928</v>
      </c>
      <c r="G2763">
        <v>81514119</v>
      </c>
      <c r="H2763">
        <v>62173235</v>
      </c>
      <c r="I2763">
        <v>31212118</v>
      </c>
      <c r="J2763">
        <v>24887559</v>
      </c>
      <c r="K2763">
        <v>27737948</v>
      </c>
      <c r="L2763">
        <v>35104659</v>
      </c>
      <c r="M2763">
        <v>21117178</v>
      </c>
      <c r="N2763">
        <v>30495512</v>
      </c>
      <c r="O2763">
        <v>16530235</v>
      </c>
      <c r="P2763">
        <v>447</v>
      </c>
      <c r="Q2763" t="s">
        <v>5863</v>
      </c>
    </row>
    <row r="2764" spans="1:17" x14ac:dyDescent="0.3">
      <c r="A2764" t="s">
        <v>75</v>
      </c>
      <c r="B2764" t="str">
        <f>"002361"</f>
        <v>002361</v>
      </c>
      <c r="C2764" t="s">
        <v>5864</v>
      </c>
      <c r="D2764" t="s">
        <v>2855</v>
      </c>
      <c r="E2764">
        <v>294013991</v>
      </c>
      <c r="F2764">
        <v>317122590</v>
      </c>
      <c r="G2764">
        <v>411328170</v>
      </c>
      <c r="H2764">
        <v>450740524</v>
      </c>
      <c r="I2764">
        <v>424575211</v>
      </c>
      <c r="J2764">
        <v>288046328</v>
      </c>
      <c r="K2764">
        <v>267928970</v>
      </c>
      <c r="L2764">
        <v>235837473</v>
      </c>
      <c r="M2764">
        <v>189771157</v>
      </c>
      <c r="N2764">
        <v>158906485</v>
      </c>
      <c r="O2764">
        <v>108822800</v>
      </c>
      <c r="P2764">
        <v>89</v>
      </c>
      <c r="Q2764" t="s">
        <v>5865</v>
      </c>
    </row>
    <row r="2765" spans="1:17" x14ac:dyDescent="0.3">
      <c r="A2765" t="s">
        <v>75</v>
      </c>
      <c r="B2765" t="str">
        <f>"002362"</f>
        <v>002362</v>
      </c>
      <c r="C2765" t="s">
        <v>5866</v>
      </c>
      <c r="D2765" t="s">
        <v>116</v>
      </c>
      <c r="E2765">
        <v>293968614</v>
      </c>
      <c r="F2765">
        <v>316490146</v>
      </c>
      <c r="G2765">
        <v>215331545</v>
      </c>
      <c r="H2765">
        <v>168993532</v>
      </c>
      <c r="I2765">
        <v>147261535</v>
      </c>
      <c r="J2765">
        <v>142759498</v>
      </c>
      <c r="K2765">
        <v>94670180</v>
      </c>
      <c r="L2765">
        <v>84232854</v>
      </c>
      <c r="M2765">
        <v>87133953</v>
      </c>
      <c r="N2765">
        <v>91111484</v>
      </c>
      <c r="O2765">
        <v>99791316</v>
      </c>
      <c r="P2765">
        <v>197</v>
      </c>
      <c r="Q2765" t="s">
        <v>5867</v>
      </c>
    </row>
    <row r="2766" spans="1:17" x14ac:dyDescent="0.3">
      <c r="A2766" t="s">
        <v>75</v>
      </c>
      <c r="B2766" t="str">
        <f>"300335"</f>
        <v>300335</v>
      </c>
      <c r="C2766" t="s">
        <v>5868</v>
      </c>
      <c r="D2766" t="s">
        <v>446</v>
      </c>
      <c r="E2766">
        <v>293967392</v>
      </c>
      <c r="F2766">
        <v>312150109</v>
      </c>
      <c r="G2766">
        <v>194181330</v>
      </c>
      <c r="H2766">
        <v>342383560</v>
      </c>
      <c r="I2766">
        <v>385609080</v>
      </c>
      <c r="J2766">
        <v>316903633</v>
      </c>
      <c r="K2766">
        <v>155670129</v>
      </c>
      <c r="L2766">
        <v>148867591</v>
      </c>
      <c r="M2766">
        <v>86453095</v>
      </c>
      <c r="N2766">
        <v>105422097</v>
      </c>
      <c r="O2766">
        <v>75422504</v>
      </c>
      <c r="P2766">
        <v>231</v>
      </c>
      <c r="Q2766" t="s">
        <v>5869</v>
      </c>
    </row>
    <row r="2767" spans="1:17" x14ac:dyDescent="0.3">
      <c r="A2767" t="s">
        <v>75</v>
      </c>
      <c r="B2767" t="str">
        <f>"002609"</f>
        <v>002609</v>
      </c>
      <c r="C2767" t="s">
        <v>5870</v>
      </c>
      <c r="D2767" t="s">
        <v>224</v>
      </c>
      <c r="E2767">
        <v>293548898</v>
      </c>
      <c r="F2767">
        <v>316328546</v>
      </c>
      <c r="G2767">
        <v>156696507</v>
      </c>
      <c r="H2767">
        <v>174328377</v>
      </c>
      <c r="I2767">
        <v>111485386</v>
      </c>
      <c r="J2767">
        <v>115750609</v>
      </c>
      <c r="K2767">
        <v>104695437</v>
      </c>
      <c r="L2767">
        <v>102825374</v>
      </c>
      <c r="M2767">
        <v>91475807</v>
      </c>
      <c r="N2767">
        <v>78784686</v>
      </c>
      <c r="O2767">
        <v>65894440</v>
      </c>
      <c r="P2767">
        <v>212</v>
      </c>
      <c r="Q2767" t="s">
        <v>5871</v>
      </c>
    </row>
    <row r="2768" spans="1:17" x14ac:dyDescent="0.3">
      <c r="A2768" t="s">
        <v>17</v>
      </c>
      <c r="B2768" t="str">
        <f>"600562"</f>
        <v>600562</v>
      </c>
      <c r="C2768" t="s">
        <v>5872</v>
      </c>
      <c r="D2768" t="s">
        <v>1572</v>
      </c>
      <c r="E2768">
        <v>293300749</v>
      </c>
      <c r="F2768">
        <v>482475245</v>
      </c>
      <c r="G2768">
        <v>496622762</v>
      </c>
      <c r="H2768">
        <v>286401214</v>
      </c>
      <c r="I2768">
        <v>112171801</v>
      </c>
      <c r="J2768">
        <v>134626703</v>
      </c>
      <c r="K2768">
        <v>223025358</v>
      </c>
      <c r="L2768">
        <v>71097505</v>
      </c>
      <c r="M2768">
        <v>97869599</v>
      </c>
      <c r="N2768">
        <v>58784479</v>
      </c>
      <c r="O2768">
        <v>58974920</v>
      </c>
      <c r="P2768">
        <v>283</v>
      </c>
      <c r="Q2768" t="s">
        <v>5873</v>
      </c>
    </row>
    <row r="2769" spans="1:17" x14ac:dyDescent="0.3">
      <c r="A2769" t="s">
        <v>17</v>
      </c>
      <c r="B2769" t="str">
        <f>"600468"</f>
        <v>600468</v>
      </c>
      <c r="C2769" t="s">
        <v>5874</v>
      </c>
      <c r="D2769" t="s">
        <v>546</v>
      </c>
      <c r="E2769">
        <v>293265487</v>
      </c>
      <c r="F2769">
        <v>363035108</v>
      </c>
      <c r="G2769">
        <v>343350749</v>
      </c>
      <c r="H2769">
        <v>280116322</v>
      </c>
      <c r="I2769">
        <v>244251116</v>
      </c>
      <c r="J2769">
        <v>174482248</v>
      </c>
      <c r="K2769">
        <v>183938662</v>
      </c>
      <c r="L2769">
        <v>173875070</v>
      </c>
      <c r="M2769">
        <v>98375207</v>
      </c>
      <c r="N2769">
        <v>106967276</v>
      </c>
      <c r="O2769">
        <v>133348800</v>
      </c>
      <c r="P2769">
        <v>89</v>
      </c>
      <c r="Q2769" t="s">
        <v>5875</v>
      </c>
    </row>
    <row r="2770" spans="1:17" x14ac:dyDescent="0.3">
      <c r="A2770" t="s">
        <v>17</v>
      </c>
      <c r="B2770" t="str">
        <f>"688569"</f>
        <v>688569</v>
      </c>
      <c r="C2770" t="s">
        <v>5876</v>
      </c>
      <c r="D2770" t="s">
        <v>156</v>
      </c>
      <c r="E2770">
        <v>292927147</v>
      </c>
      <c r="F2770">
        <v>151383219</v>
      </c>
      <c r="G2770">
        <v>0</v>
      </c>
      <c r="H2770">
        <v>0</v>
      </c>
      <c r="P2770">
        <v>31</v>
      </c>
      <c r="Q2770" t="s">
        <v>5877</v>
      </c>
    </row>
    <row r="2771" spans="1:17" x14ac:dyDescent="0.3">
      <c r="A2771" t="s">
        <v>75</v>
      </c>
      <c r="B2771" t="str">
        <f>"300911"</f>
        <v>300911</v>
      </c>
      <c r="C2771" t="s">
        <v>5878</v>
      </c>
      <c r="D2771" t="s">
        <v>1680</v>
      </c>
      <c r="E2771">
        <v>292689846</v>
      </c>
      <c r="F2771">
        <v>281889080</v>
      </c>
      <c r="G2771">
        <v>105846045</v>
      </c>
      <c r="P2771">
        <v>151</v>
      </c>
      <c r="Q2771" t="s">
        <v>5879</v>
      </c>
    </row>
    <row r="2772" spans="1:17" x14ac:dyDescent="0.3">
      <c r="A2772" t="s">
        <v>75</v>
      </c>
      <c r="B2772" t="str">
        <f>"300246"</f>
        <v>300246</v>
      </c>
      <c r="C2772" t="s">
        <v>5880</v>
      </c>
      <c r="D2772" t="s">
        <v>334</v>
      </c>
      <c r="E2772">
        <v>292638824</v>
      </c>
      <c r="F2772">
        <v>243797295</v>
      </c>
      <c r="G2772">
        <v>257768444</v>
      </c>
      <c r="H2772">
        <v>202262337</v>
      </c>
      <c r="I2772">
        <v>184573619</v>
      </c>
      <c r="J2772">
        <v>147743540</v>
      </c>
      <c r="K2772">
        <v>110787318</v>
      </c>
      <c r="L2772">
        <v>64339011</v>
      </c>
      <c r="M2772">
        <v>64243828</v>
      </c>
      <c r="N2772">
        <v>51441647</v>
      </c>
      <c r="O2772">
        <v>37914186</v>
      </c>
      <c r="P2772">
        <v>511</v>
      </c>
      <c r="Q2772" t="s">
        <v>5881</v>
      </c>
    </row>
    <row r="2773" spans="1:17" x14ac:dyDescent="0.3">
      <c r="A2773" t="s">
        <v>17</v>
      </c>
      <c r="B2773" t="str">
        <f>"688226"</f>
        <v>688226</v>
      </c>
      <c r="C2773" t="s">
        <v>5882</v>
      </c>
      <c r="D2773" t="s">
        <v>562</v>
      </c>
      <c r="E2773">
        <v>292463115</v>
      </c>
      <c r="F2773">
        <v>277286598</v>
      </c>
      <c r="G2773">
        <v>188285998</v>
      </c>
      <c r="P2773">
        <v>19</v>
      </c>
      <c r="Q2773" t="s">
        <v>5883</v>
      </c>
    </row>
    <row r="2774" spans="1:17" x14ac:dyDescent="0.3">
      <c r="A2774" t="s">
        <v>75</v>
      </c>
      <c r="B2774" t="str">
        <f>"003039"</f>
        <v>003039</v>
      </c>
      <c r="C2774" t="s">
        <v>5884</v>
      </c>
      <c r="D2774" t="s">
        <v>1107</v>
      </c>
      <c r="E2774">
        <v>292377798</v>
      </c>
      <c r="F2774">
        <v>307444905</v>
      </c>
      <c r="G2774">
        <v>252426465</v>
      </c>
      <c r="P2774">
        <v>64</v>
      </c>
      <c r="Q2774" t="s">
        <v>5885</v>
      </c>
    </row>
    <row r="2775" spans="1:17" x14ac:dyDescent="0.3">
      <c r="A2775" t="s">
        <v>17</v>
      </c>
      <c r="B2775" t="str">
        <f>"603230"</f>
        <v>603230</v>
      </c>
      <c r="C2775" t="s">
        <v>5886</v>
      </c>
      <c r="D2775" t="s">
        <v>1433</v>
      </c>
      <c r="E2775">
        <v>292240463</v>
      </c>
      <c r="P2775">
        <v>17</v>
      </c>
      <c r="Q2775" t="s">
        <v>5887</v>
      </c>
    </row>
    <row r="2776" spans="1:17" x14ac:dyDescent="0.3">
      <c r="A2776" t="s">
        <v>17</v>
      </c>
      <c r="B2776" t="str">
        <f>"600771"</f>
        <v>600771</v>
      </c>
      <c r="C2776" t="s">
        <v>5888</v>
      </c>
      <c r="D2776" t="s">
        <v>321</v>
      </c>
      <c r="E2776">
        <v>292032243</v>
      </c>
      <c r="F2776">
        <v>256547208</v>
      </c>
      <c r="G2776">
        <v>179834684</v>
      </c>
      <c r="H2776">
        <v>320838981</v>
      </c>
      <c r="I2776">
        <v>171005095</v>
      </c>
      <c r="J2776">
        <v>101547488</v>
      </c>
      <c r="K2776">
        <v>138057628</v>
      </c>
      <c r="L2776">
        <v>79486912</v>
      </c>
      <c r="M2776">
        <v>64145717</v>
      </c>
      <c r="N2776">
        <v>62324984</v>
      </c>
      <c r="O2776">
        <v>57297597</v>
      </c>
      <c r="P2776">
        <v>477</v>
      </c>
      <c r="Q2776" t="s">
        <v>5889</v>
      </c>
    </row>
    <row r="2777" spans="1:17" x14ac:dyDescent="0.3">
      <c r="A2777" t="s">
        <v>75</v>
      </c>
      <c r="B2777" t="str">
        <f>"001209"</f>
        <v>001209</v>
      </c>
      <c r="C2777" t="s">
        <v>5890</v>
      </c>
      <c r="D2777" t="s">
        <v>814</v>
      </c>
      <c r="E2777">
        <v>291575713</v>
      </c>
      <c r="F2777">
        <v>266139713</v>
      </c>
      <c r="G2777">
        <v>226567976</v>
      </c>
      <c r="P2777">
        <v>22</v>
      </c>
      <c r="Q2777" t="s">
        <v>5891</v>
      </c>
    </row>
    <row r="2778" spans="1:17" x14ac:dyDescent="0.3">
      <c r="A2778" t="s">
        <v>17</v>
      </c>
      <c r="B2778" t="str">
        <f>"603617"</f>
        <v>603617</v>
      </c>
      <c r="C2778" t="s">
        <v>5892</v>
      </c>
      <c r="D2778" t="s">
        <v>1424</v>
      </c>
      <c r="E2778">
        <v>291542802</v>
      </c>
      <c r="F2778">
        <v>313144406</v>
      </c>
      <c r="G2778">
        <v>194491495</v>
      </c>
      <c r="H2778">
        <v>196343216</v>
      </c>
      <c r="I2778">
        <v>192189029</v>
      </c>
      <c r="J2778">
        <v>174175671</v>
      </c>
      <c r="K2778">
        <v>144144897</v>
      </c>
      <c r="P2778">
        <v>104</v>
      </c>
      <c r="Q2778" t="s">
        <v>5893</v>
      </c>
    </row>
    <row r="2779" spans="1:17" x14ac:dyDescent="0.3">
      <c r="A2779" t="s">
        <v>75</v>
      </c>
      <c r="B2779" t="str">
        <f>"000567"</f>
        <v>000567</v>
      </c>
      <c r="C2779" t="s">
        <v>5894</v>
      </c>
      <c r="D2779" t="s">
        <v>5895</v>
      </c>
      <c r="E2779">
        <v>291426933</v>
      </c>
      <c r="F2779">
        <v>84426030</v>
      </c>
      <c r="G2779">
        <v>44283401</v>
      </c>
      <c r="H2779">
        <v>57600</v>
      </c>
      <c r="I2779">
        <v>73500</v>
      </c>
      <c r="J2779">
        <v>1017900</v>
      </c>
      <c r="K2779">
        <v>500020</v>
      </c>
      <c r="L2779">
        <v>169214</v>
      </c>
      <c r="M2779">
        <v>4523900</v>
      </c>
      <c r="N2779">
        <v>761060</v>
      </c>
      <c r="O2779">
        <v>1925000</v>
      </c>
      <c r="P2779">
        <v>117</v>
      </c>
      <c r="Q2779" t="s">
        <v>5896</v>
      </c>
    </row>
    <row r="2780" spans="1:17" x14ac:dyDescent="0.3">
      <c r="A2780" t="s">
        <v>75</v>
      </c>
      <c r="B2780" t="str">
        <f>"300151"</f>
        <v>300151</v>
      </c>
      <c r="C2780" t="s">
        <v>5897</v>
      </c>
      <c r="D2780" t="s">
        <v>1624</v>
      </c>
      <c r="E2780">
        <v>291360985</v>
      </c>
      <c r="F2780">
        <v>312827133</v>
      </c>
      <c r="G2780">
        <v>194954240</v>
      </c>
      <c r="H2780">
        <v>212930440</v>
      </c>
      <c r="I2780">
        <v>176447193</v>
      </c>
      <c r="J2780">
        <v>156797105</v>
      </c>
      <c r="K2780">
        <v>140075918</v>
      </c>
      <c r="L2780">
        <v>144675427</v>
      </c>
      <c r="M2780">
        <v>168310093</v>
      </c>
      <c r="N2780">
        <v>175933477</v>
      </c>
      <c r="O2780">
        <v>89818997</v>
      </c>
      <c r="P2780">
        <v>155</v>
      </c>
      <c r="Q2780" t="s">
        <v>5898</v>
      </c>
    </row>
    <row r="2781" spans="1:17" x14ac:dyDescent="0.3">
      <c r="A2781" t="s">
        <v>75</v>
      </c>
      <c r="B2781" t="str">
        <f>"300655"</f>
        <v>300655</v>
      </c>
      <c r="C2781" t="s">
        <v>5899</v>
      </c>
      <c r="D2781" t="s">
        <v>1853</v>
      </c>
      <c r="E2781">
        <v>291233170</v>
      </c>
      <c r="F2781">
        <v>249562216</v>
      </c>
      <c r="G2781">
        <v>187883663</v>
      </c>
      <c r="H2781">
        <v>211646262</v>
      </c>
      <c r="I2781">
        <v>143319576</v>
      </c>
      <c r="J2781">
        <v>62387404</v>
      </c>
      <c r="K2781">
        <v>0</v>
      </c>
      <c r="P2781">
        <v>3076</v>
      </c>
      <c r="Q2781" t="s">
        <v>5900</v>
      </c>
    </row>
    <row r="2782" spans="1:17" x14ac:dyDescent="0.3">
      <c r="A2782" t="s">
        <v>75</v>
      </c>
      <c r="B2782" t="str">
        <f>"002587"</f>
        <v>002587</v>
      </c>
      <c r="C2782" t="s">
        <v>5901</v>
      </c>
      <c r="D2782" t="s">
        <v>1044</v>
      </c>
      <c r="E2782">
        <v>291133394</v>
      </c>
      <c r="F2782">
        <v>212379101</v>
      </c>
      <c r="G2782">
        <v>214621844</v>
      </c>
      <c r="H2782">
        <v>232093589</v>
      </c>
      <c r="I2782">
        <v>221912316</v>
      </c>
      <c r="J2782">
        <v>146417017</v>
      </c>
      <c r="K2782">
        <v>55500501</v>
      </c>
      <c r="L2782">
        <v>60627489</v>
      </c>
      <c r="M2782">
        <v>58900945</v>
      </c>
      <c r="N2782">
        <v>79464189</v>
      </c>
      <c r="O2782">
        <v>62741068</v>
      </c>
      <c r="P2782">
        <v>142</v>
      </c>
      <c r="Q2782" t="s">
        <v>5902</v>
      </c>
    </row>
    <row r="2783" spans="1:17" x14ac:dyDescent="0.3">
      <c r="A2783" t="s">
        <v>17</v>
      </c>
      <c r="B2783" t="str">
        <f>"603685"</f>
        <v>603685</v>
      </c>
      <c r="C2783" t="s">
        <v>5903</v>
      </c>
      <c r="D2783" t="s">
        <v>1044</v>
      </c>
      <c r="E2783">
        <v>290668638</v>
      </c>
      <c r="F2783">
        <v>280186038</v>
      </c>
      <c r="G2783">
        <v>181648260</v>
      </c>
      <c r="H2783">
        <v>183303140</v>
      </c>
      <c r="I2783">
        <v>131557112</v>
      </c>
      <c r="J2783">
        <v>128048685</v>
      </c>
      <c r="P2783">
        <v>102</v>
      </c>
      <c r="Q2783" t="s">
        <v>5904</v>
      </c>
    </row>
    <row r="2784" spans="1:17" x14ac:dyDescent="0.3">
      <c r="A2784" t="s">
        <v>17</v>
      </c>
      <c r="B2784" t="str">
        <f>"601929"</f>
        <v>601929</v>
      </c>
      <c r="C2784" t="s">
        <v>5905</v>
      </c>
      <c r="D2784" t="s">
        <v>1991</v>
      </c>
      <c r="E2784">
        <v>290002567</v>
      </c>
      <c r="F2784">
        <v>351516342</v>
      </c>
      <c r="G2784">
        <v>317979404</v>
      </c>
      <c r="H2784">
        <v>338943707</v>
      </c>
      <c r="I2784">
        <v>389970822</v>
      </c>
      <c r="J2784">
        <v>327543566</v>
      </c>
      <c r="K2784">
        <v>412215529</v>
      </c>
      <c r="L2784">
        <v>401656751</v>
      </c>
      <c r="M2784">
        <v>419995160</v>
      </c>
      <c r="N2784">
        <v>374440534</v>
      </c>
      <c r="O2784">
        <v>331146070</v>
      </c>
      <c r="P2784">
        <v>159</v>
      </c>
      <c r="Q2784" t="s">
        <v>5906</v>
      </c>
    </row>
    <row r="2785" spans="1:17" x14ac:dyDescent="0.3">
      <c r="A2785" t="s">
        <v>17</v>
      </c>
      <c r="B2785" t="str">
        <f>"603768"</f>
        <v>603768</v>
      </c>
      <c r="C2785" t="s">
        <v>5907</v>
      </c>
      <c r="D2785" t="s">
        <v>1321</v>
      </c>
      <c r="E2785">
        <v>289827667</v>
      </c>
      <c r="F2785">
        <v>259110600</v>
      </c>
      <c r="G2785">
        <v>212632381</v>
      </c>
      <c r="H2785">
        <v>236023161</v>
      </c>
      <c r="I2785">
        <v>189037938</v>
      </c>
      <c r="J2785">
        <v>102568597</v>
      </c>
      <c r="K2785">
        <v>74711304</v>
      </c>
      <c r="P2785">
        <v>58</v>
      </c>
      <c r="Q2785" t="s">
        <v>5908</v>
      </c>
    </row>
    <row r="2786" spans="1:17" x14ac:dyDescent="0.3">
      <c r="A2786" t="s">
        <v>17</v>
      </c>
      <c r="B2786" t="str">
        <f>"603958"</f>
        <v>603958</v>
      </c>
      <c r="C2786" t="s">
        <v>5909</v>
      </c>
      <c r="D2786" t="s">
        <v>2921</v>
      </c>
      <c r="E2786">
        <v>289475256</v>
      </c>
      <c r="F2786">
        <v>250667219</v>
      </c>
      <c r="G2786">
        <v>246539250</v>
      </c>
      <c r="H2786">
        <v>385420986</v>
      </c>
      <c r="I2786">
        <v>451824775</v>
      </c>
      <c r="J2786">
        <v>481526528</v>
      </c>
      <c r="K2786">
        <v>603386677</v>
      </c>
      <c r="L2786">
        <v>664661483</v>
      </c>
      <c r="P2786">
        <v>67</v>
      </c>
      <c r="Q2786" t="s">
        <v>5910</v>
      </c>
    </row>
    <row r="2787" spans="1:17" x14ac:dyDescent="0.3">
      <c r="A2787" t="s">
        <v>17</v>
      </c>
      <c r="B2787" t="str">
        <f>"603697"</f>
        <v>603697</v>
      </c>
      <c r="C2787" t="s">
        <v>5911</v>
      </c>
      <c r="D2787" t="s">
        <v>1268</v>
      </c>
      <c r="E2787">
        <v>289474583</v>
      </c>
      <c r="F2787">
        <v>319937005</v>
      </c>
      <c r="G2787">
        <v>295131637</v>
      </c>
      <c r="H2787">
        <v>259727551</v>
      </c>
      <c r="I2787">
        <v>312526611</v>
      </c>
      <c r="P2787">
        <v>394</v>
      </c>
      <c r="Q2787" t="s">
        <v>5912</v>
      </c>
    </row>
    <row r="2788" spans="1:17" x14ac:dyDescent="0.3">
      <c r="A2788" t="s">
        <v>17</v>
      </c>
      <c r="B2788" t="str">
        <f>"603188"</f>
        <v>603188</v>
      </c>
      <c r="C2788" t="s">
        <v>5913</v>
      </c>
      <c r="D2788" t="s">
        <v>1160</v>
      </c>
      <c r="E2788">
        <v>289447520</v>
      </c>
      <c r="F2788">
        <v>78903524</v>
      </c>
      <c r="G2788">
        <v>236988148</v>
      </c>
      <c r="H2788">
        <v>290944304</v>
      </c>
      <c r="I2788">
        <v>422307460</v>
      </c>
      <c r="J2788">
        <v>426757890</v>
      </c>
      <c r="K2788">
        <v>365247474</v>
      </c>
      <c r="L2788">
        <v>268587569</v>
      </c>
      <c r="M2788">
        <v>288223489</v>
      </c>
      <c r="P2788">
        <v>206</v>
      </c>
      <c r="Q2788" t="s">
        <v>5914</v>
      </c>
    </row>
    <row r="2789" spans="1:17" x14ac:dyDescent="0.3">
      <c r="A2789" t="s">
        <v>75</v>
      </c>
      <c r="B2789" t="str">
        <f>"300846"</f>
        <v>300846</v>
      </c>
      <c r="C2789" t="s">
        <v>5915</v>
      </c>
      <c r="D2789" t="s">
        <v>224</v>
      </c>
      <c r="E2789">
        <v>289112774</v>
      </c>
      <c r="F2789">
        <v>264927966</v>
      </c>
      <c r="G2789">
        <v>174927687</v>
      </c>
      <c r="H2789">
        <v>165215583</v>
      </c>
      <c r="I2789">
        <v>139554383</v>
      </c>
      <c r="P2789">
        <v>78</v>
      </c>
      <c r="Q2789" t="s">
        <v>5916</v>
      </c>
    </row>
    <row r="2790" spans="1:17" x14ac:dyDescent="0.3">
      <c r="A2790" t="s">
        <v>75</v>
      </c>
      <c r="B2790" t="str">
        <f>"300690"</f>
        <v>300690</v>
      </c>
      <c r="C2790" t="s">
        <v>5917</v>
      </c>
      <c r="D2790" t="s">
        <v>1398</v>
      </c>
      <c r="E2790">
        <v>288866208</v>
      </c>
      <c r="F2790">
        <v>300054004</v>
      </c>
      <c r="G2790">
        <v>254429311</v>
      </c>
      <c r="H2790">
        <v>184894925</v>
      </c>
      <c r="I2790">
        <v>129643432</v>
      </c>
      <c r="J2790">
        <v>114765726</v>
      </c>
      <c r="K2790">
        <v>0</v>
      </c>
      <c r="P2790">
        <v>214</v>
      </c>
      <c r="Q2790" t="s">
        <v>5918</v>
      </c>
    </row>
    <row r="2791" spans="1:17" x14ac:dyDescent="0.3">
      <c r="A2791" t="s">
        <v>17</v>
      </c>
      <c r="B2791" t="str">
        <f>"688687"</f>
        <v>688687</v>
      </c>
      <c r="C2791" t="s">
        <v>5919</v>
      </c>
      <c r="D2791" t="s">
        <v>1533</v>
      </c>
      <c r="E2791">
        <v>288820371</v>
      </c>
      <c r="F2791">
        <v>272896734</v>
      </c>
      <c r="G2791">
        <v>0</v>
      </c>
      <c r="H2791">
        <v>0</v>
      </c>
      <c r="P2791">
        <v>41</v>
      </c>
      <c r="Q2791" t="s">
        <v>5920</v>
      </c>
    </row>
    <row r="2792" spans="1:17" x14ac:dyDescent="0.3">
      <c r="A2792" t="s">
        <v>75</v>
      </c>
      <c r="B2792" t="str">
        <f>"300328"</f>
        <v>300328</v>
      </c>
      <c r="C2792" t="s">
        <v>5921</v>
      </c>
      <c r="D2792" t="s">
        <v>364</v>
      </c>
      <c r="E2792">
        <v>288656983</v>
      </c>
      <c r="F2792">
        <v>228217939</v>
      </c>
      <c r="G2792">
        <v>266897605</v>
      </c>
      <c r="H2792">
        <v>251772366</v>
      </c>
      <c r="I2792">
        <v>184514648</v>
      </c>
      <c r="J2792">
        <v>178948049</v>
      </c>
      <c r="K2792">
        <v>151183613</v>
      </c>
      <c r="L2792">
        <v>151790470</v>
      </c>
      <c r="M2792">
        <v>122982812</v>
      </c>
      <c r="N2792">
        <v>87595207</v>
      </c>
      <c r="O2792">
        <v>74876548</v>
      </c>
      <c r="P2792">
        <v>232</v>
      </c>
      <c r="Q2792" t="s">
        <v>5922</v>
      </c>
    </row>
    <row r="2793" spans="1:17" x14ac:dyDescent="0.3">
      <c r="A2793" t="s">
        <v>75</v>
      </c>
      <c r="B2793" t="str">
        <f>"002742"</f>
        <v>002742</v>
      </c>
      <c r="C2793" t="s">
        <v>5923</v>
      </c>
      <c r="D2793" t="s">
        <v>2242</v>
      </c>
      <c r="E2793">
        <v>288579411</v>
      </c>
      <c r="F2793">
        <v>507096539</v>
      </c>
      <c r="G2793">
        <v>456106571</v>
      </c>
      <c r="H2793">
        <v>611332842</v>
      </c>
      <c r="I2793">
        <v>375055568</v>
      </c>
      <c r="J2793">
        <v>259267384</v>
      </c>
      <c r="K2793">
        <v>171239300</v>
      </c>
      <c r="L2793">
        <v>143478549</v>
      </c>
      <c r="M2793">
        <v>136337985</v>
      </c>
      <c r="P2793">
        <v>67</v>
      </c>
      <c r="Q2793" t="s">
        <v>5924</v>
      </c>
    </row>
    <row r="2794" spans="1:17" x14ac:dyDescent="0.3">
      <c r="A2794" t="s">
        <v>17</v>
      </c>
      <c r="B2794" t="str">
        <f>"600674"</f>
        <v>600674</v>
      </c>
      <c r="C2794" t="s">
        <v>5925</v>
      </c>
      <c r="D2794" t="s">
        <v>528</v>
      </c>
      <c r="E2794">
        <v>288538814</v>
      </c>
      <c r="F2794">
        <v>242724144</v>
      </c>
      <c r="G2794">
        <v>212954768</v>
      </c>
      <c r="H2794">
        <v>314556652</v>
      </c>
      <c r="I2794">
        <v>312249560</v>
      </c>
      <c r="J2794">
        <v>271611176</v>
      </c>
      <c r="K2794">
        <v>305174863</v>
      </c>
      <c r="L2794">
        <v>353773851</v>
      </c>
      <c r="M2794">
        <v>313078345</v>
      </c>
      <c r="N2794">
        <v>369330242</v>
      </c>
      <c r="O2794">
        <v>316141237</v>
      </c>
      <c r="P2794">
        <v>1531</v>
      </c>
      <c r="Q2794" t="s">
        <v>5926</v>
      </c>
    </row>
    <row r="2795" spans="1:17" x14ac:dyDescent="0.3">
      <c r="A2795" t="s">
        <v>75</v>
      </c>
      <c r="B2795" t="str">
        <f>"300892"</f>
        <v>300892</v>
      </c>
      <c r="C2795" t="s">
        <v>5927</v>
      </c>
      <c r="D2795" t="s">
        <v>142</v>
      </c>
      <c r="E2795">
        <v>288497251</v>
      </c>
      <c r="F2795">
        <v>359256727</v>
      </c>
      <c r="G2795">
        <v>291157909</v>
      </c>
      <c r="P2795">
        <v>99</v>
      </c>
      <c r="Q2795" t="s">
        <v>5928</v>
      </c>
    </row>
    <row r="2796" spans="1:17" x14ac:dyDescent="0.3">
      <c r="A2796" t="s">
        <v>75</v>
      </c>
      <c r="B2796" t="str">
        <f>"300444"</f>
        <v>300444</v>
      </c>
      <c r="C2796" t="s">
        <v>5929</v>
      </c>
      <c r="D2796" t="s">
        <v>347</v>
      </c>
      <c r="E2796">
        <v>288489102</v>
      </c>
      <c r="F2796">
        <v>263669448</v>
      </c>
      <c r="G2796">
        <v>212285045</v>
      </c>
      <c r="H2796">
        <v>386199679</v>
      </c>
      <c r="I2796">
        <v>232039122</v>
      </c>
      <c r="J2796">
        <v>170998000</v>
      </c>
      <c r="K2796">
        <v>178421740</v>
      </c>
      <c r="L2796">
        <v>103912853</v>
      </c>
      <c r="P2796">
        <v>101</v>
      </c>
      <c r="Q2796" t="s">
        <v>5930</v>
      </c>
    </row>
    <row r="2797" spans="1:17" x14ac:dyDescent="0.3">
      <c r="A2797" t="s">
        <v>17</v>
      </c>
      <c r="B2797" t="str">
        <f>"600965"</f>
        <v>600965</v>
      </c>
      <c r="C2797" t="s">
        <v>5931</v>
      </c>
      <c r="D2797" t="s">
        <v>1377</v>
      </c>
      <c r="E2797">
        <v>288463141</v>
      </c>
      <c r="F2797">
        <v>319254045</v>
      </c>
      <c r="G2797">
        <v>260513220</v>
      </c>
      <c r="H2797">
        <v>374044763</v>
      </c>
      <c r="I2797">
        <v>377180539</v>
      </c>
      <c r="J2797">
        <v>341124585</v>
      </c>
      <c r="K2797">
        <v>350986825</v>
      </c>
      <c r="L2797">
        <v>302126466</v>
      </c>
      <c r="M2797">
        <v>282998648</v>
      </c>
      <c r="N2797">
        <v>190629101</v>
      </c>
      <c r="O2797">
        <v>173722558</v>
      </c>
      <c r="P2797">
        <v>113</v>
      </c>
      <c r="Q2797" t="s">
        <v>5932</v>
      </c>
    </row>
    <row r="2798" spans="1:17" x14ac:dyDescent="0.3">
      <c r="A2798" t="s">
        <v>75</v>
      </c>
      <c r="B2798" t="str">
        <f>"002209"</f>
        <v>002209</v>
      </c>
      <c r="C2798" t="s">
        <v>5933</v>
      </c>
      <c r="D2798" t="s">
        <v>3158</v>
      </c>
      <c r="E2798">
        <v>288274372</v>
      </c>
      <c r="F2798">
        <v>277816682</v>
      </c>
      <c r="G2798">
        <v>227615841</v>
      </c>
      <c r="H2798">
        <v>177569693</v>
      </c>
      <c r="I2798">
        <v>262371075</v>
      </c>
      <c r="J2798">
        <v>236758635</v>
      </c>
      <c r="K2798">
        <v>143784978</v>
      </c>
      <c r="L2798">
        <v>231647775</v>
      </c>
      <c r="M2798">
        <v>273179204</v>
      </c>
      <c r="N2798">
        <v>206870076</v>
      </c>
      <c r="O2798">
        <v>169042609</v>
      </c>
      <c r="P2798">
        <v>75</v>
      </c>
      <c r="Q2798" t="s">
        <v>5934</v>
      </c>
    </row>
    <row r="2799" spans="1:17" x14ac:dyDescent="0.3">
      <c r="A2799" t="s">
        <v>17</v>
      </c>
      <c r="B2799" t="str">
        <f>"688793"</f>
        <v>688793</v>
      </c>
      <c r="C2799" t="s">
        <v>5935</v>
      </c>
      <c r="D2799" t="s">
        <v>2604</v>
      </c>
      <c r="E2799">
        <v>288139632</v>
      </c>
      <c r="F2799">
        <v>280369588</v>
      </c>
      <c r="G2799">
        <v>178115665</v>
      </c>
      <c r="P2799">
        <v>48</v>
      </c>
      <c r="Q2799" t="s">
        <v>5936</v>
      </c>
    </row>
    <row r="2800" spans="1:17" x14ac:dyDescent="0.3">
      <c r="A2800" t="s">
        <v>75</v>
      </c>
      <c r="B2800" t="str">
        <f>"000828"</f>
        <v>000828</v>
      </c>
      <c r="C2800" t="s">
        <v>5937</v>
      </c>
      <c r="D2800" t="s">
        <v>1248</v>
      </c>
      <c r="E2800">
        <v>287614151</v>
      </c>
      <c r="F2800">
        <v>325806363</v>
      </c>
      <c r="G2800">
        <v>121600411</v>
      </c>
      <c r="H2800">
        <v>312821723</v>
      </c>
      <c r="I2800">
        <v>293847708</v>
      </c>
      <c r="J2800">
        <v>265541979</v>
      </c>
      <c r="K2800">
        <v>246766118</v>
      </c>
      <c r="L2800">
        <v>310248656</v>
      </c>
      <c r="M2800">
        <v>199687892</v>
      </c>
      <c r="N2800">
        <v>164237119</v>
      </c>
      <c r="O2800">
        <v>175298560</v>
      </c>
      <c r="P2800">
        <v>961</v>
      </c>
      <c r="Q2800" t="s">
        <v>5938</v>
      </c>
    </row>
    <row r="2801" spans="1:17" x14ac:dyDescent="0.3">
      <c r="A2801" t="s">
        <v>17</v>
      </c>
      <c r="B2801" t="str">
        <f>"688016"</f>
        <v>688016</v>
      </c>
      <c r="C2801" t="s">
        <v>5939</v>
      </c>
      <c r="D2801" t="s">
        <v>1538</v>
      </c>
      <c r="E2801">
        <v>287151611</v>
      </c>
      <c r="F2801">
        <v>207976672</v>
      </c>
      <c r="G2801">
        <v>105022854</v>
      </c>
      <c r="H2801">
        <v>96677346</v>
      </c>
      <c r="I2801">
        <v>0</v>
      </c>
      <c r="P2801">
        <v>551</v>
      </c>
      <c r="Q2801" t="s">
        <v>5940</v>
      </c>
    </row>
    <row r="2802" spans="1:17" x14ac:dyDescent="0.3">
      <c r="A2802" t="s">
        <v>75</v>
      </c>
      <c r="B2802" t="str">
        <f>"002038"</f>
        <v>002038</v>
      </c>
      <c r="C2802" t="s">
        <v>5941</v>
      </c>
      <c r="D2802" t="s">
        <v>1533</v>
      </c>
      <c r="E2802">
        <v>287151139</v>
      </c>
      <c r="F2802">
        <v>298111199</v>
      </c>
      <c r="G2802">
        <v>289186967</v>
      </c>
      <c r="H2802">
        <v>513911849</v>
      </c>
      <c r="I2802">
        <v>489824187</v>
      </c>
      <c r="J2802">
        <v>277686490</v>
      </c>
      <c r="K2802">
        <v>248282770</v>
      </c>
      <c r="L2802">
        <v>311773184</v>
      </c>
      <c r="M2802">
        <v>292417655</v>
      </c>
      <c r="N2802">
        <v>223914996</v>
      </c>
      <c r="O2802">
        <v>178435956</v>
      </c>
      <c r="P2802">
        <v>5163</v>
      </c>
      <c r="Q2802" t="s">
        <v>5942</v>
      </c>
    </row>
    <row r="2803" spans="1:17" x14ac:dyDescent="0.3">
      <c r="A2803" t="s">
        <v>17</v>
      </c>
      <c r="B2803" t="str">
        <f>"601890"</f>
        <v>601890</v>
      </c>
      <c r="C2803" t="s">
        <v>5943</v>
      </c>
      <c r="D2803" t="s">
        <v>465</v>
      </c>
      <c r="E2803">
        <v>287086970</v>
      </c>
      <c r="F2803">
        <v>376131090</v>
      </c>
      <c r="G2803">
        <v>276993543</v>
      </c>
      <c r="H2803">
        <v>297973155</v>
      </c>
      <c r="I2803">
        <v>261187648</v>
      </c>
      <c r="J2803">
        <v>188517600</v>
      </c>
      <c r="K2803">
        <v>309077101</v>
      </c>
      <c r="L2803">
        <v>338735452</v>
      </c>
      <c r="M2803">
        <v>305691896</v>
      </c>
      <c r="N2803">
        <v>250393850</v>
      </c>
      <c r="O2803">
        <v>449002055</v>
      </c>
      <c r="P2803">
        <v>144</v>
      </c>
      <c r="Q2803" t="s">
        <v>5944</v>
      </c>
    </row>
    <row r="2804" spans="1:17" x14ac:dyDescent="0.3">
      <c r="A2804" t="s">
        <v>17</v>
      </c>
      <c r="B2804" t="str">
        <f>"605100"</f>
        <v>605100</v>
      </c>
      <c r="C2804" t="s">
        <v>5945</v>
      </c>
      <c r="D2804" t="s">
        <v>153</v>
      </c>
      <c r="E2804">
        <v>287011444</v>
      </c>
      <c r="F2804">
        <v>195596040</v>
      </c>
      <c r="G2804">
        <v>195511533</v>
      </c>
      <c r="H2804">
        <v>111104175</v>
      </c>
      <c r="P2804">
        <v>60</v>
      </c>
      <c r="Q2804" t="s">
        <v>5946</v>
      </c>
    </row>
    <row r="2805" spans="1:17" x14ac:dyDescent="0.3">
      <c r="A2805" t="s">
        <v>75</v>
      </c>
      <c r="B2805" t="str">
        <f>"001202"</f>
        <v>001202</v>
      </c>
      <c r="C2805" t="s">
        <v>5947</v>
      </c>
      <c r="D2805" t="s">
        <v>35</v>
      </c>
      <c r="E2805">
        <v>286719950</v>
      </c>
      <c r="F2805">
        <v>166266834</v>
      </c>
      <c r="G2805">
        <v>200827543</v>
      </c>
      <c r="P2805">
        <v>32</v>
      </c>
      <c r="Q2805" t="s">
        <v>5948</v>
      </c>
    </row>
    <row r="2806" spans="1:17" x14ac:dyDescent="0.3">
      <c r="A2806" t="s">
        <v>75</v>
      </c>
      <c r="B2806" t="str">
        <f>"300976"</f>
        <v>300976</v>
      </c>
      <c r="C2806" t="s">
        <v>5949</v>
      </c>
      <c r="D2806" t="s">
        <v>55</v>
      </c>
      <c r="E2806">
        <v>286366578</v>
      </c>
      <c r="F2806">
        <v>396409606</v>
      </c>
      <c r="G2806">
        <v>222337989</v>
      </c>
      <c r="P2806">
        <v>35</v>
      </c>
      <c r="Q2806" t="s">
        <v>5950</v>
      </c>
    </row>
    <row r="2807" spans="1:17" x14ac:dyDescent="0.3">
      <c r="A2807" t="s">
        <v>75</v>
      </c>
      <c r="B2807" t="str">
        <f>"002380"</f>
        <v>002380</v>
      </c>
      <c r="C2807" t="s">
        <v>5951</v>
      </c>
      <c r="D2807" t="s">
        <v>224</v>
      </c>
      <c r="E2807">
        <v>286316704</v>
      </c>
      <c r="F2807">
        <v>234696054</v>
      </c>
      <c r="G2807">
        <v>134100035</v>
      </c>
      <c r="H2807">
        <v>147764396</v>
      </c>
      <c r="I2807">
        <v>147308761</v>
      </c>
      <c r="J2807">
        <v>118165055</v>
      </c>
      <c r="K2807">
        <v>78711623</v>
      </c>
      <c r="L2807">
        <v>76928397</v>
      </c>
      <c r="M2807">
        <v>51968763</v>
      </c>
      <c r="N2807">
        <v>51475254</v>
      </c>
      <c r="O2807">
        <v>50490244</v>
      </c>
      <c r="P2807">
        <v>131</v>
      </c>
      <c r="Q2807" t="s">
        <v>5952</v>
      </c>
    </row>
    <row r="2808" spans="1:17" x14ac:dyDescent="0.3">
      <c r="A2808" t="s">
        <v>75</v>
      </c>
      <c r="B2808" t="str">
        <f>"300556"</f>
        <v>300556</v>
      </c>
      <c r="C2808" t="s">
        <v>5953</v>
      </c>
      <c r="D2808" t="s">
        <v>116</v>
      </c>
      <c r="E2808">
        <v>286217060</v>
      </c>
      <c r="F2808">
        <v>258491654</v>
      </c>
      <c r="G2808">
        <v>125421843</v>
      </c>
      <c r="H2808">
        <v>144127762</v>
      </c>
      <c r="I2808">
        <v>121877195</v>
      </c>
      <c r="J2808">
        <v>111539159</v>
      </c>
      <c r="K2808">
        <v>68406998</v>
      </c>
      <c r="P2808">
        <v>112</v>
      </c>
      <c r="Q2808" t="s">
        <v>5954</v>
      </c>
    </row>
    <row r="2809" spans="1:17" x14ac:dyDescent="0.3">
      <c r="A2809" t="s">
        <v>17</v>
      </c>
      <c r="B2809" t="str">
        <f>"601199"</f>
        <v>601199</v>
      </c>
      <c r="C2809" t="s">
        <v>5955</v>
      </c>
      <c r="D2809" t="s">
        <v>1107</v>
      </c>
      <c r="E2809">
        <v>285985280</v>
      </c>
      <c r="F2809">
        <v>253261734</v>
      </c>
      <c r="G2809">
        <v>215382221</v>
      </c>
      <c r="H2809">
        <v>311854315</v>
      </c>
      <c r="I2809">
        <v>218537621</v>
      </c>
      <c r="J2809">
        <v>193353610</v>
      </c>
      <c r="K2809">
        <v>238797499</v>
      </c>
      <c r="L2809">
        <v>184226304</v>
      </c>
      <c r="M2809">
        <v>195784573</v>
      </c>
      <c r="N2809">
        <v>206187861</v>
      </c>
      <c r="O2809">
        <v>185488348</v>
      </c>
      <c r="P2809">
        <v>186</v>
      </c>
      <c r="Q2809" t="s">
        <v>5956</v>
      </c>
    </row>
    <row r="2810" spans="1:17" x14ac:dyDescent="0.3">
      <c r="A2810" t="s">
        <v>75</v>
      </c>
      <c r="B2810" t="str">
        <f>"300494"</f>
        <v>300494</v>
      </c>
      <c r="C2810" t="s">
        <v>5957</v>
      </c>
      <c r="D2810" t="s">
        <v>1165</v>
      </c>
      <c r="E2810">
        <v>285970370</v>
      </c>
      <c r="F2810">
        <v>214066408</v>
      </c>
      <c r="G2810">
        <v>192118504</v>
      </c>
      <c r="H2810">
        <v>139734574</v>
      </c>
      <c r="I2810">
        <v>101412599</v>
      </c>
      <c r="J2810">
        <v>76591043</v>
      </c>
      <c r="K2810">
        <v>51814543</v>
      </c>
      <c r="L2810">
        <v>55250326</v>
      </c>
      <c r="M2810">
        <v>54807701</v>
      </c>
      <c r="P2810">
        <v>134</v>
      </c>
      <c r="Q2810" t="s">
        <v>5958</v>
      </c>
    </row>
    <row r="2811" spans="1:17" x14ac:dyDescent="0.3">
      <c r="A2811" t="s">
        <v>75</v>
      </c>
      <c r="B2811" t="str">
        <f>"301206"</f>
        <v>301206</v>
      </c>
      <c r="C2811" t="s">
        <v>5959</v>
      </c>
      <c r="E2811">
        <v>285616287</v>
      </c>
      <c r="P2811">
        <v>24</v>
      </c>
      <c r="Q2811" t="s">
        <v>5960</v>
      </c>
    </row>
    <row r="2812" spans="1:17" x14ac:dyDescent="0.3">
      <c r="A2812" t="s">
        <v>17</v>
      </c>
      <c r="B2812" t="str">
        <f>"688336"</f>
        <v>688336</v>
      </c>
      <c r="C2812" t="s">
        <v>5961</v>
      </c>
      <c r="D2812" t="s">
        <v>1533</v>
      </c>
      <c r="E2812">
        <v>285230652</v>
      </c>
      <c r="F2812">
        <v>171933541</v>
      </c>
      <c r="G2812">
        <v>261145631</v>
      </c>
      <c r="H2812">
        <v>0</v>
      </c>
      <c r="P2812">
        <v>52</v>
      </c>
      <c r="Q2812" t="s">
        <v>5962</v>
      </c>
    </row>
    <row r="2813" spans="1:17" x14ac:dyDescent="0.3">
      <c r="A2813" t="s">
        <v>75</v>
      </c>
      <c r="B2813" t="str">
        <f>"300632"</f>
        <v>300632</v>
      </c>
      <c r="C2813" t="s">
        <v>5963</v>
      </c>
      <c r="D2813" t="s">
        <v>1044</v>
      </c>
      <c r="E2813">
        <v>285116004</v>
      </c>
      <c r="F2813">
        <v>237963377</v>
      </c>
      <c r="G2813">
        <v>232380783</v>
      </c>
      <c r="H2813">
        <v>271673639</v>
      </c>
      <c r="I2813">
        <v>119929291</v>
      </c>
      <c r="J2813">
        <v>96564791</v>
      </c>
      <c r="K2813">
        <v>61106531</v>
      </c>
      <c r="P2813">
        <v>201</v>
      </c>
      <c r="Q2813" t="s">
        <v>5964</v>
      </c>
    </row>
    <row r="2814" spans="1:17" x14ac:dyDescent="0.3">
      <c r="A2814" t="s">
        <v>75</v>
      </c>
      <c r="B2814" t="str">
        <f>"002774"</f>
        <v>002774</v>
      </c>
      <c r="C2814" t="s">
        <v>5965</v>
      </c>
      <c r="D2814" t="s">
        <v>892</v>
      </c>
      <c r="E2814">
        <v>284830584</v>
      </c>
      <c r="F2814">
        <v>336616879</v>
      </c>
      <c r="G2814">
        <v>143011893</v>
      </c>
      <c r="H2814">
        <v>196591455</v>
      </c>
      <c r="I2814">
        <v>167470420</v>
      </c>
      <c r="J2814">
        <v>183639989</v>
      </c>
      <c r="K2814">
        <v>165635447</v>
      </c>
      <c r="P2814">
        <v>77</v>
      </c>
      <c r="Q2814" t="s">
        <v>5966</v>
      </c>
    </row>
    <row r="2815" spans="1:17" x14ac:dyDescent="0.3">
      <c r="A2815" t="s">
        <v>75</v>
      </c>
      <c r="B2815" t="str">
        <f>"002660"</f>
        <v>002660</v>
      </c>
      <c r="C2815" t="s">
        <v>5967</v>
      </c>
      <c r="D2815" t="s">
        <v>55</v>
      </c>
      <c r="E2815">
        <v>284736883</v>
      </c>
      <c r="F2815">
        <v>271208328</v>
      </c>
      <c r="G2815">
        <v>411501943</v>
      </c>
      <c r="H2815">
        <v>259640631</v>
      </c>
      <c r="I2815">
        <v>315719427</v>
      </c>
      <c r="J2815">
        <v>325456741</v>
      </c>
      <c r="K2815">
        <v>207227875</v>
      </c>
      <c r="L2815">
        <v>141316282</v>
      </c>
      <c r="M2815">
        <v>145529725</v>
      </c>
      <c r="N2815">
        <v>135285737</v>
      </c>
      <c r="O2815">
        <v>108047801</v>
      </c>
      <c r="P2815">
        <v>122</v>
      </c>
      <c r="Q2815" t="s">
        <v>5968</v>
      </c>
    </row>
    <row r="2816" spans="1:17" x14ac:dyDescent="0.3">
      <c r="A2816" t="s">
        <v>75</v>
      </c>
      <c r="B2816" t="str">
        <f>"301196"</f>
        <v>301196</v>
      </c>
      <c r="C2816" t="s">
        <v>5969</v>
      </c>
      <c r="D2816" t="s">
        <v>3251</v>
      </c>
      <c r="E2816">
        <v>284499441</v>
      </c>
      <c r="P2816">
        <v>7</v>
      </c>
      <c r="Q2816" t="s">
        <v>5970</v>
      </c>
    </row>
    <row r="2817" spans="1:17" x14ac:dyDescent="0.3">
      <c r="A2817" t="s">
        <v>75</v>
      </c>
      <c r="B2817" t="str">
        <f>"002875"</f>
        <v>002875</v>
      </c>
      <c r="C2817" t="s">
        <v>5971</v>
      </c>
      <c r="D2817" t="s">
        <v>814</v>
      </c>
      <c r="E2817">
        <v>283554315</v>
      </c>
      <c r="F2817">
        <v>357062368</v>
      </c>
      <c r="G2817">
        <v>301486939</v>
      </c>
      <c r="H2817">
        <v>392251995</v>
      </c>
      <c r="I2817">
        <v>350509548</v>
      </c>
      <c r="J2817">
        <v>0</v>
      </c>
      <c r="K2817">
        <v>0</v>
      </c>
      <c r="P2817">
        <v>92</v>
      </c>
      <c r="Q2817" t="s">
        <v>5972</v>
      </c>
    </row>
    <row r="2818" spans="1:17" x14ac:dyDescent="0.3">
      <c r="A2818" t="s">
        <v>75</v>
      </c>
      <c r="B2818" t="str">
        <f>"003033"</f>
        <v>003033</v>
      </c>
      <c r="C2818" t="s">
        <v>5973</v>
      </c>
      <c r="D2818" t="s">
        <v>1457</v>
      </c>
      <c r="E2818">
        <v>283493899</v>
      </c>
      <c r="F2818">
        <v>226791955</v>
      </c>
      <c r="G2818">
        <v>140790565</v>
      </c>
      <c r="H2818">
        <v>144145800</v>
      </c>
      <c r="P2818">
        <v>67</v>
      </c>
      <c r="Q2818" t="s">
        <v>5974</v>
      </c>
    </row>
    <row r="2819" spans="1:17" x14ac:dyDescent="0.3">
      <c r="A2819" t="s">
        <v>17</v>
      </c>
      <c r="B2819" t="str">
        <f>"688779"</f>
        <v>688779</v>
      </c>
      <c r="C2819" t="s">
        <v>5975</v>
      </c>
      <c r="D2819" t="s">
        <v>834</v>
      </c>
      <c r="E2819">
        <v>282983459</v>
      </c>
      <c r="P2819">
        <v>53</v>
      </c>
      <c r="Q2819" t="s">
        <v>5976</v>
      </c>
    </row>
    <row r="2820" spans="1:17" x14ac:dyDescent="0.3">
      <c r="A2820" t="s">
        <v>75</v>
      </c>
      <c r="B2820" t="str">
        <f>"300317"</f>
        <v>300317</v>
      </c>
      <c r="C2820" t="s">
        <v>5977</v>
      </c>
      <c r="D2820" t="s">
        <v>3126</v>
      </c>
      <c r="E2820">
        <v>282686798</v>
      </c>
      <c r="F2820">
        <v>200878741</v>
      </c>
      <c r="G2820">
        <v>120830737</v>
      </c>
      <c r="H2820">
        <v>242973733</v>
      </c>
      <c r="I2820">
        <v>271449784</v>
      </c>
      <c r="J2820">
        <v>419670190</v>
      </c>
      <c r="K2820">
        <v>462124104</v>
      </c>
      <c r="L2820">
        <v>186531428</v>
      </c>
      <c r="M2820">
        <v>153765408</v>
      </c>
      <c r="N2820">
        <v>122570448</v>
      </c>
      <c r="O2820">
        <v>72766685</v>
      </c>
      <c r="P2820">
        <v>142</v>
      </c>
      <c r="Q2820" t="s">
        <v>5978</v>
      </c>
    </row>
    <row r="2821" spans="1:17" x14ac:dyDescent="0.3">
      <c r="A2821" t="s">
        <v>17</v>
      </c>
      <c r="B2821" t="str">
        <f>"600192"</f>
        <v>600192</v>
      </c>
      <c r="C2821" t="s">
        <v>5979</v>
      </c>
      <c r="D2821" t="s">
        <v>347</v>
      </c>
      <c r="E2821">
        <v>281883710</v>
      </c>
      <c r="F2821">
        <v>300425038</v>
      </c>
      <c r="G2821">
        <v>276324762</v>
      </c>
      <c r="H2821">
        <v>304880857</v>
      </c>
      <c r="I2821">
        <v>244615184</v>
      </c>
      <c r="J2821">
        <v>258646757</v>
      </c>
      <c r="K2821">
        <v>261244836</v>
      </c>
      <c r="L2821">
        <v>259389592</v>
      </c>
      <c r="M2821">
        <v>287304702</v>
      </c>
      <c r="N2821">
        <v>290893138</v>
      </c>
      <c r="O2821">
        <v>275811927</v>
      </c>
      <c r="P2821">
        <v>76</v>
      </c>
      <c r="Q2821" t="s">
        <v>5980</v>
      </c>
    </row>
    <row r="2822" spans="1:17" x14ac:dyDescent="0.3">
      <c r="A2822" t="s">
        <v>75</v>
      </c>
      <c r="B2822" t="str">
        <f>"300531"</f>
        <v>300531</v>
      </c>
      <c r="C2822" t="s">
        <v>5981</v>
      </c>
      <c r="D2822" t="s">
        <v>508</v>
      </c>
      <c r="E2822">
        <v>281474596</v>
      </c>
      <c r="F2822">
        <v>346493899</v>
      </c>
      <c r="G2822">
        <v>162798049</v>
      </c>
      <c r="H2822">
        <v>259978339</v>
      </c>
      <c r="I2822">
        <v>113947552</v>
      </c>
      <c r="J2822">
        <v>87780962</v>
      </c>
      <c r="K2822">
        <v>69270042</v>
      </c>
      <c r="P2822">
        <v>173</v>
      </c>
      <c r="Q2822" t="s">
        <v>5982</v>
      </c>
    </row>
    <row r="2823" spans="1:17" x14ac:dyDescent="0.3">
      <c r="A2823" t="s">
        <v>75</v>
      </c>
      <c r="B2823" t="str">
        <f>"300123"</f>
        <v>300123</v>
      </c>
      <c r="C2823" t="s">
        <v>5983</v>
      </c>
      <c r="D2823" t="s">
        <v>1572</v>
      </c>
      <c r="E2823">
        <v>281403982</v>
      </c>
      <c r="F2823">
        <v>243975518</v>
      </c>
      <c r="G2823">
        <v>370992877</v>
      </c>
      <c r="H2823">
        <v>264421856</v>
      </c>
      <c r="I2823">
        <v>245145286</v>
      </c>
      <c r="J2823">
        <v>104617714</v>
      </c>
      <c r="K2823">
        <v>37675590</v>
      </c>
      <c r="L2823">
        <v>44278583</v>
      </c>
      <c r="M2823">
        <v>101527773</v>
      </c>
      <c r="N2823">
        <v>130439035</v>
      </c>
      <c r="O2823">
        <v>105936616</v>
      </c>
      <c r="P2823">
        <v>232</v>
      </c>
      <c r="Q2823" t="s">
        <v>5984</v>
      </c>
    </row>
    <row r="2824" spans="1:17" x14ac:dyDescent="0.3">
      <c r="A2824" t="s">
        <v>75</v>
      </c>
      <c r="B2824" t="str">
        <f>"002031"</f>
        <v>002031</v>
      </c>
      <c r="C2824" t="s">
        <v>5985</v>
      </c>
      <c r="D2824" t="s">
        <v>1624</v>
      </c>
      <c r="E2824">
        <v>281172230</v>
      </c>
      <c r="F2824">
        <v>615549204</v>
      </c>
      <c r="G2824">
        <v>313247423</v>
      </c>
      <c r="H2824">
        <v>395042190</v>
      </c>
      <c r="I2824">
        <v>253104446</v>
      </c>
      <c r="J2824">
        <v>267086219</v>
      </c>
      <c r="K2824">
        <v>160242098</v>
      </c>
      <c r="L2824">
        <v>88619749</v>
      </c>
      <c r="M2824">
        <v>130692713</v>
      </c>
      <c r="N2824">
        <v>126619047</v>
      </c>
      <c r="O2824">
        <v>69290133</v>
      </c>
      <c r="P2824">
        <v>137</v>
      </c>
      <c r="Q2824" t="s">
        <v>5986</v>
      </c>
    </row>
    <row r="2825" spans="1:17" x14ac:dyDescent="0.3">
      <c r="A2825" t="s">
        <v>17</v>
      </c>
      <c r="B2825" t="str">
        <f>"688799"</f>
        <v>688799</v>
      </c>
      <c r="C2825" t="s">
        <v>5987</v>
      </c>
      <c r="D2825" t="s">
        <v>543</v>
      </c>
      <c r="E2825">
        <v>281023994</v>
      </c>
      <c r="F2825">
        <v>242062675</v>
      </c>
      <c r="G2825">
        <v>176987652</v>
      </c>
      <c r="P2825">
        <v>35</v>
      </c>
      <c r="Q2825" t="s">
        <v>5988</v>
      </c>
    </row>
    <row r="2826" spans="1:17" x14ac:dyDescent="0.3">
      <c r="A2826" t="s">
        <v>75</v>
      </c>
      <c r="B2826" t="str">
        <f>"002795"</f>
        <v>002795</v>
      </c>
      <c r="C2826" t="s">
        <v>5989</v>
      </c>
      <c r="D2826" t="s">
        <v>153</v>
      </c>
      <c r="E2826">
        <v>280781177</v>
      </c>
      <c r="F2826">
        <v>189267227</v>
      </c>
      <c r="G2826">
        <v>168749173</v>
      </c>
      <c r="H2826">
        <v>174477518</v>
      </c>
      <c r="I2826">
        <v>150757557</v>
      </c>
      <c r="J2826">
        <v>115025360</v>
      </c>
      <c r="K2826">
        <v>129197587</v>
      </c>
      <c r="L2826">
        <v>127412933</v>
      </c>
      <c r="P2826">
        <v>73</v>
      </c>
      <c r="Q2826" t="s">
        <v>5990</v>
      </c>
    </row>
    <row r="2827" spans="1:17" x14ac:dyDescent="0.3">
      <c r="A2827" t="s">
        <v>17</v>
      </c>
      <c r="B2827" t="str">
        <f>"603167"</f>
        <v>603167</v>
      </c>
      <c r="C2827" t="s">
        <v>5991</v>
      </c>
      <c r="D2827" t="s">
        <v>62</v>
      </c>
      <c r="E2827">
        <v>280396234</v>
      </c>
      <c r="F2827">
        <v>317901024</v>
      </c>
      <c r="G2827">
        <v>235324664</v>
      </c>
      <c r="H2827">
        <v>390587636</v>
      </c>
      <c r="I2827">
        <v>336731089</v>
      </c>
      <c r="J2827">
        <v>357773669</v>
      </c>
      <c r="K2827">
        <v>234397758</v>
      </c>
      <c r="L2827">
        <v>280372002</v>
      </c>
      <c r="M2827">
        <v>257109719</v>
      </c>
      <c r="N2827">
        <v>243173782</v>
      </c>
      <c r="O2827">
        <v>217504770</v>
      </c>
      <c r="P2827">
        <v>239</v>
      </c>
      <c r="Q2827" t="s">
        <v>5992</v>
      </c>
    </row>
    <row r="2828" spans="1:17" x14ac:dyDescent="0.3">
      <c r="A2828" t="s">
        <v>75</v>
      </c>
      <c r="B2828" t="str">
        <f>"300918"</f>
        <v>300918</v>
      </c>
      <c r="C2828" t="s">
        <v>5993</v>
      </c>
      <c r="D2828" t="s">
        <v>2832</v>
      </c>
      <c r="E2828">
        <v>280257827</v>
      </c>
      <c r="F2828">
        <v>284177597</v>
      </c>
      <c r="G2828">
        <v>276958087</v>
      </c>
      <c r="P2828">
        <v>38</v>
      </c>
      <c r="Q2828" t="s">
        <v>5994</v>
      </c>
    </row>
    <row r="2829" spans="1:17" x14ac:dyDescent="0.3">
      <c r="A2829" t="s">
        <v>17</v>
      </c>
      <c r="B2829" t="str">
        <f>"688526"</f>
        <v>688526</v>
      </c>
      <c r="C2829" t="s">
        <v>5995</v>
      </c>
      <c r="D2829" t="s">
        <v>3609</v>
      </c>
      <c r="E2829">
        <v>280089466</v>
      </c>
      <c r="F2829">
        <v>406470039</v>
      </c>
      <c r="G2829">
        <v>171127704</v>
      </c>
      <c r="P2829">
        <v>147</v>
      </c>
      <c r="Q2829" t="s">
        <v>5996</v>
      </c>
    </row>
    <row r="2830" spans="1:17" x14ac:dyDescent="0.3">
      <c r="A2830" t="s">
        <v>75</v>
      </c>
      <c r="B2830" t="str">
        <f>"300407"</f>
        <v>300407</v>
      </c>
      <c r="C2830" t="s">
        <v>5997</v>
      </c>
      <c r="D2830" t="s">
        <v>682</v>
      </c>
      <c r="E2830">
        <v>279465646</v>
      </c>
      <c r="F2830">
        <v>379547358</v>
      </c>
      <c r="G2830">
        <v>320733655</v>
      </c>
      <c r="H2830">
        <v>394012690</v>
      </c>
      <c r="I2830">
        <v>292046370</v>
      </c>
      <c r="J2830">
        <v>287930076</v>
      </c>
      <c r="K2830">
        <v>106290528</v>
      </c>
      <c r="L2830">
        <v>96398249</v>
      </c>
      <c r="M2830">
        <v>67726048</v>
      </c>
      <c r="P2830">
        <v>132</v>
      </c>
      <c r="Q2830" t="s">
        <v>5998</v>
      </c>
    </row>
    <row r="2831" spans="1:17" x14ac:dyDescent="0.3">
      <c r="A2831" t="s">
        <v>17</v>
      </c>
      <c r="B2831" t="str">
        <f>"603706"</f>
        <v>603706</v>
      </c>
      <c r="C2831" t="s">
        <v>5999</v>
      </c>
      <c r="D2831" t="s">
        <v>147</v>
      </c>
      <c r="E2831">
        <v>279285666</v>
      </c>
      <c r="F2831">
        <v>253191129</v>
      </c>
      <c r="G2831">
        <v>146140430</v>
      </c>
      <c r="H2831">
        <v>113588954</v>
      </c>
      <c r="I2831">
        <v>83117555</v>
      </c>
      <c r="J2831">
        <v>0</v>
      </c>
      <c r="P2831">
        <v>91</v>
      </c>
      <c r="Q2831" t="s">
        <v>6000</v>
      </c>
    </row>
    <row r="2832" spans="1:17" x14ac:dyDescent="0.3">
      <c r="A2832" t="s">
        <v>17</v>
      </c>
      <c r="B2832" t="str">
        <f>"600213"</f>
        <v>600213</v>
      </c>
      <c r="C2832" t="s">
        <v>6001</v>
      </c>
      <c r="D2832" t="s">
        <v>972</v>
      </c>
      <c r="E2832">
        <v>278900905</v>
      </c>
      <c r="F2832">
        <v>485033367</v>
      </c>
      <c r="G2832">
        <v>463919954</v>
      </c>
      <c r="H2832">
        <v>418032628</v>
      </c>
      <c r="I2832">
        <v>202938162</v>
      </c>
      <c r="J2832">
        <v>593681355</v>
      </c>
      <c r="K2832">
        <v>167939556</v>
      </c>
      <c r="L2832">
        <v>205622799</v>
      </c>
      <c r="M2832">
        <v>199649077</v>
      </c>
      <c r="N2832">
        <v>185261941</v>
      </c>
      <c r="O2832">
        <v>137451668</v>
      </c>
      <c r="P2832">
        <v>109</v>
      </c>
      <c r="Q2832" t="s">
        <v>6002</v>
      </c>
    </row>
    <row r="2833" spans="1:17" x14ac:dyDescent="0.3">
      <c r="A2833" t="s">
        <v>75</v>
      </c>
      <c r="B2833" t="str">
        <f>"300512"</f>
        <v>300512</v>
      </c>
      <c r="C2833" t="s">
        <v>6003</v>
      </c>
      <c r="D2833" t="s">
        <v>3158</v>
      </c>
      <c r="E2833">
        <v>278760066</v>
      </c>
      <c r="F2833">
        <v>193922587</v>
      </c>
      <c r="G2833">
        <v>127112726</v>
      </c>
      <c r="H2833">
        <v>171234740</v>
      </c>
      <c r="I2833">
        <v>159096767</v>
      </c>
      <c r="J2833">
        <v>181491074</v>
      </c>
      <c r="K2833">
        <v>148564530</v>
      </c>
      <c r="L2833">
        <v>182630860</v>
      </c>
      <c r="P2833">
        <v>161</v>
      </c>
      <c r="Q2833" t="s">
        <v>6004</v>
      </c>
    </row>
    <row r="2834" spans="1:17" x14ac:dyDescent="0.3">
      <c r="A2834" t="s">
        <v>17</v>
      </c>
      <c r="B2834" t="str">
        <f>"600061"</f>
        <v>600061</v>
      </c>
      <c r="C2834" t="s">
        <v>6005</v>
      </c>
      <c r="D2834" t="s">
        <v>370</v>
      </c>
      <c r="E2834">
        <v>278619599</v>
      </c>
      <c r="F2834">
        <v>172818588</v>
      </c>
      <c r="G2834">
        <v>115443146</v>
      </c>
      <c r="H2834">
        <v>584141406</v>
      </c>
      <c r="I2834">
        <v>350721850</v>
      </c>
      <c r="J2834">
        <v>250781769</v>
      </c>
      <c r="K2834">
        <v>192335562</v>
      </c>
      <c r="L2834">
        <v>717170230</v>
      </c>
      <c r="M2834">
        <v>990392773</v>
      </c>
      <c r="N2834">
        <v>1107103648</v>
      </c>
      <c r="O2834">
        <v>754828127</v>
      </c>
      <c r="P2834">
        <v>1304</v>
      </c>
      <c r="Q2834" t="s">
        <v>6006</v>
      </c>
    </row>
    <row r="2835" spans="1:17" x14ac:dyDescent="0.3">
      <c r="A2835" t="s">
        <v>17</v>
      </c>
      <c r="B2835" t="str">
        <f>"688679"</f>
        <v>688679</v>
      </c>
      <c r="C2835" t="s">
        <v>6007</v>
      </c>
      <c r="D2835" t="s">
        <v>1187</v>
      </c>
      <c r="E2835">
        <v>278258105</v>
      </c>
      <c r="F2835">
        <v>193480249</v>
      </c>
      <c r="G2835">
        <v>0</v>
      </c>
      <c r="H2835">
        <v>0</v>
      </c>
      <c r="P2835">
        <v>31</v>
      </c>
      <c r="Q2835" t="s">
        <v>6008</v>
      </c>
    </row>
    <row r="2836" spans="1:17" x14ac:dyDescent="0.3">
      <c r="A2836" t="s">
        <v>17</v>
      </c>
      <c r="B2836" t="str">
        <f>"605122"</f>
        <v>605122</v>
      </c>
      <c r="C2836" t="s">
        <v>6009</v>
      </c>
      <c r="D2836" t="s">
        <v>2242</v>
      </c>
      <c r="E2836">
        <v>278104171</v>
      </c>
      <c r="F2836">
        <v>171939607</v>
      </c>
      <c r="G2836">
        <v>192169315</v>
      </c>
      <c r="P2836">
        <v>36</v>
      </c>
      <c r="Q2836" t="s">
        <v>6010</v>
      </c>
    </row>
    <row r="2837" spans="1:17" x14ac:dyDescent="0.3">
      <c r="A2837" t="s">
        <v>75</v>
      </c>
      <c r="B2837" t="str">
        <f>"002315"</f>
        <v>002315</v>
      </c>
      <c r="C2837" t="s">
        <v>6011</v>
      </c>
      <c r="D2837" t="s">
        <v>1236</v>
      </c>
      <c r="E2837">
        <v>278066841</v>
      </c>
      <c r="F2837">
        <v>305258250</v>
      </c>
      <c r="G2837">
        <v>215715860</v>
      </c>
      <c r="H2837">
        <v>182694427</v>
      </c>
      <c r="I2837">
        <v>176050446</v>
      </c>
      <c r="J2837">
        <v>175263017</v>
      </c>
      <c r="K2837">
        <v>118744618</v>
      </c>
      <c r="L2837">
        <v>87097418</v>
      </c>
      <c r="M2837">
        <v>99776558</v>
      </c>
      <c r="N2837">
        <v>97618618</v>
      </c>
      <c r="O2837">
        <v>86631973</v>
      </c>
      <c r="P2837">
        <v>221</v>
      </c>
      <c r="Q2837" t="s">
        <v>6012</v>
      </c>
    </row>
    <row r="2838" spans="1:17" x14ac:dyDescent="0.3">
      <c r="A2838" t="s">
        <v>75</v>
      </c>
      <c r="B2838" t="str">
        <f>"002676"</f>
        <v>002676</v>
      </c>
      <c r="C2838" t="s">
        <v>6013</v>
      </c>
      <c r="D2838" t="s">
        <v>1063</v>
      </c>
      <c r="E2838">
        <v>277685076</v>
      </c>
      <c r="F2838">
        <v>295051446</v>
      </c>
      <c r="G2838">
        <v>217196958</v>
      </c>
      <c r="H2838">
        <v>217909433</v>
      </c>
      <c r="I2838">
        <v>222074105</v>
      </c>
      <c r="J2838">
        <v>155871501</v>
      </c>
      <c r="K2838">
        <v>163953869</v>
      </c>
      <c r="L2838">
        <v>244806883</v>
      </c>
      <c r="M2838">
        <v>230287748</v>
      </c>
      <c r="N2838">
        <v>227711706</v>
      </c>
      <c r="O2838">
        <v>206279952</v>
      </c>
      <c r="P2838">
        <v>87</v>
      </c>
      <c r="Q2838" t="s">
        <v>6014</v>
      </c>
    </row>
    <row r="2839" spans="1:17" x14ac:dyDescent="0.3">
      <c r="A2839" t="s">
        <v>75</v>
      </c>
      <c r="B2839" t="str">
        <f>"002112"</f>
        <v>002112</v>
      </c>
      <c r="C2839" t="s">
        <v>6015</v>
      </c>
      <c r="D2839" t="s">
        <v>347</v>
      </c>
      <c r="E2839">
        <v>277334657</v>
      </c>
      <c r="F2839">
        <v>224014487</v>
      </c>
      <c r="G2839">
        <v>89904830</v>
      </c>
      <c r="H2839">
        <v>116900101</v>
      </c>
      <c r="I2839">
        <v>131707506</v>
      </c>
      <c r="J2839">
        <v>101728793</v>
      </c>
      <c r="K2839">
        <v>182694816</v>
      </c>
      <c r="L2839">
        <v>200858257</v>
      </c>
      <c r="M2839">
        <v>188387394</v>
      </c>
      <c r="N2839">
        <v>209922163</v>
      </c>
      <c r="O2839">
        <v>227850101</v>
      </c>
      <c r="P2839">
        <v>76</v>
      </c>
      <c r="Q2839" t="s">
        <v>6016</v>
      </c>
    </row>
    <row r="2840" spans="1:17" x14ac:dyDescent="0.3">
      <c r="A2840" t="s">
        <v>75</v>
      </c>
      <c r="B2840" t="str">
        <f>"002107"</f>
        <v>002107</v>
      </c>
      <c r="C2840" t="s">
        <v>6017</v>
      </c>
      <c r="D2840" t="s">
        <v>321</v>
      </c>
      <c r="E2840">
        <v>277053245</v>
      </c>
      <c r="F2840">
        <v>293195595</v>
      </c>
      <c r="G2840">
        <v>228769803</v>
      </c>
      <c r="H2840">
        <v>223988216</v>
      </c>
      <c r="I2840">
        <v>218093703</v>
      </c>
      <c r="J2840">
        <v>172278372</v>
      </c>
      <c r="K2840">
        <v>150469652</v>
      </c>
      <c r="L2840">
        <v>100883953</v>
      </c>
      <c r="M2840">
        <v>82439665</v>
      </c>
      <c r="N2840">
        <v>73504271</v>
      </c>
      <c r="O2840">
        <v>52021173</v>
      </c>
      <c r="P2840">
        <v>350</v>
      </c>
      <c r="Q2840" t="s">
        <v>6018</v>
      </c>
    </row>
    <row r="2841" spans="1:17" x14ac:dyDescent="0.3">
      <c r="A2841" t="s">
        <v>75</v>
      </c>
      <c r="B2841" t="str">
        <f>"002452"</f>
        <v>002452</v>
      </c>
      <c r="C2841" t="s">
        <v>6019</v>
      </c>
      <c r="D2841" t="s">
        <v>347</v>
      </c>
      <c r="E2841">
        <v>276296024</v>
      </c>
      <c r="F2841">
        <v>325355685</v>
      </c>
      <c r="G2841">
        <v>249238694</v>
      </c>
      <c r="H2841">
        <v>204577638</v>
      </c>
      <c r="I2841">
        <v>220783454</v>
      </c>
      <c r="J2841">
        <v>252509060</v>
      </c>
      <c r="K2841">
        <v>147880664</v>
      </c>
      <c r="L2841">
        <v>107028605</v>
      </c>
      <c r="M2841">
        <v>86658856</v>
      </c>
      <c r="N2841">
        <v>95628346</v>
      </c>
      <c r="O2841">
        <v>66494304</v>
      </c>
      <c r="P2841">
        <v>173</v>
      </c>
      <c r="Q2841" t="s">
        <v>6020</v>
      </c>
    </row>
    <row r="2842" spans="1:17" x14ac:dyDescent="0.3">
      <c r="A2842" t="s">
        <v>75</v>
      </c>
      <c r="B2842" t="str">
        <f>"002516"</f>
        <v>002516</v>
      </c>
      <c r="C2842" t="s">
        <v>6021</v>
      </c>
      <c r="D2842" t="s">
        <v>194</v>
      </c>
      <c r="E2842">
        <v>276180916</v>
      </c>
      <c r="F2842">
        <v>254701615</v>
      </c>
      <c r="G2842">
        <v>292665443</v>
      </c>
      <c r="H2842">
        <v>272817828</v>
      </c>
      <c r="I2842">
        <v>324618163</v>
      </c>
      <c r="J2842">
        <v>432356660</v>
      </c>
      <c r="K2842">
        <v>362290189</v>
      </c>
      <c r="L2842">
        <v>351984957</v>
      </c>
      <c r="M2842">
        <v>293757328</v>
      </c>
      <c r="N2842">
        <v>197326208</v>
      </c>
      <c r="O2842">
        <v>212755536</v>
      </c>
      <c r="P2842">
        <v>160</v>
      </c>
      <c r="Q2842" t="s">
        <v>6022</v>
      </c>
    </row>
    <row r="2843" spans="1:17" x14ac:dyDescent="0.3">
      <c r="A2843" t="s">
        <v>17</v>
      </c>
      <c r="B2843" t="str">
        <f>"688200"</f>
        <v>688200</v>
      </c>
      <c r="C2843" t="s">
        <v>6023</v>
      </c>
      <c r="D2843" t="s">
        <v>1859</v>
      </c>
      <c r="E2843">
        <v>275195309</v>
      </c>
      <c r="F2843">
        <v>150870792</v>
      </c>
      <c r="G2843">
        <v>79719677</v>
      </c>
      <c r="H2843">
        <v>60080983</v>
      </c>
      <c r="P2843">
        <v>291</v>
      </c>
      <c r="Q2843" t="s">
        <v>6024</v>
      </c>
    </row>
    <row r="2844" spans="1:17" x14ac:dyDescent="0.3">
      <c r="A2844" t="s">
        <v>17</v>
      </c>
      <c r="B2844" t="str">
        <f>"605199"</f>
        <v>605199</v>
      </c>
      <c r="C2844" t="s">
        <v>6025</v>
      </c>
      <c r="D2844" t="s">
        <v>321</v>
      </c>
      <c r="E2844">
        <v>275192031</v>
      </c>
      <c r="F2844">
        <v>255351355</v>
      </c>
      <c r="G2844">
        <v>235226488</v>
      </c>
      <c r="H2844">
        <v>239320733</v>
      </c>
      <c r="P2844">
        <v>136</v>
      </c>
      <c r="Q2844" t="s">
        <v>6026</v>
      </c>
    </row>
    <row r="2845" spans="1:17" x14ac:dyDescent="0.3">
      <c r="A2845" t="s">
        <v>75</v>
      </c>
      <c r="B2845" t="str">
        <f>"300848"</f>
        <v>300848</v>
      </c>
      <c r="C2845" t="s">
        <v>6027</v>
      </c>
      <c r="D2845" t="s">
        <v>134</v>
      </c>
      <c r="E2845">
        <v>274845236</v>
      </c>
      <c r="F2845">
        <v>182704381</v>
      </c>
      <c r="G2845">
        <v>67575300</v>
      </c>
      <c r="H2845">
        <v>85507338</v>
      </c>
      <c r="P2845">
        <v>125</v>
      </c>
      <c r="Q2845" t="s">
        <v>6028</v>
      </c>
    </row>
    <row r="2846" spans="1:17" x14ac:dyDescent="0.3">
      <c r="A2846" t="s">
        <v>17</v>
      </c>
      <c r="B2846" t="str">
        <f>"601858"</f>
        <v>601858</v>
      </c>
      <c r="C2846" t="s">
        <v>6029</v>
      </c>
      <c r="D2846" t="s">
        <v>1703</v>
      </c>
      <c r="E2846">
        <v>274714616</v>
      </c>
      <c r="F2846">
        <v>265345118</v>
      </c>
      <c r="G2846">
        <v>162468404</v>
      </c>
      <c r="H2846">
        <v>239558483</v>
      </c>
      <c r="I2846">
        <v>244079020</v>
      </c>
      <c r="J2846">
        <v>205495381</v>
      </c>
      <c r="K2846">
        <v>179579413</v>
      </c>
      <c r="P2846">
        <v>178</v>
      </c>
      <c r="Q2846" t="s">
        <v>6030</v>
      </c>
    </row>
    <row r="2847" spans="1:17" x14ac:dyDescent="0.3">
      <c r="A2847" t="s">
        <v>17</v>
      </c>
      <c r="B2847" t="str">
        <f>"688259"</f>
        <v>688259</v>
      </c>
      <c r="C2847" t="s">
        <v>6031</v>
      </c>
      <c r="D2847" t="s">
        <v>883</v>
      </c>
      <c r="E2847">
        <v>274685814</v>
      </c>
      <c r="P2847">
        <v>17</v>
      </c>
      <c r="Q2847" t="s">
        <v>6032</v>
      </c>
    </row>
    <row r="2848" spans="1:17" x14ac:dyDescent="0.3">
      <c r="A2848" t="s">
        <v>75</v>
      </c>
      <c r="B2848" t="str">
        <f>"300382"</f>
        <v>300382</v>
      </c>
      <c r="C2848" t="s">
        <v>6033</v>
      </c>
      <c r="D2848" t="s">
        <v>1624</v>
      </c>
      <c r="E2848">
        <v>273998079</v>
      </c>
      <c r="F2848">
        <v>253161384</v>
      </c>
      <c r="G2848">
        <v>128619091</v>
      </c>
      <c r="H2848">
        <v>186133918</v>
      </c>
      <c r="I2848">
        <v>191412831</v>
      </c>
      <c r="J2848">
        <v>49409668</v>
      </c>
      <c r="K2848">
        <v>61231374</v>
      </c>
      <c r="L2848">
        <v>36747867</v>
      </c>
      <c r="M2848">
        <v>99220426</v>
      </c>
      <c r="N2848">
        <v>97149978</v>
      </c>
      <c r="P2848">
        <v>182</v>
      </c>
      <c r="Q2848" t="s">
        <v>6034</v>
      </c>
    </row>
    <row r="2849" spans="1:17" x14ac:dyDescent="0.3">
      <c r="A2849" t="s">
        <v>17</v>
      </c>
      <c r="B2849" t="str">
        <f>"688225"</f>
        <v>688225</v>
      </c>
      <c r="C2849" t="s">
        <v>6035</v>
      </c>
      <c r="E2849">
        <v>273889468</v>
      </c>
      <c r="P2849">
        <v>9</v>
      </c>
      <c r="Q2849" t="s">
        <v>6036</v>
      </c>
    </row>
    <row r="2850" spans="1:17" x14ac:dyDescent="0.3">
      <c r="A2850" t="s">
        <v>75</v>
      </c>
      <c r="B2850" t="str">
        <f>"002708"</f>
        <v>002708</v>
      </c>
      <c r="C2850" t="s">
        <v>6037</v>
      </c>
      <c r="D2850" t="s">
        <v>172</v>
      </c>
      <c r="E2850">
        <v>273813668</v>
      </c>
      <c r="F2850">
        <v>178175675</v>
      </c>
      <c r="G2850">
        <v>175666822</v>
      </c>
      <c r="H2850">
        <v>178982781</v>
      </c>
      <c r="I2850">
        <v>197644768</v>
      </c>
      <c r="J2850">
        <v>240494667</v>
      </c>
      <c r="K2850">
        <v>150330971</v>
      </c>
      <c r="L2850">
        <v>156704543</v>
      </c>
      <c r="M2850">
        <v>158591364</v>
      </c>
      <c r="N2850">
        <v>150900684</v>
      </c>
      <c r="P2850">
        <v>91</v>
      </c>
      <c r="Q2850" t="s">
        <v>6038</v>
      </c>
    </row>
    <row r="2851" spans="1:17" x14ac:dyDescent="0.3">
      <c r="A2851" t="s">
        <v>17</v>
      </c>
      <c r="B2851" t="str">
        <f>"600865"</f>
        <v>600865</v>
      </c>
      <c r="C2851" t="s">
        <v>6039</v>
      </c>
      <c r="D2851" t="s">
        <v>582</v>
      </c>
      <c r="E2851">
        <v>273717795</v>
      </c>
      <c r="F2851">
        <v>303692293</v>
      </c>
      <c r="G2851">
        <v>177662775</v>
      </c>
      <c r="H2851">
        <v>244137185</v>
      </c>
      <c r="I2851">
        <v>234048131</v>
      </c>
      <c r="J2851">
        <v>298609564</v>
      </c>
      <c r="K2851">
        <v>298600509</v>
      </c>
      <c r="L2851">
        <v>308389370</v>
      </c>
      <c r="M2851">
        <v>323251486</v>
      </c>
      <c r="N2851">
        <v>572467297</v>
      </c>
      <c r="O2851">
        <v>377455348</v>
      </c>
      <c r="P2851">
        <v>123</v>
      </c>
      <c r="Q2851" t="s">
        <v>6040</v>
      </c>
    </row>
    <row r="2852" spans="1:17" x14ac:dyDescent="0.3">
      <c r="A2852" t="s">
        <v>17</v>
      </c>
      <c r="B2852" t="str">
        <f>"603798"</f>
        <v>603798</v>
      </c>
      <c r="C2852" t="s">
        <v>6041</v>
      </c>
      <c r="D2852" t="s">
        <v>422</v>
      </c>
      <c r="E2852">
        <v>273552187</v>
      </c>
      <c r="F2852">
        <v>310586523</v>
      </c>
      <c r="G2852">
        <v>191006221</v>
      </c>
      <c r="H2852">
        <v>301627390</v>
      </c>
      <c r="I2852">
        <v>338607876</v>
      </c>
      <c r="J2852">
        <v>326723418</v>
      </c>
      <c r="K2852">
        <v>210498904</v>
      </c>
      <c r="L2852">
        <v>198353458</v>
      </c>
      <c r="P2852">
        <v>141</v>
      </c>
      <c r="Q2852" t="s">
        <v>6042</v>
      </c>
    </row>
    <row r="2853" spans="1:17" x14ac:dyDescent="0.3">
      <c r="A2853" t="s">
        <v>75</v>
      </c>
      <c r="B2853" t="str">
        <f>"002849"</f>
        <v>002849</v>
      </c>
      <c r="C2853" t="s">
        <v>6043</v>
      </c>
      <c r="D2853" t="s">
        <v>2549</v>
      </c>
      <c r="E2853">
        <v>273524487</v>
      </c>
      <c r="F2853">
        <v>331143935</v>
      </c>
      <c r="G2853">
        <v>248020708</v>
      </c>
      <c r="H2853">
        <v>144944030</v>
      </c>
      <c r="I2853">
        <v>99752032</v>
      </c>
      <c r="J2853">
        <v>52882124</v>
      </c>
      <c r="K2853">
        <v>80648635</v>
      </c>
      <c r="P2853">
        <v>177</v>
      </c>
      <c r="Q2853" t="s">
        <v>6044</v>
      </c>
    </row>
    <row r="2854" spans="1:17" x14ac:dyDescent="0.3">
      <c r="A2854" t="s">
        <v>75</v>
      </c>
      <c r="B2854" t="str">
        <f>"300847"</f>
        <v>300847</v>
      </c>
      <c r="C2854" t="s">
        <v>6045</v>
      </c>
      <c r="D2854" t="s">
        <v>292</v>
      </c>
      <c r="E2854">
        <v>273364466</v>
      </c>
      <c r="F2854">
        <v>238992890</v>
      </c>
      <c r="G2854">
        <v>185810498</v>
      </c>
      <c r="H2854">
        <v>177451206</v>
      </c>
      <c r="P2854">
        <v>53</v>
      </c>
      <c r="Q2854" t="s">
        <v>6046</v>
      </c>
    </row>
    <row r="2855" spans="1:17" x14ac:dyDescent="0.3">
      <c r="A2855" t="s">
        <v>17</v>
      </c>
      <c r="B2855" t="str">
        <f>"600877"</f>
        <v>600877</v>
      </c>
      <c r="C2855" t="s">
        <v>6047</v>
      </c>
      <c r="D2855" t="s">
        <v>131</v>
      </c>
      <c r="E2855">
        <v>273324279</v>
      </c>
      <c r="F2855">
        <v>70156552</v>
      </c>
      <c r="G2855">
        <v>27339490</v>
      </c>
      <c r="H2855">
        <v>36712948</v>
      </c>
      <c r="I2855">
        <v>59432354</v>
      </c>
      <c r="J2855">
        <v>103838187</v>
      </c>
      <c r="K2855">
        <v>128921290</v>
      </c>
      <c r="L2855">
        <v>250047610</v>
      </c>
      <c r="M2855">
        <v>352177031</v>
      </c>
      <c r="N2855">
        <v>351682937</v>
      </c>
      <c r="O2855">
        <v>389692670</v>
      </c>
      <c r="P2855">
        <v>119</v>
      </c>
      <c r="Q2855" t="s">
        <v>6048</v>
      </c>
    </row>
    <row r="2856" spans="1:17" x14ac:dyDescent="0.3">
      <c r="A2856" t="s">
        <v>17</v>
      </c>
      <c r="B2856" t="str">
        <f>"603042"</f>
        <v>603042</v>
      </c>
      <c r="C2856" t="s">
        <v>6049</v>
      </c>
      <c r="D2856" t="s">
        <v>549</v>
      </c>
      <c r="E2856">
        <v>272419919</v>
      </c>
      <c r="F2856">
        <v>239009600</v>
      </c>
      <c r="G2856">
        <v>188021044</v>
      </c>
      <c r="H2856">
        <v>357698274</v>
      </c>
      <c r="I2856">
        <v>221704099</v>
      </c>
      <c r="J2856">
        <v>226919491</v>
      </c>
      <c r="K2856">
        <v>0</v>
      </c>
      <c r="P2856">
        <v>122</v>
      </c>
      <c r="Q2856" t="s">
        <v>6050</v>
      </c>
    </row>
    <row r="2857" spans="1:17" x14ac:dyDescent="0.3">
      <c r="A2857" t="s">
        <v>75</v>
      </c>
      <c r="B2857" t="str">
        <f>"300160"</f>
        <v>300160</v>
      </c>
      <c r="C2857" t="s">
        <v>6051</v>
      </c>
      <c r="D2857" t="s">
        <v>1063</v>
      </c>
      <c r="E2857">
        <v>272194339</v>
      </c>
      <c r="F2857">
        <v>212188289</v>
      </c>
      <c r="G2857">
        <v>160192257</v>
      </c>
      <c r="H2857">
        <v>337420014</v>
      </c>
      <c r="I2857">
        <v>245395194</v>
      </c>
      <c r="J2857">
        <v>209304690</v>
      </c>
      <c r="K2857">
        <v>201573910</v>
      </c>
      <c r="L2857">
        <v>147955686</v>
      </c>
      <c r="M2857">
        <v>160708890</v>
      </c>
      <c r="N2857">
        <v>103277997</v>
      </c>
      <c r="O2857">
        <v>155739356</v>
      </c>
      <c r="P2857">
        <v>150</v>
      </c>
      <c r="Q2857" t="s">
        <v>6052</v>
      </c>
    </row>
    <row r="2858" spans="1:17" x14ac:dyDescent="0.3">
      <c r="A2858" t="s">
        <v>17</v>
      </c>
      <c r="B2858" t="str">
        <f>"603683"</f>
        <v>603683</v>
      </c>
      <c r="C2858" t="s">
        <v>6053</v>
      </c>
      <c r="D2858" t="s">
        <v>2753</v>
      </c>
      <c r="E2858">
        <v>271513183</v>
      </c>
      <c r="F2858">
        <v>258065322</v>
      </c>
      <c r="G2858">
        <v>160831071</v>
      </c>
      <c r="H2858">
        <v>190993343</v>
      </c>
      <c r="I2858">
        <v>177279988</v>
      </c>
      <c r="J2858">
        <v>157576258</v>
      </c>
      <c r="P2858">
        <v>58</v>
      </c>
      <c r="Q2858" t="s">
        <v>6054</v>
      </c>
    </row>
    <row r="2859" spans="1:17" x14ac:dyDescent="0.3">
      <c r="A2859" t="s">
        <v>75</v>
      </c>
      <c r="B2859" t="str">
        <f>"002606"</f>
        <v>002606</v>
      </c>
      <c r="C2859" t="s">
        <v>6055</v>
      </c>
      <c r="D2859" t="s">
        <v>562</v>
      </c>
      <c r="E2859">
        <v>271089898</v>
      </c>
      <c r="F2859">
        <v>323116102</v>
      </c>
      <c r="G2859">
        <v>225424538</v>
      </c>
      <c r="H2859">
        <v>110572180</v>
      </c>
      <c r="I2859">
        <v>246409771</v>
      </c>
      <c r="J2859">
        <v>212586085</v>
      </c>
      <c r="K2859">
        <v>148703521</v>
      </c>
      <c r="L2859">
        <v>182679506</v>
      </c>
      <c r="M2859">
        <v>178625870</v>
      </c>
      <c r="N2859">
        <v>137910302</v>
      </c>
      <c r="O2859">
        <v>188846272</v>
      </c>
      <c r="P2859">
        <v>160</v>
      </c>
      <c r="Q2859" t="s">
        <v>6056</v>
      </c>
    </row>
    <row r="2860" spans="1:17" x14ac:dyDescent="0.3">
      <c r="A2860" t="s">
        <v>75</v>
      </c>
      <c r="B2860" t="str">
        <f>"001211"</f>
        <v>001211</v>
      </c>
      <c r="C2860" t="s">
        <v>6057</v>
      </c>
      <c r="D2860" t="s">
        <v>1192</v>
      </c>
      <c r="E2860">
        <v>270959262</v>
      </c>
      <c r="F2860">
        <v>255175259</v>
      </c>
      <c r="G2860">
        <v>225846350</v>
      </c>
      <c r="P2860">
        <v>13</v>
      </c>
      <c r="Q2860" t="s">
        <v>6058</v>
      </c>
    </row>
    <row r="2861" spans="1:17" x14ac:dyDescent="0.3">
      <c r="A2861" t="s">
        <v>75</v>
      </c>
      <c r="B2861" t="str">
        <f>"300481"</f>
        <v>300481</v>
      </c>
      <c r="C2861" t="s">
        <v>6059</v>
      </c>
      <c r="D2861" t="s">
        <v>1853</v>
      </c>
      <c r="E2861">
        <v>270742745</v>
      </c>
      <c r="F2861">
        <v>186678240</v>
      </c>
      <c r="G2861">
        <v>120545124</v>
      </c>
      <c r="H2861">
        <v>126212518</v>
      </c>
      <c r="I2861">
        <v>109120403</v>
      </c>
      <c r="J2861">
        <v>72258010</v>
      </c>
      <c r="K2861">
        <v>67881875</v>
      </c>
      <c r="L2861">
        <v>71841380</v>
      </c>
      <c r="M2861">
        <v>73149335</v>
      </c>
      <c r="P2861">
        <v>352</v>
      </c>
      <c r="Q2861" t="s">
        <v>6060</v>
      </c>
    </row>
    <row r="2862" spans="1:17" x14ac:dyDescent="0.3">
      <c r="A2862" t="s">
        <v>75</v>
      </c>
      <c r="B2862" t="str">
        <f>"002687"</f>
        <v>002687</v>
      </c>
      <c r="C2862" t="s">
        <v>6061</v>
      </c>
      <c r="D2862" t="s">
        <v>814</v>
      </c>
      <c r="E2862">
        <v>270583809</v>
      </c>
      <c r="F2862">
        <v>238789783</v>
      </c>
      <c r="G2862">
        <v>194743485</v>
      </c>
      <c r="H2862">
        <v>202883619</v>
      </c>
      <c r="I2862">
        <v>153008355</v>
      </c>
      <c r="J2862">
        <v>133878744</v>
      </c>
      <c r="K2862">
        <v>133468458</v>
      </c>
      <c r="L2862">
        <v>162173825</v>
      </c>
      <c r="M2862">
        <v>112831855</v>
      </c>
      <c r="N2862">
        <v>162106531</v>
      </c>
      <c r="O2862">
        <v>129107670</v>
      </c>
      <c r="P2862">
        <v>127</v>
      </c>
      <c r="Q2862" t="s">
        <v>6062</v>
      </c>
    </row>
    <row r="2863" spans="1:17" x14ac:dyDescent="0.3">
      <c r="A2863" t="s">
        <v>75</v>
      </c>
      <c r="B2863" t="str">
        <f>"300034"</f>
        <v>300034</v>
      </c>
      <c r="C2863" t="s">
        <v>6063</v>
      </c>
      <c r="D2863" t="s">
        <v>1551</v>
      </c>
      <c r="E2863">
        <v>270512941</v>
      </c>
      <c r="F2863">
        <v>235847244</v>
      </c>
      <c r="G2863">
        <v>228316425</v>
      </c>
      <c r="H2863">
        <v>238963691</v>
      </c>
      <c r="I2863">
        <v>100155556</v>
      </c>
      <c r="J2863">
        <v>85704287</v>
      </c>
      <c r="K2863">
        <v>126590453</v>
      </c>
      <c r="L2863">
        <v>88874237</v>
      </c>
      <c r="M2863">
        <v>67016201</v>
      </c>
      <c r="N2863">
        <v>75460668</v>
      </c>
      <c r="O2863">
        <v>71062402</v>
      </c>
      <c r="P2863">
        <v>282</v>
      </c>
      <c r="Q2863" t="s">
        <v>6064</v>
      </c>
    </row>
    <row r="2864" spans="1:17" x14ac:dyDescent="0.3">
      <c r="A2864" t="s">
        <v>17</v>
      </c>
      <c r="B2864" t="str">
        <f>"600866"</f>
        <v>600866</v>
      </c>
      <c r="C2864" t="s">
        <v>6065</v>
      </c>
      <c r="D2864" t="s">
        <v>1291</v>
      </c>
      <c r="E2864">
        <v>270492749</v>
      </c>
      <c r="F2864">
        <v>229893621</v>
      </c>
      <c r="G2864">
        <v>204636311</v>
      </c>
      <c r="H2864">
        <v>224776919</v>
      </c>
      <c r="I2864">
        <v>160254196</v>
      </c>
      <c r="J2864">
        <v>89243565</v>
      </c>
      <c r="K2864">
        <v>100403631</v>
      </c>
      <c r="L2864">
        <v>150045600</v>
      </c>
      <c r="M2864">
        <v>107014941</v>
      </c>
      <c r="N2864">
        <v>269584162</v>
      </c>
      <c r="O2864">
        <v>158219298</v>
      </c>
      <c r="P2864">
        <v>143</v>
      </c>
      <c r="Q2864" t="s">
        <v>6066</v>
      </c>
    </row>
    <row r="2865" spans="1:17" x14ac:dyDescent="0.3">
      <c r="A2865" t="s">
        <v>75</v>
      </c>
      <c r="B2865" t="str">
        <f>"000993"</f>
        <v>000993</v>
      </c>
      <c r="C2865" t="s">
        <v>6067</v>
      </c>
      <c r="D2865" t="s">
        <v>528</v>
      </c>
      <c r="E2865">
        <v>270030096</v>
      </c>
      <c r="F2865">
        <v>119646511</v>
      </c>
      <c r="G2865">
        <v>57301290</v>
      </c>
      <c r="H2865">
        <v>121683984</v>
      </c>
      <c r="I2865">
        <v>86555656</v>
      </c>
      <c r="J2865">
        <v>135108697</v>
      </c>
      <c r="K2865">
        <v>168079871</v>
      </c>
      <c r="L2865">
        <v>51145889</v>
      </c>
      <c r="M2865">
        <v>202515134</v>
      </c>
      <c r="N2865">
        <v>321321273</v>
      </c>
      <c r="O2865">
        <v>114793635</v>
      </c>
      <c r="P2865">
        <v>163</v>
      </c>
      <c r="Q2865" t="s">
        <v>6068</v>
      </c>
    </row>
    <row r="2866" spans="1:17" x14ac:dyDescent="0.3">
      <c r="A2866" t="s">
        <v>17</v>
      </c>
      <c r="B2866" t="str">
        <f>"600855"</f>
        <v>600855</v>
      </c>
      <c r="C2866" t="s">
        <v>6069</v>
      </c>
      <c r="D2866" t="s">
        <v>508</v>
      </c>
      <c r="E2866">
        <v>269639043</v>
      </c>
      <c r="F2866">
        <v>387622541</v>
      </c>
      <c r="G2866">
        <v>422520055</v>
      </c>
      <c r="H2866">
        <v>324909768</v>
      </c>
      <c r="I2866">
        <v>167073682</v>
      </c>
      <c r="J2866">
        <v>187301949</v>
      </c>
      <c r="K2866">
        <v>150783394</v>
      </c>
      <c r="L2866">
        <v>116381148</v>
      </c>
      <c r="M2866">
        <v>78813575</v>
      </c>
      <c r="N2866">
        <v>155920133</v>
      </c>
      <c r="O2866">
        <v>141756360</v>
      </c>
      <c r="P2866">
        <v>139</v>
      </c>
      <c r="Q2866" t="s">
        <v>6070</v>
      </c>
    </row>
    <row r="2867" spans="1:17" x14ac:dyDescent="0.3">
      <c r="A2867" t="s">
        <v>17</v>
      </c>
      <c r="B2867" t="str">
        <f>"688202"</f>
        <v>688202</v>
      </c>
      <c r="C2867" t="s">
        <v>6071</v>
      </c>
      <c r="D2867" t="s">
        <v>716</v>
      </c>
      <c r="E2867">
        <v>269596092</v>
      </c>
      <c r="F2867">
        <v>183185884</v>
      </c>
      <c r="G2867">
        <v>94990296</v>
      </c>
      <c r="H2867">
        <v>82700606</v>
      </c>
      <c r="P2867">
        <v>382</v>
      </c>
      <c r="Q2867" t="s">
        <v>6072</v>
      </c>
    </row>
    <row r="2868" spans="1:17" x14ac:dyDescent="0.3">
      <c r="A2868" t="s">
        <v>17</v>
      </c>
      <c r="B2868" t="str">
        <f>"688639"</f>
        <v>688639</v>
      </c>
      <c r="C2868" t="s">
        <v>6073</v>
      </c>
      <c r="D2868" t="s">
        <v>1291</v>
      </c>
      <c r="E2868">
        <v>268720541</v>
      </c>
      <c r="F2868">
        <v>130508737</v>
      </c>
      <c r="G2868">
        <v>64006949</v>
      </c>
      <c r="P2868">
        <v>58</v>
      </c>
      <c r="Q2868" t="s">
        <v>6074</v>
      </c>
    </row>
    <row r="2869" spans="1:17" x14ac:dyDescent="0.3">
      <c r="A2869" t="s">
        <v>75</v>
      </c>
      <c r="B2869" t="str">
        <f>"002685"</f>
        <v>002685</v>
      </c>
      <c r="C2869" t="s">
        <v>6075</v>
      </c>
      <c r="D2869" t="s">
        <v>3360</v>
      </c>
      <c r="E2869">
        <v>268680278</v>
      </c>
      <c r="F2869">
        <v>1958774893</v>
      </c>
      <c r="G2869">
        <v>2252143079</v>
      </c>
      <c r="H2869">
        <v>2853308921</v>
      </c>
      <c r="I2869">
        <v>1464689058</v>
      </c>
      <c r="J2869">
        <v>876738114</v>
      </c>
      <c r="K2869">
        <v>522350859</v>
      </c>
      <c r="L2869">
        <v>225720970</v>
      </c>
      <c r="M2869">
        <v>60136930</v>
      </c>
      <c r="N2869">
        <v>65198809</v>
      </c>
      <c r="O2869">
        <v>105906721</v>
      </c>
      <c r="P2869">
        <v>109</v>
      </c>
      <c r="Q2869" t="s">
        <v>6076</v>
      </c>
    </row>
    <row r="2870" spans="1:17" x14ac:dyDescent="0.3">
      <c r="A2870" t="s">
        <v>75</v>
      </c>
      <c r="B2870" t="str">
        <f>"002651"</f>
        <v>002651</v>
      </c>
      <c r="C2870" t="s">
        <v>6077</v>
      </c>
      <c r="D2870" t="s">
        <v>786</v>
      </c>
      <c r="E2870">
        <v>268342329</v>
      </c>
      <c r="F2870">
        <v>210524349</v>
      </c>
      <c r="G2870">
        <v>119665908</v>
      </c>
      <c r="H2870">
        <v>82526110</v>
      </c>
      <c r="I2870">
        <v>89242279</v>
      </c>
      <c r="J2870">
        <v>102738227</v>
      </c>
      <c r="K2870">
        <v>75074656</v>
      </c>
      <c r="L2870">
        <v>51950487</v>
      </c>
      <c r="M2870">
        <v>123342159</v>
      </c>
      <c r="N2870">
        <v>87416291</v>
      </c>
      <c r="O2870">
        <v>73005658</v>
      </c>
      <c r="P2870">
        <v>121</v>
      </c>
      <c r="Q2870" t="s">
        <v>6078</v>
      </c>
    </row>
    <row r="2871" spans="1:17" x14ac:dyDescent="0.3">
      <c r="A2871" t="s">
        <v>17</v>
      </c>
      <c r="B2871" t="str">
        <f>"603738"</f>
        <v>603738</v>
      </c>
      <c r="C2871" t="s">
        <v>6079</v>
      </c>
      <c r="D2871" t="s">
        <v>2109</v>
      </c>
      <c r="E2871">
        <v>268223613</v>
      </c>
      <c r="F2871">
        <v>175991034</v>
      </c>
      <c r="G2871">
        <v>96881408</v>
      </c>
      <c r="H2871">
        <v>136825517</v>
      </c>
      <c r="I2871">
        <v>124858529</v>
      </c>
      <c r="J2871">
        <v>96609255</v>
      </c>
      <c r="K2871">
        <v>69338481</v>
      </c>
      <c r="P2871">
        <v>246</v>
      </c>
      <c r="Q2871" t="s">
        <v>6080</v>
      </c>
    </row>
    <row r="2872" spans="1:17" x14ac:dyDescent="0.3">
      <c r="A2872" t="s">
        <v>75</v>
      </c>
      <c r="B2872" t="str">
        <f>"003021"</f>
        <v>003021</v>
      </c>
      <c r="C2872" t="s">
        <v>6081</v>
      </c>
      <c r="D2872" t="s">
        <v>1487</v>
      </c>
      <c r="E2872">
        <v>267907763</v>
      </c>
      <c r="F2872">
        <v>321146921</v>
      </c>
      <c r="G2872">
        <v>352627946</v>
      </c>
      <c r="P2872">
        <v>80</v>
      </c>
      <c r="Q2872" t="s">
        <v>6082</v>
      </c>
    </row>
    <row r="2873" spans="1:17" x14ac:dyDescent="0.3">
      <c r="A2873" t="s">
        <v>75</v>
      </c>
      <c r="B2873" t="str">
        <f>"002694"</f>
        <v>002694</v>
      </c>
      <c r="C2873" t="s">
        <v>6083</v>
      </c>
      <c r="D2873" t="s">
        <v>1583</v>
      </c>
      <c r="E2873">
        <v>267800454</v>
      </c>
      <c r="F2873">
        <v>312024979</v>
      </c>
      <c r="G2873">
        <v>172879386</v>
      </c>
      <c r="H2873">
        <v>383535698</v>
      </c>
      <c r="I2873">
        <v>360374568</v>
      </c>
      <c r="J2873">
        <v>326685119</v>
      </c>
      <c r="K2873">
        <v>324798525</v>
      </c>
      <c r="L2873">
        <v>376191707</v>
      </c>
      <c r="M2873">
        <v>284493164</v>
      </c>
      <c r="N2873">
        <v>292122261</v>
      </c>
      <c r="O2873">
        <v>299563265</v>
      </c>
      <c r="P2873">
        <v>71</v>
      </c>
      <c r="Q2873" t="s">
        <v>6084</v>
      </c>
    </row>
    <row r="2874" spans="1:17" x14ac:dyDescent="0.3">
      <c r="A2874" t="s">
        <v>75</v>
      </c>
      <c r="B2874" t="str">
        <f>"300890"</f>
        <v>300890</v>
      </c>
      <c r="C2874" t="s">
        <v>6085</v>
      </c>
      <c r="D2874" t="s">
        <v>834</v>
      </c>
      <c r="E2874">
        <v>267593222</v>
      </c>
      <c r="F2874">
        <v>126914260</v>
      </c>
      <c r="G2874">
        <v>64437051</v>
      </c>
      <c r="J2874">
        <v>8283458</v>
      </c>
      <c r="P2874">
        <v>62</v>
      </c>
      <c r="Q2874" t="s">
        <v>6086</v>
      </c>
    </row>
    <row r="2875" spans="1:17" x14ac:dyDescent="0.3">
      <c r="A2875" t="s">
        <v>17</v>
      </c>
      <c r="B2875" t="str">
        <f>"603221"</f>
        <v>603221</v>
      </c>
      <c r="C2875" t="s">
        <v>6087</v>
      </c>
      <c r="D2875" t="s">
        <v>2153</v>
      </c>
      <c r="E2875">
        <v>267264331</v>
      </c>
      <c r="F2875">
        <v>358307657</v>
      </c>
      <c r="G2875">
        <v>263422434</v>
      </c>
      <c r="H2875">
        <v>258108720</v>
      </c>
      <c r="P2875">
        <v>79</v>
      </c>
      <c r="Q2875" t="s">
        <v>6088</v>
      </c>
    </row>
    <row r="2876" spans="1:17" x14ac:dyDescent="0.3">
      <c r="A2876" t="s">
        <v>75</v>
      </c>
      <c r="B2876" t="str">
        <f>"300173"</f>
        <v>300173</v>
      </c>
      <c r="C2876" t="s">
        <v>6089</v>
      </c>
      <c r="D2876" t="s">
        <v>1352</v>
      </c>
      <c r="E2876">
        <v>267126961</v>
      </c>
      <c r="F2876">
        <v>323404735</v>
      </c>
      <c r="G2876">
        <v>15759394</v>
      </c>
      <c r="H2876">
        <v>82611908</v>
      </c>
      <c r="I2876">
        <v>60755564</v>
      </c>
      <c r="J2876">
        <v>126130273</v>
      </c>
      <c r="K2876">
        <v>48972606</v>
      </c>
      <c r="L2876">
        <v>95806001</v>
      </c>
      <c r="M2876">
        <v>52754192</v>
      </c>
      <c r="N2876">
        <v>49399246</v>
      </c>
      <c r="O2876">
        <v>58121171</v>
      </c>
      <c r="P2876">
        <v>61</v>
      </c>
      <c r="Q2876" t="s">
        <v>6090</v>
      </c>
    </row>
    <row r="2877" spans="1:17" x14ac:dyDescent="0.3">
      <c r="A2877" t="s">
        <v>17</v>
      </c>
      <c r="B2877" t="str">
        <f>"603377"</f>
        <v>603377</v>
      </c>
      <c r="C2877" t="s">
        <v>6091</v>
      </c>
      <c r="D2877" t="s">
        <v>1739</v>
      </c>
      <c r="E2877">
        <v>266874495</v>
      </c>
      <c r="F2877">
        <v>289595711</v>
      </c>
      <c r="G2877">
        <v>64355630</v>
      </c>
      <c r="H2877">
        <v>327410337</v>
      </c>
      <c r="I2877">
        <v>324162489</v>
      </c>
      <c r="J2877">
        <v>370075192</v>
      </c>
      <c r="K2877">
        <v>376703109</v>
      </c>
      <c r="L2877">
        <v>366020868</v>
      </c>
      <c r="P2877">
        <v>171</v>
      </c>
      <c r="Q2877" t="s">
        <v>6092</v>
      </c>
    </row>
    <row r="2878" spans="1:17" x14ac:dyDescent="0.3">
      <c r="A2878" t="s">
        <v>75</v>
      </c>
      <c r="B2878" t="str">
        <f>"002360"</f>
        <v>002360</v>
      </c>
      <c r="C2878" t="s">
        <v>6093</v>
      </c>
      <c r="D2878" t="s">
        <v>1830</v>
      </c>
      <c r="E2878">
        <v>266859837</v>
      </c>
      <c r="F2878">
        <v>191879715</v>
      </c>
      <c r="G2878">
        <v>97198317</v>
      </c>
      <c r="H2878">
        <v>88506798</v>
      </c>
      <c r="I2878">
        <v>159483876</v>
      </c>
      <c r="J2878">
        <v>122910299</v>
      </c>
      <c r="K2878">
        <v>64949173</v>
      </c>
      <c r="L2878">
        <v>93111016</v>
      </c>
      <c r="M2878">
        <v>122373414</v>
      </c>
      <c r="N2878">
        <v>73098986</v>
      </c>
      <c r="O2878">
        <v>97331433</v>
      </c>
      <c r="P2878">
        <v>111</v>
      </c>
      <c r="Q2878" t="s">
        <v>6094</v>
      </c>
    </row>
    <row r="2879" spans="1:17" x14ac:dyDescent="0.3">
      <c r="A2879" t="s">
        <v>17</v>
      </c>
      <c r="B2879" t="str">
        <f>"600505"</f>
        <v>600505</v>
      </c>
      <c r="C2879" t="s">
        <v>6095</v>
      </c>
      <c r="D2879" t="s">
        <v>457</v>
      </c>
      <c r="E2879">
        <v>266784308</v>
      </c>
      <c r="F2879">
        <v>256545492</v>
      </c>
      <c r="G2879">
        <v>223906100</v>
      </c>
      <c r="H2879">
        <v>204975668</v>
      </c>
      <c r="I2879">
        <v>212258915</v>
      </c>
      <c r="J2879">
        <v>224193441</v>
      </c>
      <c r="K2879">
        <v>197747268</v>
      </c>
      <c r="L2879">
        <v>175547883</v>
      </c>
      <c r="M2879">
        <v>166669566</v>
      </c>
      <c r="N2879">
        <v>158660344</v>
      </c>
      <c r="O2879">
        <v>135260998</v>
      </c>
      <c r="P2879">
        <v>104</v>
      </c>
      <c r="Q2879" t="s">
        <v>6096</v>
      </c>
    </row>
    <row r="2880" spans="1:17" x14ac:dyDescent="0.3">
      <c r="A2880" t="s">
        <v>17</v>
      </c>
      <c r="B2880" t="str">
        <f>"603739"</f>
        <v>603739</v>
      </c>
      <c r="C2880" t="s">
        <v>6097</v>
      </c>
      <c r="D2880" t="s">
        <v>3609</v>
      </c>
      <c r="E2880">
        <v>266566668</v>
      </c>
      <c r="F2880">
        <v>269189775</v>
      </c>
      <c r="G2880">
        <v>179609755</v>
      </c>
      <c r="H2880">
        <v>190591200</v>
      </c>
      <c r="I2880">
        <v>178627108</v>
      </c>
      <c r="P2880">
        <v>123</v>
      </c>
      <c r="Q2880" t="s">
        <v>6098</v>
      </c>
    </row>
    <row r="2881" spans="1:17" x14ac:dyDescent="0.3">
      <c r="A2881" t="s">
        <v>75</v>
      </c>
      <c r="B2881" t="str">
        <f>"300907"</f>
        <v>300907</v>
      </c>
      <c r="C2881" t="s">
        <v>6099</v>
      </c>
      <c r="D2881" t="s">
        <v>1487</v>
      </c>
      <c r="E2881">
        <v>266348296</v>
      </c>
      <c r="F2881">
        <v>235368456</v>
      </c>
      <c r="G2881">
        <v>128296990</v>
      </c>
      <c r="P2881">
        <v>36</v>
      </c>
      <c r="Q2881" t="s">
        <v>6100</v>
      </c>
    </row>
    <row r="2882" spans="1:17" x14ac:dyDescent="0.3">
      <c r="A2882" t="s">
        <v>17</v>
      </c>
      <c r="B2882" t="str">
        <f>"600696"</f>
        <v>600696</v>
      </c>
      <c r="C2882" t="s">
        <v>6101</v>
      </c>
      <c r="D2882" t="s">
        <v>1284</v>
      </c>
      <c r="E2882">
        <v>265945583</v>
      </c>
      <c r="F2882">
        <v>158184731</v>
      </c>
      <c r="G2882">
        <v>20909640</v>
      </c>
      <c r="H2882">
        <v>15651809</v>
      </c>
      <c r="I2882">
        <v>21395158</v>
      </c>
      <c r="J2882">
        <v>55523504</v>
      </c>
      <c r="K2882">
        <v>1497727</v>
      </c>
      <c r="L2882">
        <v>5144946</v>
      </c>
      <c r="M2882">
        <v>54316349</v>
      </c>
      <c r="N2882">
        <v>48222510</v>
      </c>
      <c r="O2882">
        <v>46868530</v>
      </c>
      <c r="P2882">
        <v>95</v>
      </c>
      <c r="Q2882" t="s">
        <v>6102</v>
      </c>
    </row>
    <row r="2883" spans="1:17" x14ac:dyDescent="0.3">
      <c r="A2883" t="s">
        <v>75</v>
      </c>
      <c r="B2883" t="str">
        <f>"300852"</f>
        <v>300852</v>
      </c>
      <c r="C2883" t="s">
        <v>6103</v>
      </c>
      <c r="D2883" t="s">
        <v>567</v>
      </c>
      <c r="E2883">
        <v>265842099</v>
      </c>
      <c r="F2883">
        <v>168885548</v>
      </c>
      <c r="G2883">
        <v>136063997</v>
      </c>
      <c r="H2883">
        <v>105107148</v>
      </c>
      <c r="P2883">
        <v>103</v>
      </c>
      <c r="Q2883" t="s">
        <v>6104</v>
      </c>
    </row>
    <row r="2884" spans="1:17" x14ac:dyDescent="0.3">
      <c r="A2884" t="s">
        <v>75</v>
      </c>
      <c r="B2884" t="str">
        <f>"002809"</f>
        <v>002809</v>
      </c>
      <c r="C2884" t="s">
        <v>6105</v>
      </c>
      <c r="D2884" t="s">
        <v>292</v>
      </c>
      <c r="E2884">
        <v>265710583</v>
      </c>
      <c r="F2884">
        <v>307527364</v>
      </c>
      <c r="G2884">
        <v>191900647</v>
      </c>
      <c r="H2884">
        <v>184848864</v>
      </c>
      <c r="I2884">
        <v>142296515</v>
      </c>
      <c r="J2884">
        <v>48030468</v>
      </c>
      <c r="K2884">
        <v>41814611</v>
      </c>
      <c r="P2884">
        <v>99</v>
      </c>
      <c r="Q2884" t="s">
        <v>6106</v>
      </c>
    </row>
    <row r="2885" spans="1:17" x14ac:dyDescent="0.3">
      <c r="A2885" t="s">
        <v>75</v>
      </c>
      <c r="B2885" t="str">
        <f>"002873"</f>
        <v>002873</v>
      </c>
      <c r="C2885" t="s">
        <v>6107</v>
      </c>
      <c r="D2885" t="s">
        <v>321</v>
      </c>
      <c r="E2885">
        <v>265457630</v>
      </c>
      <c r="F2885">
        <v>222492116</v>
      </c>
      <c r="G2885">
        <v>163424757</v>
      </c>
      <c r="H2885">
        <v>199651345</v>
      </c>
      <c r="I2885">
        <v>162385971</v>
      </c>
      <c r="J2885">
        <v>164964038</v>
      </c>
      <c r="K2885">
        <v>136737891</v>
      </c>
      <c r="P2885">
        <v>166</v>
      </c>
      <c r="Q2885" t="s">
        <v>6108</v>
      </c>
    </row>
    <row r="2886" spans="1:17" x14ac:dyDescent="0.3">
      <c r="A2886" t="s">
        <v>17</v>
      </c>
      <c r="B2886" t="str">
        <f>"603788"</f>
        <v>603788</v>
      </c>
      <c r="C2886" t="s">
        <v>6109</v>
      </c>
      <c r="D2886" t="s">
        <v>172</v>
      </c>
      <c r="E2886">
        <v>265299310</v>
      </c>
      <c r="F2886">
        <v>260926299</v>
      </c>
      <c r="G2886">
        <v>247649039</v>
      </c>
      <c r="H2886">
        <v>316136921</v>
      </c>
      <c r="I2886">
        <v>338671380</v>
      </c>
      <c r="J2886">
        <v>255321784</v>
      </c>
      <c r="K2886">
        <v>186785669</v>
      </c>
      <c r="L2886">
        <v>130849353</v>
      </c>
      <c r="M2886">
        <v>93699266</v>
      </c>
      <c r="P2886">
        <v>330</v>
      </c>
      <c r="Q2886" t="s">
        <v>6110</v>
      </c>
    </row>
    <row r="2887" spans="1:17" x14ac:dyDescent="0.3">
      <c r="A2887" t="s">
        <v>17</v>
      </c>
      <c r="B2887" t="str">
        <f>"600257"</f>
        <v>600257</v>
      </c>
      <c r="C2887" t="s">
        <v>6111</v>
      </c>
      <c r="D2887" t="s">
        <v>2597</v>
      </c>
      <c r="E2887">
        <v>265275237</v>
      </c>
      <c r="F2887">
        <v>349396550</v>
      </c>
      <c r="G2887">
        <v>214338153</v>
      </c>
      <c r="H2887">
        <v>294526720</v>
      </c>
      <c r="I2887">
        <v>226195082</v>
      </c>
      <c r="J2887">
        <v>185260913</v>
      </c>
      <c r="K2887">
        <v>172994783</v>
      </c>
      <c r="L2887">
        <v>148257617</v>
      </c>
      <c r="M2887">
        <v>145824839</v>
      </c>
      <c r="N2887">
        <v>149903892</v>
      </c>
      <c r="O2887">
        <v>145800953</v>
      </c>
      <c r="P2887">
        <v>96</v>
      </c>
      <c r="Q2887" t="s">
        <v>6112</v>
      </c>
    </row>
    <row r="2888" spans="1:17" x14ac:dyDescent="0.3">
      <c r="A2888" t="s">
        <v>75</v>
      </c>
      <c r="B2888" t="str">
        <f>"002979"</f>
        <v>002979</v>
      </c>
      <c r="C2888" t="s">
        <v>6113</v>
      </c>
      <c r="D2888" t="s">
        <v>3105</v>
      </c>
      <c r="E2888">
        <v>265198242</v>
      </c>
      <c r="F2888">
        <v>228469824</v>
      </c>
      <c r="G2888">
        <v>134811898</v>
      </c>
      <c r="H2888">
        <v>127487640</v>
      </c>
      <c r="P2888">
        <v>196</v>
      </c>
      <c r="Q2888" t="s">
        <v>6114</v>
      </c>
    </row>
    <row r="2889" spans="1:17" x14ac:dyDescent="0.3">
      <c r="A2889" t="s">
        <v>75</v>
      </c>
      <c r="B2889" t="str">
        <f>"300095"</f>
        <v>300095</v>
      </c>
      <c r="C2889" t="s">
        <v>6115</v>
      </c>
      <c r="D2889" t="s">
        <v>153</v>
      </c>
      <c r="E2889">
        <v>264976053</v>
      </c>
      <c r="F2889">
        <v>218440754</v>
      </c>
      <c r="G2889">
        <v>200008113</v>
      </c>
      <c r="H2889">
        <v>190274784</v>
      </c>
      <c r="I2889">
        <v>169104897</v>
      </c>
      <c r="J2889">
        <v>143293300</v>
      </c>
      <c r="K2889">
        <v>98532731</v>
      </c>
      <c r="L2889">
        <v>126336664</v>
      </c>
      <c r="M2889">
        <v>117568423</v>
      </c>
      <c r="N2889">
        <v>54118898</v>
      </c>
      <c r="O2889">
        <v>46995569</v>
      </c>
      <c r="P2889">
        <v>128</v>
      </c>
      <c r="Q2889" t="s">
        <v>6116</v>
      </c>
    </row>
    <row r="2890" spans="1:17" x14ac:dyDescent="0.3">
      <c r="A2890" t="s">
        <v>75</v>
      </c>
      <c r="B2890" t="str">
        <f>"002835"</f>
        <v>002835</v>
      </c>
      <c r="C2890" t="s">
        <v>6117</v>
      </c>
      <c r="D2890" t="s">
        <v>337</v>
      </c>
      <c r="E2890">
        <v>264964243</v>
      </c>
      <c r="F2890">
        <v>230004697</v>
      </c>
      <c r="G2890">
        <v>136781457</v>
      </c>
      <c r="H2890">
        <v>166102856</v>
      </c>
      <c r="I2890">
        <v>133043166</v>
      </c>
      <c r="J2890">
        <v>123811564</v>
      </c>
      <c r="K2890">
        <v>111961140</v>
      </c>
      <c r="P2890">
        <v>94</v>
      </c>
      <c r="Q2890" t="s">
        <v>6118</v>
      </c>
    </row>
    <row r="2891" spans="1:17" x14ac:dyDescent="0.3">
      <c r="A2891" t="s">
        <v>17</v>
      </c>
      <c r="B2891" t="str">
        <f>"603011"</f>
        <v>603011</v>
      </c>
      <c r="C2891" t="s">
        <v>6119</v>
      </c>
      <c r="D2891" t="s">
        <v>1624</v>
      </c>
      <c r="E2891">
        <v>264888918</v>
      </c>
      <c r="F2891">
        <v>226056269</v>
      </c>
      <c r="G2891">
        <v>102151468</v>
      </c>
      <c r="H2891">
        <v>165184825</v>
      </c>
      <c r="I2891">
        <v>172418851</v>
      </c>
      <c r="J2891">
        <v>147763759</v>
      </c>
      <c r="K2891">
        <v>153268436</v>
      </c>
      <c r="L2891">
        <v>128082799</v>
      </c>
      <c r="M2891">
        <v>117265074</v>
      </c>
      <c r="P2891">
        <v>82</v>
      </c>
      <c r="Q2891" t="s">
        <v>6120</v>
      </c>
    </row>
    <row r="2892" spans="1:17" x14ac:dyDescent="0.3">
      <c r="A2892" t="s">
        <v>17</v>
      </c>
      <c r="B2892" t="str">
        <f>"603959"</f>
        <v>603959</v>
      </c>
      <c r="C2892" t="s">
        <v>6121</v>
      </c>
      <c r="D2892" t="s">
        <v>184</v>
      </c>
      <c r="E2892">
        <v>264642172</v>
      </c>
      <c r="F2892">
        <v>191813212</v>
      </c>
      <c r="G2892">
        <v>159859092</v>
      </c>
      <c r="H2892">
        <v>171709084</v>
      </c>
      <c r="I2892">
        <v>299553965</v>
      </c>
      <c r="J2892">
        <v>13335118</v>
      </c>
      <c r="K2892">
        <v>27392349</v>
      </c>
      <c r="L2892">
        <v>127401897</v>
      </c>
      <c r="P2892">
        <v>80</v>
      </c>
      <c r="Q2892" t="s">
        <v>6122</v>
      </c>
    </row>
    <row r="2893" spans="1:17" x14ac:dyDescent="0.3">
      <c r="A2893" t="s">
        <v>75</v>
      </c>
      <c r="B2893" t="str">
        <f>"002923"</f>
        <v>002923</v>
      </c>
      <c r="C2893" t="s">
        <v>6123</v>
      </c>
      <c r="D2893" t="s">
        <v>543</v>
      </c>
      <c r="E2893">
        <v>264507610</v>
      </c>
      <c r="F2893">
        <v>230956278</v>
      </c>
      <c r="G2893">
        <v>271907797</v>
      </c>
      <c r="H2893">
        <v>286878613</v>
      </c>
      <c r="I2893">
        <v>204366989</v>
      </c>
      <c r="J2893">
        <v>177699619</v>
      </c>
      <c r="P2893">
        <v>165</v>
      </c>
      <c r="Q2893" t="s">
        <v>6124</v>
      </c>
    </row>
    <row r="2894" spans="1:17" x14ac:dyDescent="0.3">
      <c r="A2894" t="s">
        <v>17</v>
      </c>
      <c r="B2894" t="str">
        <f>"688350"</f>
        <v>688350</v>
      </c>
      <c r="C2894" t="s">
        <v>6125</v>
      </c>
      <c r="D2894" t="s">
        <v>292</v>
      </c>
      <c r="E2894">
        <v>263393362</v>
      </c>
      <c r="F2894">
        <v>232969012</v>
      </c>
      <c r="G2894">
        <v>172448745</v>
      </c>
      <c r="P2894">
        <v>34</v>
      </c>
      <c r="Q2894" t="s">
        <v>6126</v>
      </c>
    </row>
    <row r="2895" spans="1:17" x14ac:dyDescent="0.3">
      <c r="A2895" t="s">
        <v>75</v>
      </c>
      <c r="B2895" t="str">
        <f>"300624"</f>
        <v>300624</v>
      </c>
      <c r="C2895" t="s">
        <v>6127</v>
      </c>
      <c r="D2895" t="s">
        <v>989</v>
      </c>
      <c r="E2895">
        <v>263270939</v>
      </c>
      <c r="F2895">
        <v>252869029</v>
      </c>
      <c r="G2895">
        <v>201589947</v>
      </c>
      <c r="H2895">
        <v>163632926</v>
      </c>
      <c r="I2895">
        <v>127046304</v>
      </c>
      <c r="J2895">
        <v>111528958</v>
      </c>
      <c r="P2895">
        <v>332</v>
      </c>
      <c r="Q2895" t="s">
        <v>6128</v>
      </c>
    </row>
    <row r="2896" spans="1:17" x14ac:dyDescent="0.3">
      <c r="A2896" t="s">
        <v>17</v>
      </c>
      <c r="B2896" t="str">
        <f>"603630"</f>
        <v>603630</v>
      </c>
      <c r="C2896" t="s">
        <v>6129</v>
      </c>
      <c r="D2896" t="s">
        <v>1764</v>
      </c>
      <c r="E2896">
        <v>263182221</v>
      </c>
      <c r="F2896">
        <v>309271520</v>
      </c>
      <c r="G2896">
        <v>226568009</v>
      </c>
      <c r="H2896">
        <v>291332781</v>
      </c>
      <c r="I2896">
        <v>247869512</v>
      </c>
      <c r="J2896">
        <v>260113303</v>
      </c>
      <c r="K2896">
        <v>267348900</v>
      </c>
      <c r="P2896">
        <v>148</v>
      </c>
      <c r="Q2896" t="s">
        <v>6130</v>
      </c>
    </row>
    <row r="2897" spans="1:17" x14ac:dyDescent="0.3">
      <c r="A2897" t="s">
        <v>75</v>
      </c>
      <c r="B2897" t="str">
        <f>"002197"</f>
        <v>002197</v>
      </c>
      <c r="C2897" t="s">
        <v>6131</v>
      </c>
      <c r="D2897" t="s">
        <v>508</v>
      </c>
      <c r="E2897">
        <v>263098902</v>
      </c>
      <c r="F2897">
        <v>285754585</v>
      </c>
      <c r="G2897">
        <v>373597653</v>
      </c>
      <c r="H2897">
        <v>307618047</v>
      </c>
      <c r="I2897">
        <v>262463906</v>
      </c>
      <c r="J2897">
        <v>174031854</v>
      </c>
      <c r="K2897">
        <v>231879258</v>
      </c>
      <c r="L2897">
        <v>135277804</v>
      </c>
      <c r="M2897">
        <v>103072843</v>
      </c>
      <c r="N2897">
        <v>91886895</v>
      </c>
      <c r="O2897">
        <v>66498073</v>
      </c>
      <c r="P2897">
        <v>230</v>
      </c>
      <c r="Q2897" t="s">
        <v>6132</v>
      </c>
    </row>
    <row r="2898" spans="1:17" x14ac:dyDescent="0.3">
      <c r="A2898" t="s">
        <v>17</v>
      </c>
      <c r="B2898" t="str">
        <f>"603038"</f>
        <v>603038</v>
      </c>
      <c r="C2898" t="s">
        <v>6133</v>
      </c>
      <c r="D2898" t="s">
        <v>1257</v>
      </c>
      <c r="E2898">
        <v>262969858</v>
      </c>
      <c r="F2898">
        <v>198006636</v>
      </c>
      <c r="G2898">
        <v>146129110</v>
      </c>
      <c r="H2898">
        <v>164317236</v>
      </c>
      <c r="I2898">
        <v>134178480</v>
      </c>
      <c r="J2898">
        <v>120564017</v>
      </c>
      <c r="K2898">
        <v>112531869</v>
      </c>
      <c r="P2898">
        <v>70</v>
      </c>
      <c r="Q2898" t="s">
        <v>6134</v>
      </c>
    </row>
    <row r="2899" spans="1:17" x14ac:dyDescent="0.3">
      <c r="A2899" t="s">
        <v>17</v>
      </c>
      <c r="B2899" t="str">
        <f>"603122"</f>
        <v>603122</v>
      </c>
      <c r="C2899" t="s">
        <v>6135</v>
      </c>
      <c r="E2899">
        <v>262830985</v>
      </c>
      <c r="F2899">
        <v>239863277</v>
      </c>
      <c r="G2899">
        <v>215781306</v>
      </c>
      <c r="P2899">
        <v>12</v>
      </c>
      <c r="Q2899" t="s">
        <v>6136</v>
      </c>
    </row>
    <row r="2900" spans="1:17" x14ac:dyDescent="0.3">
      <c r="A2900" t="s">
        <v>75</v>
      </c>
      <c r="B2900" t="str">
        <f>"300915"</f>
        <v>300915</v>
      </c>
      <c r="C2900" t="s">
        <v>6137</v>
      </c>
      <c r="D2900" t="s">
        <v>215</v>
      </c>
      <c r="E2900">
        <v>262503706</v>
      </c>
      <c r="F2900">
        <v>165756662</v>
      </c>
      <c r="G2900">
        <v>84084232</v>
      </c>
      <c r="P2900">
        <v>101</v>
      </c>
      <c r="Q2900" t="s">
        <v>6138</v>
      </c>
    </row>
    <row r="2901" spans="1:17" x14ac:dyDescent="0.3">
      <c r="A2901" t="s">
        <v>75</v>
      </c>
      <c r="B2901" t="str">
        <f>"300619"</f>
        <v>300619</v>
      </c>
      <c r="C2901" t="s">
        <v>6139</v>
      </c>
      <c r="D2901" t="s">
        <v>1464</v>
      </c>
      <c r="E2901">
        <v>262440871</v>
      </c>
      <c r="F2901">
        <v>226355269</v>
      </c>
      <c r="G2901">
        <v>56326149</v>
      </c>
      <c r="H2901">
        <v>134340572</v>
      </c>
      <c r="I2901">
        <v>80198165</v>
      </c>
      <c r="J2901">
        <v>58369858</v>
      </c>
      <c r="K2901">
        <v>38179179</v>
      </c>
      <c r="P2901">
        <v>94</v>
      </c>
      <c r="Q2901" t="s">
        <v>6140</v>
      </c>
    </row>
    <row r="2902" spans="1:17" x14ac:dyDescent="0.3">
      <c r="A2902" t="s">
        <v>75</v>
      </c>
      <c r="B2902" t="str">
        <f>"301207"</f>
        <v>301207</v>
      </c>
      <c r="C2902" t="s">
        <v>6141</v>
      </c>
      <c r="E2902">
        <v>262294798</v>
      </c>
      <c r="P2902">
        <v>19</v>
      </c>
      <c r="Q2902" t="s">
        <v>6142</v>
      </c>
    </row>
    <row r="2903" spans="1:17" x14ac:dyDescent="0.3">
      <c r="A2903" t="s">
        <v>75</v>
      </c>
      <c r="B2903" t="str">
        <f>"300162"</f>
        <v>300162</v>
      </c>
      <c r="C2903" t="s">
        <v>6143</v>
      </c>
      <c r="D2903" t="s">
        <v>1044</v>
      </c>
      <c r="E2903">
        <v>262115554</v>
      </c>
      <c r="F2903">
        <v>197527386</v>
      </c>
      <c r="G2903">
        <v>175447893</v>
      </c>
      <c r="H2903">
        <v>185292598</v>
      </c>
      <c r="I2903">
        <v>139163141</v>
      </c>
      <c r="J2903">
        <v>136127322</v>
      </c>
      <c r="K2903">
        <v>86557457</v>
      </c>
      <c r="L2903">
        <v>68822991</v>
      </c>
      <c r="M2903">
        <v>85022972</v>
      </c>
      <c r="N2903">
        <v>52831700</v>
      </c>
      <c r="O2903">
        <v>61449578</v>
      </c>
      <c r="P2903">
        <v>76</v>
      </c>
      <c r="Q2903" t="s">
        <v>6144</v>
      </c>
    </row>
    <row r="2904" spans="1:17" x14ac:dyDescent="0.3">
      <c r="A2904" t="s">
        <v>75</v>
      </c>
      <c r="B2904" t="str">
        <f>"300648"</f>
        <v>300648</v>
      </c>
      <c r="C2904" t="s">
        <v>6145</v>
      </c>
      <c r="D2904" t="s">
        <v>1464</v>
      </c>
      <c r="E2904">
        <v>261969877</v>
      </c>
      <c r="F2904">
        <v>162140849</v>
      </c>
      <c r="G2904">
        <v>50261557</v>
      </c>
      <c r="H2904">
        <v>48362281</v>
      </c>
      <c r="I2904">
        <v>60741337</v>
      </c>
      <c r="J2904">
        <v>43593166</v>
      </c>
      <c r="K2904">
        <v>42765892</v>
      </c>
      <c r="P2904">
        <v>266</v>
      </c>
      <c r="Q2904" t="s">
        <v>6146</v>
      </c>
    </row>
    <row r="2905" spans="1:17" x14ac:dyDescent="0.3">
      <c r="A2905" t="s">
        <v>17</v>
      </c>
      <c r="B2905" t="str">
        <f>"603080"</f>
        <v>603080</v>
      </c>
      <c r="C2905" t="s">
        <v>6147</v>
      </c>
      <c r="D2905" t="s">
        <v>147</v>
      </c>
      <c r="E2905">
        <v>261844285</v>
      </c>
      <c r="F2905">
        <v>183344652</v>
      </c>
      <c r="G2905">
        <v>148098864</v>
      </c>
      <c r="H2905">
        <v>105860919</v>
      </c>
      <c r="I2905">
        <v>100501353</v>
      </c>
      <c r="J2905">
        <v>91120365</v>
      </c>
      <c r="P2905">
        <v>93</v>
      </c>
      <c r="Q2905" t="s">
        <v>6148</v>
      </c>
    </row>
    <row r="2906" spans="1:17" x14ac:dyDescent="0.3">
      <c r="A2906" t="s">
        <v>75</v>
      </c>
      <c r="B2906" t="str">
        <f>"002930"</f>
        <v>002930</v>
      </c>
      <c r="C2906" t="s">
        <v>6149</v>
      </c>
      <c r="D2906" t="s">
        <v>331</v>
      </c>
      <c r="E2906">
        <v>261794007</v>
      </c>
      <c r="F2906">
        <v>256523992</v>
      </c>
      <c r="G2906">
        <v>117057518</v>
      </c>
      <c r="H2906">
        <v>103514824</v>
      </c>
      <c r="I2906">
        <v>91746970</v>
      </c>
      <c r="J2906">
        <v>76237129</v>
      </c>
      <c r="P2906">
        <v>160</v>
      </c>
      <c r="Q2906" t="s">
        <v>6150</v>
      </c>
    </row>
    <row r="2907" spans="1:17" x14ac:dyDescent="0.3">
      <c r="A2907" t="s">
        <v>17</v>
      </c>
      <c r="B2907" t="str">
        <f>"603700"</f>
        <v>603700</v>
      </c>
      <c r="C2907" t="s">
        <v>6151</v>
      </c>
      <c r="D2907" t="s">
        <v>2549</v>
      </c>
      <c r="E2907">
        <v>261755979</v>
      </c>
      <c r="F2907">
        <v>268562976</v>
      </c>
      <c r="G2907">
        <v>169798653</v>
      </c>
      <c r="H2907">
        <v>156278760</v>
      </c>
      <c r="I2907">
        <v>151850263</v>
      </c>
      <c r="P2907">
        <v>395</v>
      </c>
      <c r="Q2907" t="s">
        <v>6152</v>
      </c>
    </row>
    <row r="2908" spans="1:17" x14ac:dyDescent="0.3">
      <c r="A2908" t="s">
        <v>75</v>
      </c>
      <c r="B2908" t="str">
        <f>"300643"</f>
        <v>300643</v>
      </c>
      <c r="C2908" t="s">
        <v>6153</v>
      </c>
      <c r="D2908" t="s">
        <v>1321</v>
      </c>
      <c r="E2908">
        <v>261689525</v>
      </c>
      <c r="F2908">
        <v>226333058</v>
      </c>
      <c r="G2908">
        <v>200809180</v>
      </c>
      <c r="H2908">
        <v>76332347</v>
      </c>
      <c r="I2908">
        <v>84072972</v>
      </c>
      <c r="J2908">
        <v>72739846</v>
      </c>
      <c r="K2908">
        <v>69446602</v>
      </c>
      <c r="P2908">
        <v>96</v>
      </c>
      <c r="Q2908" t="s">
        <v>6154</v>
      </c>
    </row>
    <row r="2909" spans="1:17" x14ac:dyDescent="0.3">
      <c r="A2909" t="s">
        <v>75</v>
      </c>
      <c r="B2909" t="str">
        <f>"002655"</f>
        <v>002655</v>
      </c>
      <c r="C2909" t="s">
        <v>6155</v>
      </c>
      <c r="D2909" t="s">
        <v>55</v>
      </c>
      <c r="E2909">
        <v>261660750</v>
      </c>
      <c r="F2909">
        <v>262380789</v>
      </c>
      <c r="G2909">
        <v>282175289</v>
      </c>
      <c r="H2909">
        <v>226784986</v>
      </c>
      <c r="I2909">
        <v>197035518</v>
      </c>
      <c r="J2909">
        <v>211606744</v>
      </c>
      <c r="K2909">
        <v>188156468</v>
      </c>
      <c r="L2909">
        <v>187114688</v>
      </c>
      <c r="M2909">
        <v>140883864</v>
      </c>
      <c r="N2909">
        <v>102672409</v>
      </c>
      <c r="O2909">
        <v>101517568</v>
      </c>
      <c r="P2909">
        <v>230</v>
      </c>
      <c r="Q2909" t="s">
        <v>6156</v>
      </c>
    </row>
    <row r="2910" spans="1:17" x14ac:dyDescent="0.3">
      <c r="A2910" t="s">
        <v>75</v>
      </c>
      <c r="B2910" t="str">
        <f>"300106"</f>
        <v>300106</v>
      </c>
      <c r="C2910" t="s">
        <v>6157</v>
      </c>
      <c r="D2910" t="s">
        <v>215</v>
      </c>
      <c r="E2910">
        <v>261600660</v>
      </c>
      <c r="F2910">
        <v>253798560</v>
      </c>
      <c r="G2910">
        <v>144463193</v>
      </c>
      <c r="H2910">
        <v>148664783</v>
      </c>
      <c r="I2910">
        <v>147547003</v>
      </c>
      <c r="J2910">
        <v>146918608</v>
      </c>
      <c r="K2910">
        <v>122393816</v>
      </c>
      <c r="L2910">
        <v>289215863</v>
      </c>
      <c r="M2910">
        <v>152048136</v>
      </c>
      <c r="N2910">
        <v>124337868</v>
      </c>
      <c r="O2910">
        <v>122261081</v>
      </c>
      <c r="P2910">
        <v>124</v>
      </c>
      <c r="Q2910" t="s">
        <v>6158</v>
      </c>
    </row>
    <row r="2911" spans="1:17" x14ac:dyDescent="0.3">
      <c r="A2911" t="s">
        <v>75</v>
      </c>
      <c r="B2911" t="str">
        <f>"300241"</f>
        <v>300241</v>
      </c>
      <c r="C2911" t="s">
        <v>6159</v>
      </c>
      <c r="D2911" t="s">
        <v>1044</v>
      </c>
      <c r="E2911">
        <v>261564689</v>
      </c>
      <c r="F2911">
        <v>295663856</v>
      </c>
      <c r="G2911">
        <v>240662660</v>
      </c>
      <c r="H2911">
        <v>381755606</v>
      </c>
      <c r="I2911">
        <v>340258006</v>
      </c>
      <c r="J2911">
        <v>240418835</v>
      </c>
      <c r="K2911">
        <v>179844338</v>
      </c>
      <c r="L2911">
        <v>183019783</v>
      </c>
      <c r="M2911">
        <v>110998943</v>
      </c>
      <c r="N2911">
        <v>98333390</v>
      </c>
      <c r="O2911">
        <v>59691000</v>
      </c>
      <c r="P2911">
        <v>170</v>
      </c>
      <c r="Q2911" t="s">
        <v>6160</v>
      </c>
    </row>
    <row r="2912" spans="1:17" x14ac:dyDescent="0.3">
      <c r="A2912" t="s">
        <v>75</v>
      </c>
      <c r="B2912" t="str">
        <f>"300548"</f>
        <v>300548</v>
      </c>
      <c r="C2912" t="s">
        <v>6161</v>
      </c>
      <c r="D2912" t="s">
        <v>169</v>
      </c>
      <c r="E2912">
        <v>261233759</v>
      </c>
      <c r="F2912">
        <v>216770207</v>
      </c>
      <c r="G2912">
        <v>59303576</v>
      </c>
      <c r="H2912">
        <v>60486376</v>
      </c>
      <c r="I2912">
        <v>93800095</v>
      </c>
      <c r="J2912">
        <v>80166953</v>
      </c>
      <c r="K2912">
        <v>72042427</v>
      </c>
      <c r="P2912">
        <v>289</v>
      </c>
      <c r="Q2912" t="s">
        <v>6162</v>
      </c>
    </row>
    <row r="2913" spans="1:17" x14ac:dyDescent="0.3">
      <c r="A2913" t="s">
        <v>75</v>
      </c>
      <c r="B2913" t="str">
        <f>"301055"</f>
        <v>301055</v>
      </c>
      <c r="C2913" t="s">
        <v>6163</v>
      </c>
      <c r="D2913" t="s">
        <v>1192</v>
      </c>
      <c r="E2913">
        <v>261219701</v>
      </c>
      <c r="P2913">
        <v>28</v>
      </c>
      <c r="Q2913" t="s">
        <v>6164</v>
      </c>
    </row>
    <row r="2914" spans="1:17" x14ac:dyDescent="0.3">
      <c r="A2914" t="s">
        <v>17</v>
      </c>
      <c r="B2914" t="str">
        <f>"603903"</f>
        <v>603903</v>
      </c>
      <c r="C2914" t="s">
        <v>6165</v>
      </c>
      <c r="D2914" t="s">
        <v>1107</v>
      </c>
      <c r="E2914">
        <v>261083878</v>
      </c>
      <c r="F2914">
        <v>284153719</v>
      </c>
      <c r="G2914">
        <v>221337378</v>
      </c>
      <c r="H2914">
        <v>139307326</v>
      </c>
      <c r="I2914">
        <v>88172058</v>
      </c>
      <c r="J2914">
        <v>67957114</v>
      </c>
      <c r="K2914">
        <v>110355736</v>
      </c>
      <c r="P2914">
        <v>119</v>
      </c>
      <c r="Q2914" t="s">
        <v>6166</v>
      </c>
    </row>
    <row r="2915" spans="1:17" x14ac:dyDescent="0.3">
      <c r="A2915" t="s">
        <v>75</v>
      </c>
      <c r="B2915" t="str">
        <f>"002413"</f>
        <v>002413</v>
      </c>
      <c r="C2915" t="s">
        <v>6167</v>
      </c>
      <c r="D2915" t="s">
        <v>1572</v>
      </c>
      <c r="E2915">
        <v>260964157</v>
      </c>
      <c r="F2915">
        <v>190290394</v>
      </c>
      <c r="G2915">
        <v>138485341</v>
      </c>
      <c r="H2915">
        <v>103441624</v>
      </c>
      <c r="I2915">
        <v>156027800</v>
      </c>
      <c r="J2915">
        <v>71745200</v>
      </c>
      <c r="K2915">
        <v>40693216</v>
      </c>
      <c r="L2915">
        <v>378167917</v>
      </c>
      <c r="M2915">
        <v>581960133</v>
      </c>
      <c r="N2915">
        <v>420994852</v>
      </c>
      <c r="O2915">
        <v>396340071</v>
      </c>
      <c r="P2915">
        <v>218</v>
      </c>
      <c r="Q2915" t="s">
        <v>6168</v>
      </c>
    </row>
    <row r="2916" spans="1:17" x14ac:dyDescent="0.3">
      <c r="A2916" t="s">
        <v>75</v>
      </c>
      <c r="B2916" t="str">
        <f>"000909"</f>
        <v>000909</v>
      </c>
      <c r="C2916" t="s">
        <v>6169</v>
      </c>
      <c r="D2916" t="s">
        <v>65</v>
      </c>
      <c r="E2916">
        <v>260877961</v>
      </c>
      <c r="F2916">
        <v>314301709</v>
      </c>
      <c r="G2916">
        <v>80201997</v>
      </c>
      <c r="H2916">
        <v>51285410</v>
      </c>
      <c r="I2916">
        <v>435569486</v>
      </c>
      <c r="J2916">
        <v>385929105</v>
      </c>
      <c r="K2916">
        <v>589865350</v>
      </c>
      <c r="L2916">
        <v>240443596</v>
      </c>
      <c r="M2916">
        <v>387577759</v>
      </c>
      <c r="N2916">
        <v>310929796</v>
      </c>
      <c r="O2916">
        <v>509768010</v>
      </c>
      <c r="P2916">
        <v>206</v>
      </c>
      <c r="Q2916" t="s">
        <v>6170</v>
      </c>
    </row>
    <row r="2917" spans="1:17" x14ac:dyDescent="0.3">
      <c r="A2917" t="s">
        <v>75</v>
      </c>
      <c r="B2917" t="str">
        <f>"301103"</f>
        <v>301103</v>
      </c>
      <c r="C2917" t="s">
        <v>6171</v>
      </c>
      <c r="E2917">
        <v>260748944</v>
      </c>
      <c r="P2917">
        <v>5</v>
      </c>
      <c r="Q2917" t="s">
        <v>6172</v>
      </c>
    </row>
    <row r="2918" spans="1:17" x14ac:dyDescent="0.3">
      <c r="A2918" t="s">
        <v>75</v>
      </c>
      <c r="B2918" t="str">
        <f>"300582"</f>
        <v>300582</v>
      </c>
      <c r="C2918" t="s">
        <v>6173</v>
      </c>
      <c r="D2918" t="s">
        <v>1044</v>
      </c>
      <c r="E2918">
        <v>260728916</v>
      </c>
      <c r="F2918">
        <v>230458129</v>
      </c>
      <c r="G2918">
        <v>167110206</v>
      </c>
      <c r="H2918">
        <v>187672532</v>
      </c>
      <c r="I2918">
        <v>175262665</v>
      </c>
      <c r="J2918">
        <v>122600151</v>
      </c>
      <c r="K2918">
        <v>127360888</v>
      </c>
      <c r="P2918">
        <v>152</v>
      </c>
      <c r="Q2918" t="s">
        <v>6174</v>
      </c>
    </row>
    <row r="2919" spans="1:17" x14ac:dyDescent="0.3">
      <c r="A2919" t="s">
        <v>17</v>
      </c>
      <c r="B2919" t="str">
        <f>"603819"</f>
        <v>603819</v>
      </c>
      <c r="C2919" t="s">
        <v>6175</v>
      </c>
      <c r="D2919" t="s">
        <v>1487</v>
      </c>
      <c r="E2919">
        <v>260595439</v>
      </c>
      <c r="F2919">
        <v>197535685</v>
      </c>
      <c r="G2919">
        <v>138010512</v>
      </c>
      <c r="H2919">
        <v>202878857</v>
      </c>
      <c r="I2919">
        <v>144424100</v>
      </c>
      <c r="J2919">
        <v>86360410</v>
      </c>
      <c r="K2919">
        <v>88695717</v>
      </c>
      <c r="P2919">
        <v>74</v>
      </c>
      <c r="Q2919" t="s">
        <v>6176</v>
      </c>
    </row>
    <row r="2920" spans="1:17" x14ac:dyDescent="0.3">
      <c r="A2920" t="s">
        <v>75</v>
      </c>
      <c r="B2920" t="str">
        <f>"002975"</f>
        <v>002975</v>
      </c>
      <c r="C2920" t="s">
        <v>6177</v>
      </c>
      <c r="D2920" t="s">
        <v>1352</v>
      </c>
      <c r="E2920">
        <v>260217409</v>
      </c>
      <c r="F2920">
        <v>282665211</v>
      </c>
      <c r="G2920">
        <v>199291391</v>
      </c>
      <c r="H2920">
        <v>233804816</v>
      </c>
      <c r="P2920">
        <v>293</v>
      </c>
      <c r="Q2920" t="s">
        <v>6178</v>
      </c>
    </row>
    <row r="2921" spans="1:17" x14ac:dyDescent="0.3">
      <c r="A2921" t="s">
        <v>75</v>
      </c>
      <c r="B2921" t="str">
        <f>"300833"</f>
        <v>300833</v>
      </c>
      <c r="C2921" t="s">
        <v>6179</v>
      </c>
      <c r="D2921" t="s">
        <v>1624</v>
      </c>
      <c r="E2921">
        <v>260126587</v>
      </c>
      <c r="F2921">
        <v>60630631</v>
      </c>
      <c r="G2921">
        <v>141809391</v>
      </c>
      <c r="H2921">
        <v>194829084</v>
      </c>
      <c r="P2921">
        <v>89</v>
      </c>
      <c r="Q2921" t="s">
        <v>6180</v>
      </c>
    </row>
    <row r="2922" spans="1:17" x14ac:dyDescent="0.3">
      <c r="A2922" t="s">
        <v>75</v>
      </c>
      <c r="B2922" t="str">
        <f>"000968"</f>
        <v>000968</v>
      </c>
      <c r="C2922" t="s">
        <v>6181</v>
      </c>
      <c r="D2922" t="s">
        <v>2175</v>
      </c>
      <c r="E2922">
        <v>259903846</v>
      </c>
      <c r="F2922">
        <v>268340093</v>
      </c>
      <c r="G2922">
        <v>193016250</v>
      </c>
      <c r="H2922">
        <v>292172775</v>
      </c>
      <c r="I2922">
        <v>224507506</v>
      </c>
      <c r="J2922">
        <v>165063156</v>
      </c>
      <c r="K2922">
        <v>795049349</v>
      </c>
      <c r="L2922">
        <v>271969494</v>
      </c>
      <c r="M2922">
        <v>548604754</v>
      </c>
      <c r="N2922">
        <v>795928368</v>
      </c>
      <c r="O2922">
        <v>1167942216</v>
      </c>
      <c r="P2922">
        <v>244</v>
      </c>
      <c r="Q2922" t="s">
        <v>6182</v>
      </c>
    </row>
    <row r="2923" spans="1:17" x14ac:dyDescent="0.3">
      <c r="A2923" t="s">
        <v>75</v>
      </c>
      <c r="B2923" t="str">
        <f>"300006"</f>
        <v>300006</v>
      </c>
      <c r="C2923" t="s">
        <v>6183</v>
      </c>
      <c r="D2923" t="s">
        <v>543</v>
      </c>
      <c r="E2923">
        <v>259387821</v>
      </c>
      <c r="F2923">
        <v>393068915</v>
      </c>
      <c r="G2923">
        <v>341077489</v>
      </c>
      <c r="H2923">
        <v>368264760</v>
      </c>
      <c r="I2923">
        <v>352221594</v>
      </c>
      <c r="J2923">
        <v>233095905</v>
      </c>
      <c r="K2923">
        <v>237631334</v>
      </c>
      <c r="L2923">
        <v>228981483</v>
      </c>
      <c r="M2923">
        <v>152606398</v>
      </c>
      <c r="N2923">
        <v>111888092</v>
      </c>
      <c r="O2923">
        <v>97896499</v>
      </c>
      <c r="P2923">
        <v>136</v>
      </c>
      <c r="Q2923" t="s">
        <v>6184</v>
      </c>
    </row>
    <row r="2924" spans="1:17" x14ac:dyDescent="0.3">
      <c r="A2924" t="s">
        <v>75</v>
      </c>
      <c r="B2924" t="str">
        <f>"300603"</f>
        <v>300603</v>
      </c>
      <c r="C2924" t="s">
        <v>6185</v>
      </c>
      <c r="D2924" t="s">
        <v>3310</v>
      </c>
      <c r="E2924">
        <v>259386936</v>
      </c>
      <c r="F2924">
        <v>187956658</v>
      </c>
      <c r="G2924">
        <v>278722238</v>
      </c>
      <c r="H2924">
        <v>198591926</v>
      </c>
      <c r="I2924">
        <v>69272994</v>
      </c>
      <c r="J2924">
        <v>75527013</v>
      </c>
      <c r="K2924">
        <v>52065327</v>
      </c>
      <c r="P2924">
        <v>196</v>
      </c>
      <c r="Q2924" t="s">
        <v>6186</v>
      </c>
    </row>
    <row r="2925" spans="1:17" x14ac:dyDescent="0.3">
      <c r="A2925" t="s">
        <v>75</v>
      </c>
      <c r="B2925" t="str">
        <f>"002566"</f>
        <v>002566</v>
      </c>
      <c r="C2925" t="s">
        <v>6187</v>
      </c>
      <c r="D2925" t="s">
        <v>321</v>
      </c>
      <c r="E2925">
        <v>259324292</v>
      </c>
      <c r="F2925">
        <v>236056670</v>
      </c>
      <c r="G2925">
        <v>228585063</v>
      </c>
      <c r="H2925">
        <v>259524461</v>
      </c>
      <c r="I2925">
        <v>294593405</v>
      </c>
      <c r="J2925">
        <v>270301029</v>
      </c>
      <c r="K2925">
        <v>242210034</v>
      </c>
      <c r="L2925">
        <v>191339398</v>
      </c>
      <c r="M2925">
        <v>225328910</v>
      </c>
      <c r="N2925">
        <v>178783743</v>
      </c>
      <c r="O2925">
        <v>183489172</v>
      </c>
      <c r="P2925">
        <v>134</v>
      </c>
      <c r="Q2925" t="s">
        <v>6188</v>
      </c>
    </row>
    <row r="2926" spans="1:17" x14ac:dyDescent="0.3">
      <c r="A2926" t="s">
        <v>17</v>
      </c>
      <c r="B2926" t="str">
        <f>"603848"</f>
        <v>603848</v>
      </c>
      <c r="C2926" t="s">
        <v>6189</v>
      </c>
      <c r="D2926" t="s">
        <v>1123</v>
      </c>
      <c r="E2926">
        <v>259290143</v>
      </c>
      <c r="F2926">
        <v>266692429</v>
      </c>
      <c r="G2926">
        <v>83407151</v>
      </c>
      <c r="H2926">
        <v>214485709</v>
      </c>
      <c r="I2926">
        <v>167924456</v>
      </c>
      <c r="J2926">
        <v>220548197</v>
      </c>
      <c r="P2926">
        <v>415</v>
      </c>
      <c r="Q2926" t="s">
        <v>6190</v>
      </c>
    </row>
    <row r="2927" spans="1:17" x14ac:dyDescent="0.3">
      <c r="A2927" t="s">
        <v>17</v>
      </c>
      <c r="B2927" t="str">
        <f>"603628"</f>
        <v>603628</v>
      </c>
      <c r="C2927" t="s">
        <v>6191</v>
      </c>
      <c r="D2927" t="s">
        <v>1512</v>
      </c>
      <c r="E2927">
        <v>259012322</v>
      </c>
      <c r="F2927">
        <v>178693895</v>
      </c>
      <c r="G2927">
        <v>153394835</v>
      </c>
      <c r="H2927">
        <v>315810371</v>
      </c>
      <c r="I2927">
        <v>122825930</v>
      </c>
      <c r="J2927">
        <v>159631929</v>
      </c>
      <c r="K2927">
        <v>88652422</v>
      </c>
      <c r="P2927">
        <v>80</v>
      </c>
      <c r="Q2927" t="s">
        <v>6192</v>
      </c>
    </row>
    <row r="2928" spans="1:17" x14ac:dyDescent="0.3">
      <c r="A2928" t="s">
        <v>75</v>
      </c>
      <c r="B2928" t="str">
        <f>"000068"</f>
        <v>000068</v>
      </c>
      <c r="C2928" t="s">
        <v>6193</v>
      </c>
      <c r="D2928" t="s">
        <v>2307</v>
      </c>
      <c r="E2928">
        <v>258664361</v>
      </c>
      <c r="F2928">
        <v>112206880</v>
      </c>
      <c r="G2928">
        <v>101692744</v>
      </c>
      <c r="H2928">
        <v>72425999</v>
      </c>
      <c r="I2928">
        <v>66266316</v>
      </c>
      <c r="J2928">
        <v>25408463</v>
      </c>
      <c r="K2928">
        <v>34259353</v>
      </c>
      <c r="L2928">
        <v>5157185</v>
      </c>
      <c r="M2928">
        <v>21978484</v>
      </c>
      <c r="N2928">
        <v>26949907</v>
      </c>
      <c r="O2928">
        <v>0</v>
      </c>
      <c r="P2928">
        <v>144</v>
      </c>
      <c r="Q2928" t="s">
        <v>6194</v>
      </c>
    </row>
    <row r="2929" spans="1:17" x14ac:dyDescent="0.3">
      <c r="A2929" t="s">
        <v>17</v>
      </c>
      <c r="B2929" t="str">
        <f>"605162"</f>
        <v>605162</v>
      </c>
      <c r="C2929" t="s">
        <v>6195</v>
      </c>
      <c r="D2929" t="s">
        <v>446</v>
      </c>
      <c r="E2929">
        <v>258547734</v>
      </c>
      <c r="F2929">
        <v>191585965</v>
      </c>
      <c r="P2929">
        <v>27</v>
      </c>
      <c r="Q2929" t="s">
        <v>6196</v>
      </c>
    </row>
    <row r="2930" spans="1:17" x14ac:dyDescent="0.3">
      <c r="A2930" t="s">
        <v>17</v>
      </c>
      <c r="B2930" t="str">
        <f>"600293"</f>
        <v>600293</v>
      </c>
      <c r="C2930" t="s">
        <v>6197</v>
      </c>
      <c r="D2930" t="s">
        <v>1436</v>
      </c>
      <c r="E2930">
        <v>258446478</v>
      </c>
      <c r="F2930">
        <v>392188739</v>
      </c>
      <c r="G2930">
        <v>458868602</v>
      </c>
      <c r="H2930">
        <v>1618470059</v>
      </c>
      <c r="I2930">
        <v>1909204106</v>
      </c>
      <c r="J2930">
        <v>1585690096</v>
      </c>
      <c r="K2930">
        <v>187488900</v>
      </c>
      <c r="L2930">
        <v>177647223</v>
      </c>
      <c r="M2930">
        <v>250173265</v>
      </c>
      <c r="N2930">
        <v>232996234</v>
      </c>
      <c r="O2930">
        <v>210382528</v>
      </c>
      <c r="P2930">
        <v>126</v>
      </c>
      <c r="Q2930" t="s">
        <v>6198</v>
      </c>
    </row>
    <row r="2931" spans="1:17" x14ac:dyDescent="0.3">
      <c r="A2931" t="s">
        <v>75</v>
      </c>
      <c r="B2931" t="str">
        <f>"002910"</f>
        <v>002910</v>
      </c>
      <c r="C2931" t="s">
        <v>6199</v>
      </c>
      <c r="D2931" t="s">
        <v>215</v>
      </c>
      <c r="E2931">
        <v>258042376</v>
      </c>
      <c r="F2931">
        <v>252717779</v>
      </c>
      <c r="G2931">
        <v>153313715</v>
      </c>
      <c r="H2931">
        <v>218158710</v>
      </c>
      <c r="I2931">
        <v>153078323</v>
      </c>
      <c r="J2931">
        <v>147799519</v>
      </c>
      <c r="P2931">
        <v>147</v>
      </c>
      <c r="Q2931" t="s">
        <v>6200</v>
      </c>
    </row>
    <row r="2932" spans="1:17" x14ac:dyDescent="0.3">
      <c r="A2932" t="s">
        <v>75</v>
      </c>
      <c r="B2932" t="str">
        <f>"300503"</f>
        <v>300503</v>
      </c>
      <c r="C2932" t="s">
        <v>6201</v>
      </c>
      <c r="D2932" t="s">
        <v>1424</v>
      </c>
      <c r="E2932">
        <v>257849713</v>
      </c>
      <c r="F2932">
        <v>196633745</v>
      </c>
      <c r="G2932">
        <v>188544906</v>
      </c>
      <c r="H2932">
        <v>62657718</v>
      </c>
      <c r="I2932">
        <v>138713337</v>
      </c>
      <c r="J2932">
        <v>99584323</v>
      </c>
      <c r="K2932">
        <v>46076867</v>
      </c>
      <c r="L2932">
        <v>44324800</v>
      </c>
      <c r="P2932">
        <v>136</v>
      </c>
      <c r="Q2932" t="s">
        <v>6202</v>
      </c>
    </row>
    <row r="2933" spans="1:17" x14ac:dyDescent="0.3">
      <c r="A2933" t="s">
        <v>17</v>
      </c>
      <c r="B2933" t="str">
        <f>"600135"</f>
        <v>600135</v>
      </c>
      <c r="C2933" t="s">
        <v>6203</v>
      </c>
      <c r="D2933" t="s">
        <v>2029</v>
      </c>
      <c r="E2933">
        <v>257660162</v>
      </c>
      <c r="F2933">
        <v>387249106</v>
      </c>
      <c r="G2933">
        <v>300419375</v>
      </c>
      <c r="H2933">
        <v>423602482</v>
      </c>
      <c r="I2933">
        <v>401094763</v>
      </c>
      <c r="J2933">
        <v>313592420</v>
      </c>
      <c r="K2933">
        <v>234325644</v>
      </c>
      <c r="L2933">
        <v>184779893</v>
      </c>
      <c r="M2933">
        <v>165733879</v>
      </c>
      <c r="N2933">
        <v>202153156</v>
      </c>
      <c r="O2933">
        <v>241601952</v>
      </c>
      <c r="P2933">
        <v>112</v>
      </c>
      <c r="Q2933" t="s">
        <v>6204</v>
      </c>
    </row>
    <row r="2934" spans="1:17" x14ac:dyDescent="0.3">
      <c r="A2934" t="s">
        <v>75</v>
      </c>
      <c r="B2934" t="str">
        <f>"301062"</f>
        <v>301062</v>
      </c>
      <c r="C2934" t="s">
        <v>6205</v>
      </c>
      <c r="D2934" t="s">
        <v>1176</v>
      </c>
      <c r="E2934">
        <v>257340612</v>
      </c>
      <c r="P2934">
        <v>13</v>
      </c>
      <c r="Q2934" t="s">
        <v>6206</v>
      </c>
    </row>
    <row r="2935" spans="1:17" x14ac:dyDescent="0.3">
      <c r="A2935" t="s">
        <v>17</v>
      </c>
      <c r="B2935" t="str">
        <f>"600225"</f>
        <v>600225</v>
      </c>
      <c r="C2935" t="s">
        <v>6207</v>
      </c>
      <c r="D2935" t="s">
        <v>65</v>
      </c>
      <c r="E2935">
        <v>257011316</v>
      </c>
      <c r="F2935">
        <v>241914984</v>
      </c>
      <c r="G2935">
        <v>260567299</v>
      </c>
      <c r="H2935">
        <v>284794380</v>
      </c>
      <c r="I2935">
        <v>286088285</v>
      </c>
      <c r="J2935">
        <v>1086666106</v>
      </c>
      <c r="K2935">
        <v>178293773</v>
      </c>
      <c r="L2935">
        <v>735479953</v>
      </c>
      <c r="M2935">
        <v>201376358</v>
      </c>
      <c r="N2935">
        <v>223275281</v>
      </c>
      <c r="O2935">
        <v>123911842</v>
      </c>
      <c r="P2935">
        <v>110</v>
      </c>
      <c r="Q2935" t="s">
        <v>6208</v>
      </c>
    </row>
    <row r="2936" spans="1:17" x14ac:dyDescent="0.3">
      <c r="A2936" t="s">
        <v>75</v>
      </c>
      <c r="B2936" t="str">
        <f>"002246"</f>
        <v>002246</v>
      </c>
      <c r="C2936" t="s">
        <v>6209</v>
      </c>
      <c r="D2936" t="s">
        <v>1830</v>
      </c>
      <c r="E2936">
        <v>256749172</v>
      </c>
      <c r="F2936">
        <v>336695674</v>
      </c>
      <c r="G2936">
        <v>367457575</v>
      </c>
      <c r="H2936">
        <v>470130399</v>
      </c>
      <c r="I2936">
        <v>272293031</v>
      </c>
      <c r="J2936">
        <v>161540553</v>
      </c>
      <c r="K2936">
        <v>145429215</v>
      </c>
      <c r="L2936">
        <v>248382364</v>
      </c>
      <c r="M2936">
        <v>333340891</v>
      </c>
      <c r="N2936">
        <v>227212214</v>
      </c>
      <c r="O2936">
        <v>271102023</v>
      </c>
      <c r="P2936">
        <v>117</v>
      </c>
      <c r="Q2936" t="s">
        <v>6210</v>
      </c>
    </row>
    <row r="2937" spans="1:17" x14ac:dyDescent="0.3">
      <c r="A2937" t="s">
        <v>75</v>
      </c>
      <c r="B2937" t="str">
        <f>"002451"</f>
        <v>002451</v>
      </c>
      <c r="C2937" t="s">
        <v>6211</v>
      </c>
      <c r="D2937" t="s">
        <v>562</v>
      </c>
      <c r="E2937">
        <v>256219896</v>
      </c>
      <c r="F2937">
        <v>188425570</v>
      </c>
      <c r="G2937">
        <v>120531783</v>
      </c>
      <c r="H2937">
        <v>190362028</v>
      </c>
      <c r="I2937">
        <v>250481458</v>
      </c>
      <c r="J2937">
        <v>181661027</v>
      </c>
      <c r="K2937">
        <v>186331688</v>
      </c>
      <c r="L2937">
        <v>129467776</v>
      </c>
      <c r="M2937">
        <v>115036230</v>
      </c>
      <c r="N2937">
        <v>86683707</v>
      </c>
      <c r="O2937">
        <v>108293556</v>
      </c>
      <c r="P2937">
        <v>105</v>
      </c>
      <c r="Q2937" t="s">
        <v>6212</v>
      </c>
    </row>
    <row r="2938" spans="1:17" x14ac:dyDescent="0.3">
      <c r="A2938" t="s">
        <v>17</v>
      </c>
      <c r="B2938" t="str">
        <f>"600689"</f>
        <v>600689</v>
      </c>
      <c r="C2938" t="s">
        <v>6213</v>
      </c>
      <c r="D2938" t="s">
        <v>2832</v>
      </c>
      <c r="E2938">
        <v>255925514</v>
      </c>
      <c r="F2938">
        <v>331022798</v>
      </c>
      <c r="G2938">
        <v>293475463</v>
      </c>
      <c r="H2938">
        <v>274005146</v>
      </c>
      <c r="I2938">
        <v>296087890</v>
      </c>
      <c r="J2938">
        <v>311438337</v>
      </c>
      <c r="K2938">
        <v>257889769</v>
      </c>
      <c r="L2938">
        <v>280054518</v>
      </c>
      <c r="M2938">
        <v>320933808</v>
      </c>
      <c r="N2938">
        <v>525714525</v>
      </c>
      <c r="O2938">
        <v>491360350</v>
      </c>
      <c r="P2938">
        <v>74</v>
      </c>
      <c r="Q2938" t="s">
        <v>6214</v>
      </c>
    </row>
    <row r="2939" spans="1:17" x14ac:dyDescent="0.3">
      <c r="A2939" t="s">
        <v>75</v>
      </c>
      <c r="B2939" t="str">
        <f>"002234"</f>
        <v>002234</v>
      </c>
      <c r="C2939" t="s">
        <v>6215</v>
      </c>
      <c r="D2939" t="s">
        <v>1200</v>
      </c>
      <c r="E2939">
        <v>255913531</v>
      </c>
      <c r="F2939">
        <v>507941486</v>
      </c>
      <c r="G2939">
        <v>446216406</v>
      </c>
      <c r="H2939">
        <v>730006899</v>
      </c>
      <c r="I2939">
        <v>316020467</v>
      </c>
      <c r="J2939">
        <v>231352371</v>
      </c>
      <c r="K2939">
        <v>296236334</v>
      </c>
      <c r="L2939">
        <v>231859779</v>
      </c>
      <c r="M2939">
        <v>240435333</v>
      </c>
      <c r="N2939">
        <v>244803666</v>
      </c>
      <c r="O2939">
        <v>298144180</v>
      </c>
      <c r="P2939">
        <v>577</v>
      </c>
      <c r="Q2939" t="s">
        <v>6216</v>
      </c>
    </row>
    <row r="2940" spans="1:17" x14ac:dyDescent="0.3">
      <c r="A2940" t="s">
        <v>75</v>
      </c>
      <c r="B2940" t="str">
        <f>"300188"</f>
        <v>300188</v>
      </c>
      <c r="C2940" t="s">
        <v>6217</v>
      </c>
      <c r="D2940" t="s">
        <v>116</v>
      </c>
      <c r="E2940">
        <v>255805685</v>
      </c>
      <c r="F2940">
        <v>314918423</v>
      </c>
      <c r="G2940">
        <v>233442828</v>
      </c>
      <c r="H2940">
        <v>232422226</v>
      </c>
      <c r="I2940">
        <v>148109382</v>
      </c>
      <c r="J2940">
        <v>167990721</v>
      </c>
      <c r="K2940">
        <v>234152241</v>
      </c>
      <c r="L2940">
        <v>129388167</v>
      </c>
      <c r="M2940">
        <v>92382673</v>
      </c>
      <c r="N2940">
        <v>60829105</v>
      </c>
      <c r="O2940">
        <v>64732388</v>
      </c>
      <c r="P2940">
        <v>557</v>
      </c>
      <c r="Q2940" t="s">
        <v>6218</v>
      </c>
    </row>
    <row r="2941" spans="1:17" x14ac:dyDescent="0.3">
      <c r="A2941" t="s">
        <v>75</v>
      </c>
      <c r="B2941" t="str">
        <f>"300427"</f>
        <v>300427</v>
      </c>
      <c r="C2941" t="s">
        <v>6219</v>
      </c>
      <c r="D2941" t="s">
        <v>682</v>
      </c>
      <c r="E2941">
        <v>254960502</v>
      </c>
      <c r="F2941">
        <v>287083000</v>
      </c>
      <c r="G2941">
        <v>193759030</v>
      </c>
      <c r="H2941">
        <v>274092496</v>
      </c>
      <c r="I2941">
        <v>210647588</v>
      </c>
      <c r="J2941">
        <v>95591608</v>
      </c>
      <c r="K2941">
        <v>82107814</v>
      </c>
      <c r="L2941">
        <v>52751520</v>
      </c>
      <c r="M2941">
        <v>48417435</v>
      </c>
      <c r="P2941">
        <v>249</v>
      </c>
      <c r="Q2941" t="s">
        <v>6220</v>
      </c>
    </row>
    <row r="2942" spans="1:17" x14ac:dyDescent="0.3">
      <c r="A2942" t="s">
        <v>17</v>
      </c>
      <c r="B2942" t="str">
        <f>"605218"</f>
        <v>605218</v>
      </c>
      <c r="C2942" t="s">
        <v>6221</v>
      </c>
      <c r="D2942" t="s">
        <v>128</v>
      </c>
      <c r="E2942">
        <v>254640042</v>
      </c>
      <c r="F2942">
        <v>355125229</v>
      </c>
      <c r="G2942">
        <v>229084484</v>
      </c>
      <c r="P2942">
        <v>56</v>
      </c>
      <c r="Q2942" t="s">
        <v>6222</v>
      </c>
    </row>
    <row r="2943" spans="1:17" x14ac:dyDescent="0.3">
      <c r="A2943" t="s">
        <v>17</v>
      </c>
      <c r="B2943" t="str">
        <f>"600444"</f>
        <v>600444</v>
      </c>
      <c r="C2943" t="s">
        <v>6223</v>
      </c>
      <c r="D2943" t="s">
        <v>1624</v>
      </c>
      <c r="E2943">
        <v>254624847</v>
      </c>
      <c r="F2943">
        <v>141671300</v>
      </c>
      <c r="G2943">
        <v>116629575</v>
      </c>
      <c r="H2943">
        <v>135113509</v>
      </c>
      <c r="I2943">
        <v>103884153</v>
      </c>
      <c r="J2943">
        <v>112015087</v>
      </c>
      <c r="K2943">
        <v>165421371</v>
      </c>
      <c r="L2943">
        <v>83406780</v>
      </c>
      <c r="M2943">
        <v>90494625</v>
      </c>
      <c r="N2943">
        <v>59823404</v>
      </c>
      <c r="O2943">
        <v>52221483</v>
      </c>
      <c r="P2943">
        <v>69</v>
      </c>
      <c r="Q2943" t="s">
        <v>6224</v>
      </c>
    </row>
    <row r="2944" spans="1:17" x14ac:dyDescent="0.3">
      <c r="A2944" t="s">
        <v>17</v>
      </c>
      <c r="B2944" t="str">
        <f>"688360"</f>
        <v>688360</v>
      </c>
      <c r="C2944" t="s">
        <v>6225</v>
      </c>
      <c r="D2944" t="s">
        <v>1424</v>
      </c>
      <c r="E2944">
        <v>254590215</v>
      </c>
      <c r="F2944">
        <v>279550839</v>
      </c>
      <c r="G2944">
        <v>134383363</v>
      </c>
      <c r="H2944">
        <v>180743368</v>
      </c>
      <c r="P2944">
        <v>84</v>
      </c>
      <c r="Q2944" t="s">
        <v>6226</v>
      </c>
    </row>
    <row r="2945" spans="1:17" x14ac:dyDescent="0.3">
      <c r="A2945" t="s">
        <v>75</v>
      </c>
      <c r="B2945" t="str">
        <f>"002900"</f>
        <v>002900</v>
      </c>
      <c r="C2945" t="s">
        <v>6227</v>
      </c>
      <c r="D2945" t="s">
        <v>543</v>
      </c>
      <c r="E2945">
        <v>254545834</v>
      </c>
      <c r="F2945">
        <v>252523910</v>
      </c>
      <c r="G2945">
        <v>337485783</v>
      </c>
      <c r="H2945">
        <v>555390078</v>
      </c>
      <c r="I2945">
        <v>503467074</v>
      </c>
      <c r="J2945">
        <v>155899115</v>
      </c>
      <c r="P2945">
        <v>196</v>
      </c>
      <c r="Q2945" t="s">
        <v>6228</v>
      </c>
    </row>
    <row r="2946" spans="1:17" x14ac:dyDescent="0.3">
      <c r="A2946" t="s">
        <v>75</v>
      </c>
      <c r="B2946" t="str">
        <f>"000533"</f>
        <v>000533</v>
      </c>
      <c r="C2946" t="s">
        <v>6229</v>
      </c>
      <c r="D2946" t="s">
        <v>347</v>
      </c>
      <c r="E2946">
        <v>253845609</v>
      </c>
      <c r="F2946">
        <v>276864944</v>
      </c>
      <c r="G2946">
        <v>256175808</v>
      </c>
      <c r="H2946">
        <v>220865692</v>
      </c>
      <c r="I2946">
        <v>3874101952</v>
      </c>
      <c r="J2946">
        <v>289560415</v>
      </c>
      <c r="K2946">
        <v>935676942</v>
      </c>
      <c r="L2946">
        <v>1019716257</v>
      </c>
      <c r="M2946">
        <v>979563817</v>
      </c>
      <c r="N2946">
        <v>619657222</v>
      </c>
      <c r="O2946">
        <v>478970781</v>
      </c>
      <c r="P2946">
        <v>101</v>
      </c>
      <c r="Q2946" t="s">
        <v>6230</v>
      </c>
    </row>
    <row r="2947" spans="1:17" x14ac:dyDescent="0.3">
      <c r="A2947" t="s">
        <v>17</v>
      </c>
      <c r="B2947" t="str">
        <f>"603025"</f>
        <v>603025</v>
      </c>
      <c r="C2947" t="s">
        <v>6231</v>
      </c>
      <c r="D2947" t="s">
        <v>1352</v>
      </c>
      <c r="E2947">
        <v>253812060</v>
      </c>
      <c r="F2947">
        <v>195777610</v>
      </c>
      <c r="G2947">
        <v>113041640</v>
      </c>
      <c r="H2947">
        <v>188204035</v>
      </c>
      <c r="I2947">
        <v>227637324</v>
      </c>
      <c r="J2947">
        <v>163640305</v>
      </c>
      <c r="K2947">
        <v>165158445</v>
      </c>
      <c r="L2947">
        <v>126343419</v>
      </c>
      <c r="M2947">
        <v>161312304</v>
      </c>
      <c r="P2947">
        <v>434</v>
      </c>
      <c r="Q2947" t="s">
        <v>6232</v>
      </c>
    </row>
    <row r="2948" spans="1:17" x14ac:dyDescent="0.3">
      <c r="A2948" t="s">
        <v>75</v>
      </c>
      <c r="B2948" t="str">
        <f>"300745"</f>
        <v>300745</v>
      </c>
      <c r="C2948" t="s">
        <v>6233</v>
      </c>
      <c r="D2948" t="s">
        <v>1321</v>
      </c>
      <c r="E2948">
        <v>253644864</v>
      </c>
      <c r="F2948">
        <v>99821139</v>
      </c>
      <c r="G2948">
        <v>165356003</v>
      </c>
      <c r="H2948">
        <v>212754708</v>
      </c>
      <c r="I2948">
        <v>26009689</v>
      </c>
      <c r="P2948">
        <v>76</v>
      </c>
      <c r="Q2948" t="s">
        <v>6234</v>
      </c>
    </row>
    <row r="2949" spans="1:17" x14ac:dyDescent="0.3">
      <c r="A2949" t="s">
        <v>17</v>
      </c>
      <c r="B2949" t="str">
        <f>"688299"</f>
        <v>688299</v>
      </c>
      <c r="C2949" t="s">
        <v>6235</v>
      </c>
      <c r="D2949" t="s">
        <v>128</v>
      </c>
      <c r="E2949">
        <v>253562392</v>
      </c>
      <c r="F2949">
        <v>237530643</v>
      </c>
      <c r="G2949">
        <v>139851240</v>
      </c>
      <c r="H2949">
        <v>129048274</v>
      </c>
      <c r="P2949">
        <v>239</v>
      </c>
      <c r="Q2949" t="s">
        <v>6236</v>
      </c>
    </row>
    <row r="2950" spans="1:17" x14ac:dyDescent="0.3">
      <c r="A2950" t="s">
        <v>17</v>
      </c>
      <c r="B2950" t="str">
        <f>"603196"</f>
        <v>603196</v>
      </c>
      <c r="C2950" t="s">
        <v>6237</v>
      </c>
      <c r="D2950" t="s">
        <v>814</v>
      </c>
      <c r="E2950">
        <v>253555370</v>
      </c>
      <c r="F2950">
        <v>271497506</v>
      </c>
      <c r="G2950">
        <v>170260870</v>
      </c>
      <c r="H2950">
        <v>340641994</v>
      </c>
      <c r="I2950">
        <v>336441864</v>
      </c>
      <c r="J2950">
        <v>305728191</v>
      </c>
      <c r="K2950">
        <v>0</v>
      </c>
      <c r="P2950">
        <v>70</v>
      </c>
      <c r="Q2950" t="s">
        <v>6238</v>
      </c>
    </row>
    <row r="2951" spans="1:17" x14ac:dyDescent="0.3">
      <c r="A2951" t="s">
        <v>75</v>
      </c>
      <c r="B2951" t="str">
        <f>"300939"</f>
        <v>300939</v>
      </c>
      <c r="C2951" t="s">
        <v>6239</v>
      </c>
      <c r="D2951" t="s">
        <v>128</v>
      </c>
      <c r="E2951">
        <v>253114958</v>
      </c>
      <c r="F2951">
        <v>181001505</v>
      </c>
      <c r="G2951">
        <v>167683910</v>
      </c>
      <c r="H2951">
        <v>0</v>
      </c>
      <c r="P2951">
        <v>31</v>
      </c>
      <c r="Q2951" t="s">
        <v>6240</v>
      </c>
    </row>
    <row r="2952" spans="1:17" x14ac:dyDescent="0.3">
      <c r="A2952" t="s">
        <v>75</v>
      </c>
      <c r="B2952" t="str">
        <f>"300287"</f>
        <v>300287</v>
      </c>
      <c r="C2952" t="s">
        <v>6241</v>
      </c>
      <c r="D2952" t="s">
        <v>224</v>
      </c>
      <c r="E2952">
        <v>252873477</v>
      </c>
      <c r="F2952">
        <v>269826637</v>
      </c>
      <c r="G2952">
        <v>248408615</v>
      </c>
      <c r="H2952">
        <v>727316995</v>
      </c>
      <c r="I2952">
        <v>367373622</v>
      </c>
      <c r="J2952">
        <v>406081381</v>
      </c>
      <c r="K2952">
        <v>336095117</v>
      </c>
      <c r="L2952">
        <v>194884173</v>
      </c>
      <c r="M2952">
        <v>58416481</v>
      </c>
      <c r="N2952">
        <v>55631260</v>
      </c>
      <c r="O2952">
        <v>34085735</v>
      </c>
      <c r="P2952">
        <v>288</v>
      </c>
      <c r="Q2952" t="s">
        <v>6242</v>
      </c>
    </row>
    <row r="2953" spans="1:17" x14ac:dyDescent="0.3">
      <c r="A2953" t="s">
        <v>75</v>
      </c>
      <c r="B2953" t="str">
        <f>"300019"</f>
        <v>300019</v>
      </c>
      <c r="C2953" t="s">
        <v>6243</v>
      </c>
      <c r="D2953" t="s">
        <v>1112</v>
      </c>
      <c r="E2953">
        <v>252617171</v>
      </c>
      <c r="F2953">
        <v>223757772</v>
      </c>
      <c r="G2953">
        <v>125504780</v>
      </c>
      <c r="H2953">
        <v>97264395</v>
      </c>
      <c r="I2953">
        <v>80751778</v>
      </c>
      <c r="J2953">
        <v>83611514</v>
      </c>
      <c r="K2953">
        <v>61726567</v>
      </c>
      <c r="L2953">
        <v>49364821</v>
      </c>
      <c r="M2953">
        <v>46404020</v>
      </c>
      <c r="N2953">
        <v>36082274</v>
      </c>
      <c r="O2953">
        <v>41727562</v>
      </c>
      <c r="P2953">
        <v>295</v>
      </c>
      <c r="Q2953" t="s">
        <v>6244</v>
      </c>
    </row>
    <row r="2954" spans="1:17" x14ac:dyDescent="0.3">
      <c r="A2954" t="s">
        <v>75</v>
      </c>
      <c r="B2954" t="str">
        <f>"002503"</f>
        <v>002503</v>
      </c>
      <c r="C2954" t="s">
        <v>6245</v>
      </c>
      <c r="D2954" t="s">
        <v>814</v>
      </c>
      <c r="E2954">
        <v>252549556</v>
      </c>
      <c r="F2954">
        <v>2256568938</v>
      </c>
      <c r="G2954">
        <v>2008038552</v>
      </c>
      <c r="H2954">
        <v>3432952718</v>
      </c>
      <c r="I2954">
        <v>5896316104</v>
      </c>
      <c r="J2954">
        <v>2790959168</v>
      </c>
      <c r="K2954">
        <v>903772735</v>
      </c>
      <c r="L2954">
        <v>438074674</v>
      </c>
      <c r="M2954">
        <v>311829917</v>
      </c>
      <c r="N2954">
        <v>410659250</v>
      </c>
      <c r="O2954">
        <v>313857996</v>
      </c>
      <c r="P2954">
        <v>244</v>
      </c>
      <c r="Q2954" t="s">
        <v>6246</v>
      </c>
    </row>
    <row r="2955" spans="1:17" x14ac:dyDescent="0.3">
      <c r="A2955" t="s">
        <v>75</v>
      </c>
      <c r="B2955" t="str">
        <f>"002949"</f>
        <v>002949</v>
      </c>
      <c r="C2955" t="s">
        <v>6247</v>
      </c>
      <c r="D2955" t="s">
        <v>2118</v>
      </c>
      <c r="E2955">
        <v>252507366</v>
      </c>
      <c r="F2955">
        <v>263893998</v>
      </c>
      <c r="G2955">
        <v>164042467</v>
      </c>
      <c r="H2955">
        <v>140257636</v>
      </c>
      <c r="I2955">
        <v>131391780</v>
      </c>
      <c r="P2955">
        <v>158</v>
      </c>
      <c r="Q2955" t="s">
        <v>6248</v>
      </c>
    </row>
    <row r="2956" spans="1:17" x14ac:dyDescent="0.3">
      <c r="A2956" t="s">
        <v>75</v>
      </c>
      <c r="B2956" t="str">
        <f>"002983"</f>
        <v>002983</v>
      </c>
      <c r="C2956" t="s">
        <v>6249</v>
      </c>
      <c r="D2956" t="s">
        <v>1044</v>
      </c>
      <c r="E2956">
        <v>252040536</v>
      </c>
      <c r="F2956">
        <v>139623399</v>
      </c>
      <c r="G2956">
        <v>132382268</v>
      </c>
      <c r="H2956">
        <v>97061778</v>
      </c>
      <c r="P2956">
        <v>109</v>
      </c>
      <c r="Q2956" t="s">
        <v>6250</v>
      </c>
    </row>
    <row r="2957" spans="1:17" x14ac:dyDescent="0.3">
      <c r="A2957" t="s">
        <v>75</v>
      </c>
      <c r="B2957" t="str">
        <f>"300725"</f>
        <v>300725</v>
      </c>
      <c r="C2957" t="s">
        <v>6251</v>
      </c>
      <c r="D2957" t="s">
        <v>716</v>
      </c>
      <c r="E2957">
        <v>251789957</v>
      </c>
      <c r="F2957">
        <v>402970636</v>
      </c>
      <c r="G2957">
        <v>202111979</v>
      </c>
      <c r="H2957">
        <v>129193694</v>
      </c>
      <c r="I2957">
        <v>124260178</v>
      </c>
      <c r="J2957">
        <v>52752214</v>
      </c>
      <c r="P2957">
        <v>1114</v>
      </c>
      <c r="Q2957" t="s">
        <v>6252</v>
      </c>
    </row>
    <row r="2958" spans="1:17" x14ac:dyDescent="0.3">
      <c r="A2958" t="s">
        <v>75</v>
      </c>
      <c r="B2958" t="str">
        <f>"300078"</f>
        <v>300078</v>
      </c>
      <c r="C2958" t="s">
        <v>6253</v>
      </c>
      <c r="D2958" t="s">
        <v>224</v>
      </c>
      <c r="E2958">
        <v>251234800</v>
      </c>
      <c r="F2958">
        <v>260043206</v>
      </c>
      <c r="G2958">
        <v>286909089</v>
      </c>
      <c r="H2958">
        <v>271604615</v>
      </c>
      <c r="I2958">
        <v>215080828</v>
      </c>
      <c r="J2958">
        <v>216683413</v>
      </c>
      <c r="K2958">
        <v>231509848</v>
      </c>
      <c r="L2958">
        <v>123119140</v>
      </c>
      <c r="M2958">
        <v>136564065</v>
      </c>
      <c r="N2958">
        <v>85052136</v>
      </c>
      <c r="O2958">
        <v>82592011</v>
      </c>
      <c r="P2958">
        <v>296</v>
      </c>
      <c r="Q2958" t="s">
        <v>6254</v>
      </c>
    </row>
    <row r="2959" spans="1:17" x14ac:dyDescent="0.3">
      <c r="A2959" t="s">
        <v>17</v>
      </c>
      <c r="B2959" t="str">
        <f>"600184"</f>
        <v>600184</v>
      </c>
      <c r="C2959" t="s">
        <v>6255</v>
      </c>
      <c r="D2959" t="s">
        <v>3072</v>
      </c>
      <c r="E2959">
        <v>251232868</v>
      </c>
      <c r="F2959">
        <v>409624527</v>
      </c>
      <c r="G2959">
        <v>156774660</v>
      </c>
      <c r="H2959">
        <v>200524177</v>
      </c>
      <c r="I2959">
        <v>770583790</v>
      </c>
      <c r="J2959">
        <v>174591355</v>
      </c>
      <c r="K2959">
        <v>131673728</v>
      </c>
      <c r="L2959">
        <v>124389860</v>
      </c>
      <c r="M2959">
        <v>179605772</v>
      </c>
      <c r="N2959">
        <v>166562294</v>
      </c>
      <c r="O2959">
        <v>344579631</v>
      </c>
      <c r="P2959">
        <v>143</v>
      </c>
      <c r="Q2959" t="s">
        <v>6256</v>
      </c>
    </row>
    <row r="2960" spans="1:17" x14ac:dyDescent="0.3">
      <c r="A2960" t="s">
        <v>75</v>
      </c>
      <c r="B2960" t="str">
        <f>"300056"</f>
        <v>300056</v>
      </c>
      <c r="C2960" t="s">
        <v>6257</v>
      </c>
      <c r="D2960" t="s">
        <v>2317</v>
      </c>
      <c r="E2960">
        <v>251168602</v>
      </c>
      <c r="F2960">
        <v>296781386</v>
      </c>
      <c r="G2960">
        <v>351437077</v>
      </c>
      <c r="H2960">
        <v>370710034</v>
      </c>
      <c r="I2960">
        <v>338403167</v>
      </c>
      <c r="J2960">
        <v>250073621</v>
      </c>
      <c r="K2960">
        <v>92740628</v>
      </c>
      <c r="L2960">
        <v>122834183</v>
      </c>
      <c r="M2960">
        <v>76094778</v>
      </c>
      <c r="N2960">
        <v>59234501</v>
      </c>
      <c r="O2960">
        <v>56229695</v>
      </c>
      <c r="P2960">
        <v>87</v>
      </c>
      <c r="Q2960" t="s">
        <v>6258</v>
      </c>
    </row>
    <row r="2961" spans="1:17" x14ac:dyDescent="0.3">
      <c r="A2961" t="s">
        <v>17</v>
      </c>
      <c r="B2961" t="str">
        <f>"600715"</f>
        <v>600715</v>
      </c>
      <c r="C2961" t="s">
        <v>6259</v>
      </c>
      <c r="D2961" t="s">
        <v>1165</v>
      </c>
      <c r="E2961">
        <v>250791507</v>
      </c>
      <c r="F2961">
        <v>258680735</v>
      </c>
      <c r="G2961">
        <v>159662161</v>
      </c>
      <c r="H2961">
        <v>511461163</v>
      </c>
      <c r="I2961">
        <v>481038428</v>
      </c>
      <c r="J2961">
        <v>833836025</v>
      </c>
      <c r="K2961">
        <v>577598698</v>
      </c>
      <c r="L2961">
        <v>14396949</v>
      </c>
      <c r="M2961">
        <v>4672821</v>
      </c>
      <c r="N2961">
        <v>4973496</v>
      </c>
      <c r="O2961">
        <v>490592</v>
      </c>
      <c r="P2961">
        <v>127</v>
      </c>
      <c r="Q2961" t="s">
        <v>6260</v>
      </c>
    </row>
    <row r="2962" spans="1:17" x14ac:dyDescent="0.3">
      <c r="A2962" t="s">
        <v>75</v>
      </c>
      <c r="B2962" t="str">
        <f>"002337"</f>
        <v>002337</v>
      </c>
      <c r="C2962" t="s">
        <v>6261</v>
      </c>
      <c r="D2962" t="s">
        <v>1624</v>
      </c>
      <c r="E2962">
        <v>250418190</v>
      </c>
      <c r="F2962">
        <v>96709335</v>
      </c>
      <c r="G2962">
        <v>164966127</v>
      </c>
      <c r="H2962">
        <v>146605609</v>
      </c>
      <c r="I2962">
        <v>125113031</v>
      </c>
      <c r="J2962">
        <v>105328298</v>
      </c>
      <c r="K2962">
        <v>86120671</v>
      </c>
      <c r="L2962">
        <v>100374373</v>
      </c>
      <c r="M2962">
        <v>145015319</v>
      </c>
      <c r="N2962">
        <v>149232659</v>
      </c>
      <c r="O2962">
        <v>135983122</v>
      </c>
      <c r="P2962">
        <v>92</v>
      </c>
      <c r="Q2962" t="s">
        <v>6262</v>
      </c>
    </row>
    <row r="2963" spans="1:17" x14ac:dyDescent="0.3">
      <c r="A2963" t="s">
        <v>75</v>
      </c>
      <c r="B2963" t="str">
        <f>"300916"</f>
        <v>300916</v>
      </c>
      <c r="C2963" t="s">
        <v>6263</v>
      </c>
      <c r="D2963" t="s">
        <v>55</v>
      </c>
      <c r="E2963">
        <v>250291912</v>
      </c>
      <c r="F2963">
        <v>239730565</v>
      </c>
      <c r="G2963">
        <v>106084337</v>
      </c>
      <c r="P2963">
        <v>79</v>
      </c>
      <c r="Q2963" t="s">
        <v>6264</v>
      </c>
    </row>
    <row r="2964" spans="1:17" x14ac:dyDescent="0.3">
      <c r="A2964" t="s">
        <v>75</v>
      </c>
      <c r="B2964" t="str">
        <f>"300928"</f>
        <v>300928</v>
      </c>
      <c r="C2964" t="s">
        <v>6265</v>
      </c>
      <c r="D2964" t="s">
        <v>433</v>
      </c>
      <c r="E2964">
        <v>249845804</v>
      </c>
      <c r="F2964">
        <v>186197139</v>
      </c>
      <c r="G2964">
        <v>125150769</v>
      </c>
      <c r="H2964">
        <v>0</v>
      </c>
      <c r="P2964">
        <v>27</v>
      </c>
      <c r="Q2964" t="s">
        <v>6266</v>
      </c>
    </row>
    <row r="2965" spans="1:17" x14ac:dyDescent="0.3">
      <c r="A2965" t="s">
        <v>75</v>
      </c>
      <c r="B2965" t="str">
        <f>"002530"</f>
        <v>002530</v>
      </c>
      <c r="C2965" t="s">
        <v>6267</v>
      </c>
      <c r="D2965" t="s">
        <v>224</v>
      </c>
      <c r="E2965">
        <v>249081868</v>
      </c>
      <c r="F2965">
        <v>231980874</v>
      </c>
      <c r="G2965">
        <v>159153256</v>
      </c>
      <c r="H2965">
        <v>185595528</v>
      </c>
      <c r="I2965">
        <v>187062744</v>
      </c>
      <c r="J2965">
        <v>102177573</v>
      </c>
      <c r="K2965">
        <v>85202545</v>
      </c>
      <c r="L2965">
        <v>77413935</v>
      </c>
      <c r="M2965">
        <v>80355398</v>
      </c>
      <c r="N2965">
        <v>60590201</v>
      </c>
      <c r="O2965">
        <v>76010729</v>
      </c>
      <c r="P2965">
        <v>135</v>
      </c>
      <c r="Q2965" t="s">
        <v>6268</v>
      </c>
    </row>
    <row r="2966" spans="1:17" x14ac:dyDescent="0.3">
      <c r="A2966" t="s">
        <v>75</v>
      </c>
      <c r="B2966" t="str">
        <f>"300005"</f>
        <v>300005</v>
      </c>
      <c r="C2966" t="s">
        <v>6269</v>
      </c>
      <c r="D2966" t="s">
        <v>5123</v>
      </c>
      <c r="E2966">
        <v>249075740</v>
      </c>
      <c r="F2966">
        <v>245632825</v>
      </c>
      <c r="G2966">
        <v>146643069</v>
      </c>
      <c r="H2966">
        <v>347814624</v>
      </c>
      <c r="I2966">
        <v>447167639</v>
      </c>
      <c r="J2966">
        <v>565748424</v>
      </c>
      <c r="K2966">
        <v>536149694</v>
      </c>
      <c r="L2966">
        <v>446583583</v>
      </c>
      <c r="M2966">
        <v>348621120</v>
      </c>
      <c r="N2966">
        <v>300009498</v>
      </c>
      <c r="O2966">
        <v>204076631</v>
      </c>
      <c r="P2966">
        <v>181</v>
      </c>
      <c r="Q2966" t="s">
        <v>6270</v>
      </c>
    </row>
    <row r="2967" spans="1:17" x14ac:dyDescent="0.3">
      <c r="A2967" t="s">
        <v>75</v>
      </c>
      <c r="B2967" t="str">
        <f>"300154"</f>
        <v>300154</v>
      </c>
      <c r="C2967" t="s">
        <v>6271</v>
      </c>
      <c r="D2967" t="s">
        <v>1424</v>
      </c>
      <c r="E2967">
        <v>248380428</v>
      </c>
      <c r="F2967">
        <v>184617587</v>
      </c>
      <c r="G2967">
        <v>80135034</v>
      </c>
      <c r="H2967">
        <v>111175761</v>
      </c>
      <c r="I2967">
        <v>125741201</v>
      </c>
      <c r="J2967">
        <v>148807594</v>
      </c>
      <c r="K2967">
        <v>106797635</v>
      </c>
      <c r="L2967">
        <v>120086615</v>
      </c>
      <c r="M2967">
        <v>122537417</v>
      </c>
      <c r="N2967">
        <v>124354065</v>
      </c>
      <c r="O2967">
        <v>126384576</v>
      </c>
      <c r="P2967">
        <v>82</v>
      </c>
      <c r="Q2967" t="s">
        <v>6272</v>
      </c>
    </row>
    <row r="2968" spans="1:17" x14ac:dyDescent="0.3">
      <c r="A2968" t="s">
        <v>17</v>
      </c>
      <c r="B2968" t="str">
        <f>"603066"</f>
        <v>603066</v>
      </c>
      <c r="C2968" t="s">
        <v>6273</v>
      </c>
      <c r="D2968" t="s">
        <v>93</v>
      </c>
      <c r="E2968">
        <v>248209585</v>
      </c>
      <c r="F2968">
        <v>156167576</v>
      </c>
      <c r="G2968">
        <v>142229742</v>
      </c>
      <c r="H2968">
        <v>93927296</v>
      </c>
      <c r="I2968">
        <v>137158124</v>
      </c>
      <c r="J2968">
        <v>118999532</v>
      </c>
      <c r="K2968">
        <v>154145262</v>
      </c>
      <c r="L2968">
        <v>0</v>
      </c>
      <c r="M2968">
        <v>0</v>
      </c>
      <c r="P2968">
        <v>116</v>
      </c>
      <c r="Q2968" t="s">
        <v>6274</v>
      </c>
    </row>
    <row r="2969" spans="1:17" x14ac:dyDescent="0.3">
      <c r="A2969" t="s">
        <v>17</v>
      </c>
      <c r="B2969" t="str">
        <f>"603311"</f>
        <v>603311</v>
      </c>
      <c r="C2969" t="s">
        <v>6275</v>
      </c>
      <c r="D2969" t="s">
        <v>1063</v>
      </c>
      <c r="E2969">
        <v>247764069</v>
      </c>
      <c r="F2969">
        <v>161367324</v>
      </c>
      <c r="G2969">
        <v>175879586</v>
      </c>
      <c r="H2969">
        <v>151065341</v>
      </c>
      <c r="I2969">
        <v>136084155</v>
      </c>
      <c r="J2969">
        <v>129165462</v>
      </c>
      <c r="K2969">
        <v>113245247</v>
      </c>
      <c r="L2969">
        <v>79449759</v>
      </c>
      <c r="M2969">
        <v>99558139</v>
      </c>
      <c r="P2969">
        <v>96</v>
      </c>
      <c r="Q2969" t="s">
        <v>6276</v>
      </c>
    </row>
    <row r="2970" spans="1:17" x14ac:dyDescent="0.3">
      <c r="A2970" t="s">
        <v>75</v>
      </c>
      <c r="B2970" t="str">
        <f>"300952"</f>
        <v>300952</v>
      </c>
      <c r="C2970" t="s">
        <v>6277</v>
      </c>
      <c r="D2970" t="s">
        <v>2921</v>
      </c>
      <c r="E2970">
        <v>247530442</v>
      </c>
      <c r="F2970">
        <v>239419230</v>
      </c>
      <c r="G2970">
        <v>147462109</v>
      </c>
      <c r="P2970">
        <v>38</v>
      </c>
      <c r="Q2970" t="s">
        <v>6278</v>
      </c>
    </row>
    <row r="2971" spans="1:17" x14ac:dyDescent="0.3">
      <c r="A2971" t="s">
        <v>17</v>
      </c>
      <c r="B2971" t="str">
        <f>"688022"</f>
        <v>688022</v>
      </c>
      <c r="C2971" t="s">
        <v>6279</v>
      </c>
      <c r="D2971" t="s">
        <v>1624</v>
      </c>
      <c r="E2971">
        <v>247484071</v>
      </c>
      <c r="F2971">
        <v>134644346</v>
      </c>
      <c r="G2971">
        <v>96349051</v>
      </c>
      <c r="H2971">
        <v>96844505</v>
      </c>
      <c r="I2971">
        <v>0</v>
      </c>
      <c r="P2971">
        <v>164</v>
      </c>
      <c r="Q2971" t="s">
        <v>6280</v>
      </c>
    </row>
    <row r="2972" spans="1:17" x14ac:dyDescent="0.3">
      <c r="A2972" t="s">
        <v>75</v>
      </c>
      <c r="B2972" t="str">
        <f>"002684"</f>
        <v>002684</v>
      </c>
      <c r="C2972" t="s">
        <v>6281</v>
      </c>
      <c r="D2972" t="s">
        <v>3620</v>
      </c>
      <c r="E2972">
        <v>247448358</v>
      </c>
      <c r="F2972">
        <v>285976350</v>
      </c>
      <c r="G2972">
        <v>220270103</v>
      </c>
      <c r="H2972">
        <v>444968225</v>
      </c>
      <c r="I2972">
        <v>631330854</v>
      </c>
      <c r="J2972">
        <v>532152242</v>
      </c>
      <c r="K2972">
        <v>209895429</v>
      </c>
      <c r="L2972">
        <v>138561816</v>
      </c>
      <c r="M2972">
        <v>106351688</v>
      </c>
      <c r="N2972">
        <v>104113771</v>
      </c>
      <c r="O2972">
        <v>143758775</v>
      </c>
      <c r="P2972">
        <v>91</v>
      </c>
      <c r="Q2972" t="s">
        <v>6282</v>
      </c>
    </row>
    <row r="2973" spans="1:17" x14ac:dyDescent="0.3">
      <c r="A2973" t="s">
        <v>75</v>
      </c>
      <c r="B2973" t="str">
        <f>"002021"</f>
        <v>002021</v>
      </c>
      <c r="C2973" t="s">
        <v>6283</v>
      </c>
      <c r="D2973" t="s">
        <v>2265</v>
      </c>
      <c r="E2973">
        <v>247428545</v>
      </c>
      <c r="F2973">
        <v>217954065</v>
      </c>
      <c r="G2973">
        <v>124265152</v>
      </c>
      <c r="H2973">
        <v>285727032</v>
      </c>
      <c r="I2973">
        <v>353306545</v>
      </c>
      <c r="J2973">
        <v>225825834</v>
      </c>
      <c r="K2973">
        <v>191615995</v>
      </c>
      <c r="L2973">
        <v>327660165</v>
      </c>
      <c r="M2973">
        <v>346996927</v>
      </c>
      <c r="N2973">
        <v>263220607</v>
      </c>
      <c r="O2973">
        <v>375351156</v>
      </c>
      <c r="P2973">
        <v>57</v>
      </c>
      <c r="Q2973" t="s">
        <v>6284</v>
      </c>
    </row>
    <row r="2974" spans="1:17" x14ac:dyDescent="0.3">
      <c r="A2974" t="s">
        <v>17</v>
      </c>
      <c r="B2974" t="str">
        <f>"600628"</f>
        <v>600628</v>
      </c>
      <c r="C2974" t="s">
        <v>6285</v>
      </c>
      <c r="D2974" t="s">
        <v>582</v>
      </c>
      <c r="E2974">
        <v>247223209</v>
      </c>
      <c r="F2974">
        <v>279368643</v>
      </c>
      <c r="G2974">
        <v>486518350</v>
      </c>
      <c r="H2974">
        <v>752063228</v>
      </c>
      <c r="I2974">
        <v>769479968</v>
      </c>
      <c r="J2974">
        <v>774175792</v>
      </c>
      <c r="K2974">
        <v>855449541</v>
      </c>
      <c r="L2974">
        <v>1009569376</v>
      </c>
      <c r="M2974">
        <v>979527921</v>
      </c>
      <c r="N2974">
        <v>979438819</v>
      </c>
      <c r="O2974">
        <v>939141581</v>
      </c>
      <c r="P2974">
        <v>112</v>
      </c>
      <c r="Q2974" t="s">
        <v>6286</v>
      </c>
    </row>
    <row r="2975" spans="1:17" x14ac:dyDescent="0.3">
      <c r="A2975" t="s">
        <v>17</v>
      </c>
      <c r="B2975" t="str">
        <f>"605378"</f>
        <v>605378</v>
      </c>
      <c r="C2975" t="s">
        <v>6287</v>
      </c>
      <c r="D2975" t="s">
        <v>605</v>
      </c>
      <c r="E2975">
        <v>247203079</v>
      </c>
      <c r="F2975">
        <v>256668266</v>
      </c>
      <c r="G2975">
        <v>193603525</v>
      </c>
      <c r="P2975">
        <v>32</v>
      </c>
      <c r="Q2975" t="s">
        <v>6288</v>
      </c>
    </row>
    <row r="2976" spans="1:17" x14ac:dyDescent="0.3">
      <c r="A2976" t="s">
        <v>75</v>
      </c>
      <c r="B2976" t="str">
        <f>"300456"</f>
        <v>300456</v>
      </c>
      <c r="C2976" t="s">
        <v>6289</v>
      </c>
      <c r="D2976" t="s">
        <v>1629</v>
      </c>
      <c r="E2976">
        <v>247072439</v>
      </c>
      <c r="F2976">
        <v>217015892</v>
      </c>
      <c r="G2976">
        <v>192500646</v>
      </c>
      <c r="H2976">
        <v>228567949</v>
      </c>
      <c r="I2976">
        <v>97468020</v>
      </c>
      <c r="J2976">
        <v>121216762</v>
      </c>
      <c r="K2976">
        <v>28705541</v>
      </c>
      <c r="L2976">
        <v>0</v>
      </c>
      <c r="M2976">
        <v>0</v>
      </c>
      <c r="P2976">
        <v>376</v>
      </c>
      <c r="Q2976" t="s">
        <v>6290</v>
      </c>
    </row>
    <row r="2977" spans="1:17" x14ac:dyDescent="0.3">
      <c r="A2977" t="s">
        <v>17</v>
      </c>
      <c r="B2977" t="str">
        <f>"688131"</f>
        <v>688131</v>
      </c>
      <c r="C2977" t="s">
        <v>6291</v>
      </c>
      <c r="D2977" t="s">
        <v>1242</v>
      </c>
      <c r="E2977">
        <v>247057981</v>
      </c>
      <c r="F2977">
        <v>184652201</v>
      </c>
      <c r="G2977">
        <v>78408515</v>
      </c>
      <c r="P2977">
        <v>88</v>
      </c>
      <c r="Q2977" t="s">
        <v>6292</v>
      </c>
    </row>
    <row r="2978" spans="1:17" x14ac:dyDescent="0.3">
      <c r="A2978" t="s">
        <v>17</v>
      </c>
      <c r="B2978" t="str">
        <f>"601698"</f>
        <v>601698</v>
      </c>
      <c r="C2978" t="s">
        <v>6293</v>
      </c>
      <c r="D2978" t="s">
        <v>2083</v>
      </c>
      <c r="E2978">
        <v>246980907</v>
      </c>
      <c r="F2978">
        <v>313809322</v>
      </c>
      <c r="G2978">
        <v>345712851</v>
      </c>
      <c r="H2978">
        <v>0</v>
      </c>
      <c r="I2978">
        <v>0</v>
      </c>
      <c r="P2978">
        <v>316</v>
      </c>
      <c r="Q2978" t="s">
        <v>6294</v>
      </c>
    </row>
    <row r="2979" spans="1:17" x14ac:dyDescent="0.3">
      <c r="A2979" t="s">
        <v>17</v>
      </c>
      <c r="B2979" t="str">
        <f>"605133"</f>
        <v>605133</v>
      </c>
      <c r="C2979" t="s">
        <v>6295</v>
      </c>
      <c r="D2979" t="s">
        <v>172</v>
      </c>
      <c r="E2979">
        <v>246129454</v>
      </c>
      <c r="F2979">
        <v>260190012</v>
      </c>
      <c r="G2979">
        <v>235254863</v>
      </c>
      <c r="P2979">
        <v>36</v>
      </c>
      <c r="Q2979" t="s">
        <v>6296</v>
      </c>
    </row>
    <row r="2980" spans="1:17" x14ac:dyDescent="0.3">
      <c r="A2980" t="s">
        <v>75</v>
      </c>
      <c r="B2980" t="str">
        <f>"300497"</f>
        <v>300497</v>
      </c>
      <c r="C2980" t="s">
        <v>6297</v>
      </c>
      <c r="D2980" t="s">
        <v>1242</v>
      </c>
      <c r="E2980">
        <v>246083865</v>
      </c>
      <c r="F2980">
        <v>200214687</v>
      </c>
      <c r="G2980">
        <v>254564722</v>
      </c>
      <c r="H2980">
        <v>116312571</v>
      </c>
      <c r="I2980">
        <v>168968348</v>
      </c>
      <c r="J2980">
        <v>192405301</v>
      </c>
      <c r="K2980">
        <v>106958737</v>
      </c>
      <c r="L2980">
        <v>62290124</v>
      </c>
      <c r="M2980">
        <v>53220946</v>
      </c>
      <c r="P2980">
        <v>4722</v>
      </c>
      <c r="Q2980" t="s">
        <v>6298</v>
      </c>
    </row>
    <row r="2981" spans="1:17" x14ac:dyDescent="0.3">
      <c r="A2981" t="s">
        <v>75</v>
      </c>
      <c r="B2981" t="str">
        <f>"002282"</f>
        <v>002282</v>
      </c>
      <c r="C2981" t="s">
        <v>6299</v>
      </c>
      <c r="D2981" t="s">
        <v>3587</v>
      </c>
      <c r="E2981">
        <v>245642697</v>
      </c>
      <c r="F2981">
        <v>299600460</v>
      </c>
      <c r="G2981">
        <v>160149318</v>
      </c>
      <c r="H2981">
        <v>187922076</v>
      </c>
      <c r="I2981">
        <v>176678931</v>
      </c>
      <c r="J2981">
        <v>103699210</v>
      </c>
      <c r="K2981">
        <v>95549097</v>
      </c>
      <c r="L2981">
        <v>94610969</v>
      </c>
      <c r="M2981">
        <v>135548446</v>
      </c>
      <c r="N2981">
        <v>73944509</v>
      </c>
      <c r="O2981">
        <v>114049381</v>
      </c>
      <c r="P2981">
        <v>97</v>
      </c>
      <c r="Q2981" t="s">
        <v>6300</v>
      </c>
    </row>
    <row r="2982" spans="1:17" x14ac:dyDescent="0.3">
      <c r="A2982" t="s">
        <v>75</v>
      </c>
      <c r="B2982" t="str">
        <f>"301009"</f>
        <v>301009</v>
      </c>
      <c r="C2982" t="s">
        <v>6301</v>
      </c>
      <c r="D2982" t="s">
        <v>1636</v>
      </c>
      <c r="E2982">
        <v>245220247</v>
      </c>
      <c r="F2982">
        <v>323195163</v>
      </c>
      <c r="G2982">
        <v>325194129</v>
      </c>
      <c r="P2982">
        <v>59</v>
      </c>
      <c r="Q2982" t="s">
        <v>6302</v>
      </c>
    </row>
    <row r="2983" spans="1:17" x14ac:dyDescent="0.3">
      <c r="A2983" t="s">
        <v>75</v>
      </c>
      <c r="B2983" t="str">
        <f>"002412"</f>
        <v>002412</v>
      </c>
      <c r="C2983" t="s">
        <v>6303</v>
      </c>
      <c r="D2983" t="s">
        <v>321</v>
      </c>
      <c r="E2983">
        <v>244985287</v>
      </c>
      <c r="F2983">
        <v>235613681</v>
      </c>
      <c r="G2983">
        <v>187546054</v>
      </c>
      <c r="H2983">
        <v>197195489</v>
      </c>
      <c r="I2983">
        <v>200988473</v>
      </c>
      <c r="J2983">
        <v>168085851</v>
      </c>
      <c r="K2983">
        <v>197774108</v>
      </c>
      <c r="L2983">
        <v>166468611</v>
      </c>
      <c r="M2983">
        <v>168674981</v>
      </c>
      <c r="N2983">
        <v>123646334</v>
      </c>
      <c r="O2983">
        <v>109323372</v>
      </c>
      <c r="P2983">
        <v>155</v>
      </c>
      <c r="Q2983" t="s">
        <v>6304</v>
      </c>
    </row>
    <row r="2984" spans="1:17" x14ac:dyDescent="0.3">
      <c r="A2984" t="s">
        <v>17</v>
      </c>
      <c r="B2984" t="str">
        <f>"603316"</f>
        <v>603316</v>
      </c>
      <c r="C2984" t="s">
        <v>6305</v>
      </c>
      <c r="D2984" t="s">
        <v>1523</v>
      </c>
      <c r="E2984">
        <v>244944418</v>
      </c>
      <c r="F2984">
        <v>249715182</v>
      </c>
      <c r="G2984">
        <v>229394188</v>
      </c>
      <c r="H2984">
        <v>238262378</v>
      </c>
      <c r="I2984">
        <v>236277470</v>
      </c>
      <c r="J2984">
        <v>190905902</v>
      </c>
      <c r="K2984">
        <v>136487273</v>
      </c>
      <c r="P2984">
        <v>59</v>
      </c>
      <c r="Q2984" t="s">
        <v>6306</v>
      </c>
    </row>
    <row r="2985" spans="1:17" x14ac:dyDescent="0.3">
      <c r="A2985" t="s">
        <v>75</v>
      </c>
      <c r="B2985" t="str">
        <f>"000159"</f>
        <v>000159</v>
      </c>
      <c r="C2985" t="s">
        <v>6307</v>
      </c>
      <c r="D2985" t="s">
        <v>559</v>
      </c>
      <c r="E2985">
        <v>244854718</v>
      </c>
      <c r="F2985">
        <v>174483657</v>
      </c>
      <c r="G2985">
        <v>10249914</v>
      </c>
      <c r="H2985">
        <v>80077074</v>
      </c>
      <c r="I2985">
        <v>154188278</v>
      </c>
      <c r="J2985">
        <v>83794503</v>
      </c>
      <c r="K2985">
        <v>81874199</v>
      </c>
      <c r="L2985">
        <v>239922948</v>
      </c>
      <c r="M2985">
        <v>272062410</v>
      </c>
      <c r="N2985">
        <v>189854678</v>
      </c>
      <c r="O2985">
        <v>498706167</v>
      </c>
      <c r="P2985">
        <v>100</v>
      </c>
      <c r="Q2985" t="s">
        <v>6308</v>
      </c>
    </row>
    <row r="2986" spans="1:17" x14ac:dyDescent="0.3">
      <c r="A2986" t="s">
        <v>75</v>
      </c>
      <c r="B2986" t="str">
        <f>"300289"</f>
        <v>300289</v>
      </c>
      <c r="C2986" t="s">
        <v>6309</v>
      </c>
      <c r="D2986" t="s">
        <v>967</v>
      </c>
      <c r="E2986">
        <v>244844038</v>
      </c>
      <c r="F2986">
        <v>152666402</v>
      </c>
      <c r="G2986">
        <v>118957988</v>
      </c>
      <c r="H2986">
        <v>176532905</v>
      </c>
      <c r="I2986">
        <v>182530735</v>
      </c>
      <c r="J2986">
        <v>127347835</v>
      </c>
      <c r="K2986">
        <v>220405849</v>
      </c>
      <c r="L2986">
        <v>229734243</v>
      </c>
      <c r="M2986">
        <v>52841329</v>
      </c>
      <c r="N2986">
        <v>78274008</v>
      </c>
      <c r="O2986">
        <v>67398054</v>
      </c>
      <c r="P2986">
        <v>132</v>
      </c>
      <c r="Q2986" t="s">
        <v>6310</v>
      </c>
    </row>
    <row r="2987" spans="1:17" x14ac:dyDescent="0.3">
      <c r="A2987" t="s">
        <v>17</v>
      </c>
      <c r="B2987" t="str">
        <f>"603166"</f>
        <v>603166</v>
      </c>
      <c r="C2987" t="s">
        <v>6311</v>
      </c>
      <c r="D2987" t="s">
        <v>172</v>
      </c>
      <c r="E2987">
        <v>244840737</v>
      </c>
      <c r="F2987">
        <v>501603186</v>
      </c>
      <c r="G2987">
        <v>280336212</v>
      </c>
      <c r="H2987">
        <v>380480670</v>
      </c>
      <c r="I2987">
        <v>363970597</v>
      </c>
      <c r="J2987">
        <v>183029397</v>
      </c>
      <c r="K2987">
        <v>287934141</v>
      </c>
      <c r="L2987">
        <v>269655284</v>
      </c>
      <c r="M2987">
        <v>303177154</v>
      </c>
      <c r="P2987">
        <v>141</v>
      </c>
      <c r="Q2987" t="s">
        <v>6312</v>
      </c>
    </row>
    <row r="2988" spans="1:17" x14ac:dyDescent="0.3">
      <c r="A2988" t="s">
        <v>75</v>
      </c>
      <c r="B2988" t="str">
        <f>"300079"</f>
        <v>300079</v>
      </c>
      <c r="C2988" t="s">
        <v>6313</v>
      </c>
      <c r="D2988" t="s">
        <v>224</v>
      </c>
      <c r="E2988">
        <v>244772989</v>
      </c>
      <c r="F2988">
        <v>323430956</v>
      </c>
      <c r="G2988">
        <v>101284997</v>
      </c>
      <c r="H2988">
        <v>632668083</v>
      </c>
      <c r="I2988">
        <v>191556091</v>
      </c>
      <c r="J2988">
        <v>179411317</v>
      </c>
      <c r="K2988">
        <v>169589942</v>
      </c>
      <c r="L2988">
        <v>123625306</v>
      </c>
      <c r="M2988">
        <v>88709012</v>
      </c>
      <c r="N2988">
        <v>75527074</v>
      </c>
      <c r="O2988">
        <v>59557330</v>
      </c>
      <c r="P2988">
        <v>261</v>
      </c>
      <c r="Q2988" t="s">
        <v>6314</v>
      </c>
    </row>
    <row r="2989" spans="1:17" x14ac:dyDescent="0.3">
      <c r="A2989" t="s">
        <v>17</v>
      </c>
      <c r="B2989" t="str">
        <f>"600870"</f>
        <v>600870</v>
      </c>
      <c r="C2989" t="s">
        <v>6315</v>
      </c>
      <c r="D2989" t="s">
        <v>142</v>
      </c>
      <c r="E2989">
        <v>244567021</v>
      </c>
      <c r="F2989">
        <v>-6837691</v>
      </c>
      <c r="G2989">
        <v>5265851</v>
      </c>
      <c r="H2989">
        <v>12391047</v>
      </c>
      <c r="I2989">
        <v>40166246</v>
      </c>
      <c r="J2989">
        <v>1591950</v>
      </c>
      <c r="K2989">
        <v>62174508</v>
      </c>
      <c r="L2989">
        <v>0</v>
      </c>
      <c r="M2989">
        <v>326567629</v>
      </c>
      <c r="N2989">
        <v>445605596</v>
      </c>
      <c r="O2989">
        <v>760390212</v>
      </c>
      <c r="P2989">
        <v>55</v>
      </c>
      <c r="Q2989" t="s">
        <v>6316</v>
      </c>
    </row>
    <row r="2990" spans="1:17" x14ac:dyDescent="0.3">
      <c r="A2990" t="s">
        <v>17</v>
      </c>
      <c r="B2990" t="str">
        <f>"603505"</f>
        <v>603505</v>
      </c>
      <c r="C2990" t="s">
        <v>6317</v>
      </c>
      <c r="D2990" t="s">
        <v>946</v>
      </c>
      <c r="E2990">
        <v>244233959</v>
      </c>
      <c r="F2990">
        <v>230578588</v>
      </c>
      <c r="G2990">
        <v>122665108</v>
      </c>
      <c r="H2990">
        <v>189751761</v>
      </c>
      <c r="I2990">
        <v>67387374</v>
      </c>
      <c r="J2990">
        <v>63208564</v>
      </c>
      <c r="K2990">
        <v>40442293</v>
      </c>
      <c r="P2990">
        <v>325</v>
      </c>
      <c r="Q2990" t="s">
        <v>6318</v>
      </c>
    </row>
    <row r="2991" spans="1:17" x14ac:dyDescent="0.3">
      <c r="A2991" t="s">
        <v>75</v>
      </c>
      <c r="B2991" t="str">
        <f>"300583"</f>
        <v>300583</v>
      </c>
      <c r="C2991" t="s">
        <v>6319</v>
      </c>
      <c r="D2991" t="s">
        <v>1242</v>
      </c>
      <c r="E2991">
        <v>243366071</v>
      </c>
      <c r="F2991">
        <v>115898526</v>
      </c>
      <c r="G2991">
        <v>151519894</v>
      </c>
      <c r="H2991">
        <v>165954987</v>
      </c>
      <c r="I2991">
        <v>161413871</v>
      </c>
      <c r="J2991">
        <v>49112674</v>
      </c>
      <c r="K2991">
        <v>24364108</v>
      </c>
      <c r="P2991">
        <v>76</v>
      </c>
      <c r="Q2991" t="s">
        <v>6320</v>
      </c>
    </row>
    <row r="2992" spans="1:17" x14ac:dyDescent="0.3">
      <c r="A2992" t="s">
        <v>75</v>
      </c>
      <c r="B2992" t="str">
        <f>"002331"</f>
        <v>002331</v>
      </c>
      <c r="C2992" t="s">
        <v>6321</v>
      </c>
      <c r="D2992" t="s">
        <v>224</v>
      </c>
      <c r="E2992">
        <v>243351965</v>
      </c>
      <c r="F2992">
        <v>348476644</v>
      </c>
      <c r="G2992">
        <v>368917998</v>
      </c>
      <c r="H2992">
        <v>287775241</v>
      </c>
      <c r="I2992">
        <v>284544799</v>
      </c>
      <c r="J2992">
        <v>231459104</v>
      </c>
      <c r="K2992">
        <v>299946547</v>
      </c>
      <c r="L2992">
        <v>235197470</v>
      </c>
      <c r="M2992">
        <v>183558411</v>
      </c>
      <c r="N2992">
        <v>131289552</v>
      </c>
      <c r="O2992">
        <v>123420274</v>
      </c>
      <c r="P2992">
        <v>121</v>
      </c>
      <c r="Q2992" t="s">
        <v>6322</v>
      </c>
    </row>
    <row r="2993" spans="1:17" x14ac:dyDescent="0.3">
      <c r="A2993" t="s">
        <v>75</v>
      </c>
      <c r="B2993" t="str">
        <f>"300429"</f>
        <v>300429</v>
      </c>
      <c r="C2993" t="s">
        <v>6323</v>
      </c>
      <c r="D2993" t="s">
        <v>1853</v>
      </c>
      <c r="E2993">
        <v>243165142</v>
      </c>
      <c r="F2993">
        <v>195245885</v>
      </c>
      <c r="G2993">
        <v>175578859</v>
      </c>
      <c r="H2993">
        <v>195910962</v>
      </c>
      <c r="I2993">
        <v>163500853</v>
      </c>
      <c r="J2993">
        <v>120421486</v>
      </c>
      <c r="K2993">
        <v>85735388</v>
      </c>
      <c r="L2993">
        <v>60294032</v>
      </c>
      <c r="M2993">
        <v>51330720</v>
      </c>
      <c r="P2993">
        <v>261</v>
      </c>
      <c r="Q2993" t="s">
        <v>6324</v>
      </c>
    </row>
    <row r="2994" spans="1:17" x14ac:dyDescent="0.3">
      <c r="A2994" t="s">
        <v>75</v>
      </c>
      <c r="B2994" t="str">
        <f>"002718"</f>
        <v>002718</v>
      </c>
      <c r="C2994" t="s">
        <v>6325</v>
      </c>
      <c r="D2994" t="s">
        <v>1257</v>
      </c>
      <c r="E2994">
        <v>242953128</v>
      </c>
      <c r="F2994">
        <v>193291194</v>
      </c>
      <c r="G2994">
        <v>54470440</v>
      </c>
      <c r="H2994">
        <v>110839963</v>
      </c>
      <c r="I2994">
        <v>123209902</v>
      </c>
      <c r="J2994">
        <v>260086248</v>
      </c>
      <c r="K2994">
        <v>77823374</v>
      </c>
      <c r="L2994">
        <v>90305591</v>
      </c>
      <c r="M2994">
        <v>54085476</v>
      </c>
      <c r="N2994">
        <v>29167424</v>
      </c>
      <c r="P2994">
        <v>170</v>
      </c>
      <c r="Q2994" t="s">
        <v>6326</v>
      </c>
    </row>
    <row r="2995" spans="1:17" x14ac:dyDescent="0.3">
      <c r="A2995" t="s">
        <v>17</v>
      </c>
      <c r="B2995" t="str">
        <f>"603131"</f>
        <v>603131</v>
      </c>
      <c r="C2995" t="s">
        <v>6327</v>
      </c>
      <c r="D2995" t="s">
        <v>1424</v>
      </c>
      <c r="E2995">
        <v>242591082</v>
      </c>
      <c r="F2995">
        <v>211395103</v>
      </c>
      <c r="G2995">
        <v>154599353</v>
      </c>
      <c r="H2995">
        <v>185821514</v>
      </c>
      <c r="I2995">
        <v>126805848</v>
      </c>
      <c r="J2995">
        <v>138161759</v>
      </c>
      <c r="K2995">
        <v>98626927</v>
      </c>
      <c r="L2995">
        <v>0</v>
      </c>
      <c r="P2995">
        <v>143</v>
      </c>
      <c r="Q2995" t="s">
        <v>6328</v>
      </c>
    </row>
    <row r="2996" spans="1:17" x14ac:dyDescent="0.3">
      <c r="A2996" t="s">
        <v>75</v>
      </c>
      <c r="B2996" t="str">
        <f>"002749"</f>
        <v>002749</v>
      </c>
      <c r="C2996" t="s">
        <v>6329</v>
      </c>
      <c r="D2996" t="s">
        <v>811</v>
      </c>
      <c r="E2996">
        <v>242145675</v>
      </c>
      <c r="F2996">
        <v>226178569</v>
      </c>
      <c r="G2996">
        <v>199326753</v>
      </c>
      <c r="H2996">
        <v>185436174</v>
      </c>
      <c r="I2996">
        <v>170959620</v>
      </c>
      <c r="J2996">
        <v>137863783</v>
      </c>
      <c r="K2996">
        <v>117194714</v>
      </c>
      <c r="L2996">
        <v>118882412</v>
      </c>
      <c r="M2996">
        <v>110012003</v>
      </c>
      <c r="P2996">
        <v>9783</v>
      </c>
      <c r="Q2996" t="s">
        <v>6330</v>
      </c>
    </row>
    <row r="2997" spans="1:17" x14ac:dyDescent="0.3">
      <c r="A2997" t="s">
        <v>75</v>
      </c>
      <c r="B2997" t="str">
        <f>"300565"</f>
        <v>300565</v>
      </c>
      <c r="C2997" t="s">
        <v>6331</v>
      </c>
      <c r="D2997" t="s">
        <v>169</v>
      </c>
      <c r="E2997">
        <v>242109355</v>
      </c>
      <c r="F2997">
        <v>208890611</v>
      </c>
      <c r="G2997">
        <v>66255439</v>
      </c>
      <c r="H2997">
        <v>80338713</v>
      </c>
      <c r="I2997">
        <v>92154088</v>
      </c>
      <c r="J2997">
        <v>155383341</v>
      </c>
      <c r="K2997">
        <v>101680313</v>
      </c>
      <c r="P2997">
        <v>113</v>
      </c>
      <c r="Q2997" t="s">
        <v>6332</v>
      </c>
    </row>
    <row r="2998" spans="1:17" x14ac:dyDescent="0.3">
      <c r="A2998" t="s">
        <v>75</v>
      </c>
      <c r="B2998" t="str">
        <f>"300727"</f>
        <v>300727</v>
      </c>
      <c r="C2998" t="s">
        <v>6333</v>
      </c>
      <c r="D2998" t="s">
        <v>1112</v>
      </c>
      <c r="E2998">
        <v>241252854</v>
      </c>
      <c r="F2998">
        <v>175301065</v>
      </c>
      <c r="G2998">
        <v>113855595</v>
      </c>
      <c r="H2998">
        <v>150355766</v>
      </c>
      <c r="I2998">
        <v>110063829</v>
      </c>
      <c r="J2998">
        <v>68683334</v>
      </c>
      <c r="P2998">
        <v>73</v>
      </c>
      <c r="Q2998" t="s">
        <v>6334</v>
      </c>
    </row>
    <row r="2999" spans="1:17" x14ac:dyDescent="0.3">
      <c r="A2999" t="s">
        <v>75</v>
      </c>
      <c r="B2999" t="str">
        <f>"300951"</f>
        <v>300951</v>
      </c>
      <c r="C2999" t="s">
        <v>6335</v>
      </c>
      <c r="D2999" t="s">
        <v>55</v>
      </c>
      <c r="E2999">
        <v>241245979</v>
      </c>
      <c r="F2999">
        <v>268655718</v>
      </c>
      <c r="G2999">
        <v>185787478</v>
      </c>
      <c r="P2999">
        <v>67</v>
      </c>
      <c r="Q2999" t="s">
        <v>6336</v>
      </c>
    </row>
    <row r="3000" spans="1:17" x14ac:dyDescent="0.3">
      <c r="A3000" t="s">
        <v>75</v>
      </c>
      <c r="B3000" t="str">
        <f>"300077"</f>
        <v>300077</v>
      </c>
      <c r="C3000" t="s">
        <v>6337</v>
      </c>
      <c r="D3000" t="s">
        <v>883</v>
      </c>
      <c r="E3000">
        <v>241077978</v>
      </c>
      <c r="F3000">
        <v>77924354</v>
      </c>
      <c r="G3000">
        <v>36720112</v>
      </c>
      <c r="H3000">
        <v>153678657</v>
      </c>
      <c r="I3000">
        <v>147317054</v>
      </c>
      <c r="J3000">
        <v>198202900</v>
      </c>
      <c r="K3000">
        <v>105908751</v>
      </c>
      <c r="L3000">
        <v>109926917</v>
      </c>
      <c r="M3000">
        <v>82181442</v>
      </c>
      <c r="N3000">
        <v>99852950</v>
      </c>
      <c r="O3000">
        <v>106521870</v>
      </c>
      <c r="P3000">
        <v>3150</v>
      </c>
      <c r="Q3000" t="s">
        <v>6338</v>
      </c>
    </row>
    <row r="3001" spans="1:17" x14ac:dyDescent="0.3">
      <c r="A3001" t="s">
        <v>75</v>
      </c>
      <c r="B3001" t="str">
        <f>"300680"</f>
        <v>300680</v>
      </c>
      <c r="C3001" t="s">
        <v>6339</v>
      </c>
      <c r="D3001" t="s">
        <v>172</v>
      </c>
      <c r="E3001">
        <v>241016944</v>
      </c>
      <c r="F3001">
        <v>98258713</v>
      </c>
      <c r="G3001">
        <v>97383681</v>
      </c>
      <c r="H3001">
        <v>70159140</v>
      </c>
      <c r="I3001">
        <v>27708772</v>
      </c>
      <c r="J3001">
        <v>30645522</v>
      </c>
      <c r="K3001">
        <v>28255819</v>
      </c>
      <c r="P3001">
        <v>114</v>
      </c>
      <c r="Q3001" t="s">
        <v>6340</v>
      </c>
    </row>
    <row r="3002" spans="1:17" x14ac:dyDescent="0.3">
      <c r="A3002" t="s">
        <v>75</v>
      </c>
      <c r="B3002" t="str">
        <f>"000524"</f>
        <v>000524</v>
      </c>
      <c r="C3002" t="s">
        <v>6341</v>
      </c>
      <c r="D3002" t="s">
        <v>6342</v>
      </c>
      <c r="E3002">
        <v>240984158</v>
      </c>
      <c r="F3002">
        <v>416296717</v>
      </c>
      <c r="G3002">
        <v>507743046</v>
      </c>
      <c r="H3002">
        <v>1899675053</v>
      </c>
      <c r="I3002">
        <v>1535056072</v>
      </c>
      <c r="J3002">
        <v>1368914860</v>
      </c>
      <c r="K3002">
        <v>65307943</v>
      </c>
      <c r="L3002">
        <v>68372201</v>
      </c>
      <c r="M3002">
        <v>55857719</v>
      </c>
      <c r="N3002">
        <v>68711989</v>
      </c>
      <c r="O3002">
        <v>68405460</v>
      </c>
      <c r="P3002">
        <v>156</v>
      </c>
      <c r="Q3002" t="s">
        <v>6343</v>
      </c>
    </row>
    <row r="3003" spans="1:17" x14ac:dyDescent="0.3">
      <c r="A3003" t="s">
        <v>75</v>
      </c>
      <c r="B3003" t="str">
        <f>"002883"</f>
        <v>002883</v>
      </c>
      <c r="C3003" t="s">
        <v>6344</v>
      </c>
      <c r="D3003" t="s">
        <v>2118</v>
      </c>
      <c r="E3003">
        <v>240888356</v>
      </c>
      <c r="F3003">
        <v>145658889</v>
      </c>
      <c r="G3003">
        <v>88070627</v>
      </c>
      <c r="H3003">
        <v>96058094</v>
      </c>
      <c r="I3003">
        <v>92332399</v>
      </c>
      <c r="J3003">
        <v>64697599</v>
      </c>
      <c r="K3003">
        <v>0</v>
      </c>
      <c r="P3003">
        <v>102</v>
      </c>
      <c r="Q3003" t="s">
        <v>6345</v>
      </c>
    </row>
    <row r="3004" spans="1:17" x14ac:dyDescent="0.3">
      <c r="A3004" t="s">
        <v>17</v>
      </c>
      <c r="B3004" t="str">
        <f>"600860"</f>
        <v>600860</v>
      </c>
      <c r="C3004" t="s">
        <v>6346</v>
      </c>
      <c r="D3004" t="s">
        <v>153</v>
      </c>
      <c r="E3004">
        <v>240857737</v>
      </c>
      <c r="F3004">
        <v>250369171</v>
      </c>
      <c r="G3004">
        <v>200641152</v>
      </c>
      <c r="H3004">
        <v>232587386</v>
      </c>
      <c r="I3004">
        <v>224870194</v>
      </c>
      <c r="J3004">
        <v>154929133</v>
      </c>
      <c r="K3004">
        <v>125987593</v>
      </c>
      <c r="L3004">
        <v>152767790</v>
      </c>
      <c r="M3004">
        <v>229890053</v>
      </c>
      <c r="N3004">
        <v>114177847</v>
      </c>
      <c r="O3004">
        <v>89325113</v>
      </c>
      <c r="P3004">
        <v>108</v>
      </c>
      <c r="Q3004" t="s">
        <v>6347</v>
      </c>
    </row>
    <row r="3005" spans="1:17" x14ac:dyDescent="0.3">
      <c r="A3005" t="s">
        <v>17</v>
      </c>
      <c r="B3005" t="str">
        <f>"603269"</f>
        <v>603269</v>
      </c>
      <c r="C3005" t="s">
        <v>6348</v>
      </c>
      <c r="D3005" t="s">
        <v>1424</v>
      </c>
      <c r="E3005">
        <v>240829348</v>
      </c>
      <c r="F3005">
        <v>166182210</v>
      </c>
      <c r="G3005">
        <v>127964392</v>
      </c>
      <c r="H3005">
        <v>104499856</v>
      </c>
      <c r="I3005">
        <v>100934958</v>
      </c>
      <c r="J3005">
        <v>108833463</v>
      </c>
      <c r="K3005">
        <v>62782273</v>
      </c>
      <c r="P3005">
        <v>63</v>
      </c>
      <c r="Q3005" t="s">
        <v>6349</v>
      </c>
    </row>
    <row r="3006" spans="1:17" x14ac:dyDescent="0.3">
      <c r="A3006" t="s">
        <v>75</v>
      </c>
      <c r="B3006" t="str">
        <f>"300611"</f>
        <v>300611</v>
      </c>
      <c r="C3006" t="s">
        <v>6350</v>
      </c>
      <c r="D3006" t="s">
        <v>172</v>
      </c>
      <c r="E3006">
        <v>240604303</v>
      </c>
      <c r="F3006">
        <v>144234823</v>
      </c>
      <c r="G3006">
        <v>123528200</v>
      </c>
      <c r="H3006">
        <v>203949834</v>
      </c>
      <c r="I3006">
        <v>124944479</v>
      </c>
      <c r="J3006">
        <v>110344154</v>
      </c>
      <c r="K3006">
        <v>99428055</v>
      </c>
      <c r="P3006">
        <v>97</v>
      </c>
      <c r="Q3006" t="s">
        <v>6351</v>
      </c>
    </row>
    <row r="3007" spans="1:17" x14ac:dyDescent="0.3">
      <c r="A3007" t="s">
        <v>17</v>
      </c>
      <c r="B3007" t="str">
        <f>"603682"</f>
        <v>603682</v>
      </c>
      <c r="C3007" t="s">
        <v>6352</v>
      </c>
      <c r="D3007" t="s">
        <v>378</v>
      </c>
      <c r="E3007">
        <v>240505158</v>
      </c>
      <c r="F3007">
        <v>180758602</v>
      </c>
      <c r="G3007">
        <v>132115632</v>
      </c>
      <c r="H3007">
        <v>213326036</v>
      </c>
      <c r="P3007">
        <v>156</v>
      </c>
      <c r="Q3007" t="s">
        <v>6353</v>
      </c>
    </row>
    <row r="3008" spans="1:17" x14ac:dyDescent="0.3">
      <c r="A3008" t="s">
        <v>17</v>
      </c>
      <c r="B3008" t="str">
        <f>"688571"</f>
        <v>688571</v>
      </c>
      <c r="C3008" t="s">
        <v>6354</v>
      </c>
      <c r="D3008" t="s">
        <v>4853</v>
      </c>
      <c r="E3008">
        <v>240491154</v>
      </c>
      <c r="F3008">
        <v>221570671</v>
      </c>
      <c r="G3008">
        <v>179386402</v>
      </c>
      <c r="P3008">
        <v>29</v>
      </c>
      <c r="Q3008" t="s">
        <v>6355</v>
      </c>
    </row>
    <row r="3009" spans="1:17" x14ac:dyDescent="0.3">
      <c r="A3009" t="s">
        <v>75</v>
      </c>
      <c r="B3009" t="str">
        <f>"300640"</f>
        <v>300640</v>
      </c>
      <c r="C3009" t="s">
        <v>6356</v>
      </c>
      <c r="D3009" t="s">
        <v>1192</v>
      </c>
      <c r="E3009">
        <v>240217460</v>
      </c>
      <c r="F3009">
        <v>151504902</v>
      </c>
      <c r="G3009">
        <v>127460278</v>
      </c>
      <c r="H3009">
        <v>153313098</v>
      </c>
      <c r="I3009">
        <v>140355504</v>
      </c>
      <c r="J3009">
        <v>93984929</v>
      </c>
      <c r="K3009">
        <v>91735049</v>
      </c>
      <c r="P3009">
        <v>79</v>
      </c>
      <c r="Q3009" t="s">
        <v>6357</v>
      </c>
    </row>
    <row r="3010" spans="1:17" x14ac:dyDescent="0.3">
      <c r="A3010" t="s">
        <v>75</v>
      </c>
      <c r="B3010" t="str">
        <f>"300984"</f>
        <v>300984</v>
      </c>
      <c r="C3010" t="s">
        <v>6358</v>
      </c>
      <c r="D3010" t="s">
        <v>1424</v>
      </c>
      <c r="E3010">
        <v>239760002</v>
      </c>
      <c r="F3010">
        <v>168147435</v>
      </c>
      <c r="G3010">
        <v>147135645</v>
      </c>
      <c r="P3010">
        <v>18</v>
      </c>
      <c r="Q3010" t="s">
        <v>6359</v>
      </c>
    </row>
    <row r="3011" spans="1:17" x14ac:dyDescent="0.3">
      <c r="A3011" t="s">
        <v>17</v>
      </c>
      <c r="B3011" t="str">
        <f>"605277"</f>
        <v>605277</v>
      </c>
      <c r="C3011" t="s">
        <v>6360</v>
      </c>
      <c r="D3011" t="s">
        <v>55</v>
      </c>
      <c r="E3011">
        <v>239556589</v>
      </c>
      <c r="F3011">
        <v>183175517</v>
      </c>
      <c r="G3011">
        <v>125156558</v>
      </c>
      <c r="P3011">
        <v>68</v>
      </c>
      <c r="Q3011" t="s">
        <v>6361</v>
      </c>
    </row>
    <row r="3012" spans="1:17" x14ac:dyDescent="0.3">
      <c r="A3012" t="s">
        <v>75</v>
      </c>
      <c r="B3012" t="str">
        <f>"000150"</f>
        <v>000150</v>
      </c>
      <c r="C3012" t="s">
        <v>6362</v>
      </c>
      <c r="D3012" t="s">
        <v>1129</v>
      </c>
      <c r="E3012">
        <v>239257966</v>
      </c>
      <c r="F3012">
        <v>336638504</v>
      </c>
      <c r="G3012">
        <v>326841957</v>
      </c>
      <c r="H3012">
        <v>419094883</v>
      </c>
      <c r="I3012">
        <v>839443697</v>
      </c>
      <c r="J3012">
        <v>278922634</v>
      </c>
      <c r="K3012">
        <v>250488868</v>
      </c>
      <c r="L3012">
        <v>307311016</v>
      </c>
      <c r="M3012">
        <v>40520743</v>
      </c>
      <c r="N3012">
        <v>93185125</v>
      </c>
      <c r="O3012">
        <v>32545661</v>
      </c>
      <c r="P3012">
        <v>184</v>
      </c>
      <c r="Q3012" t="s">
        <v>6363</v>
      </c>
    </row>
    <row r="3013" spans="1:17" x14ac:dyDescent="0.3">
      <c r="A3013" t="s">
        <v>17</v>
      </c>
      <c r="B3013" t="str">
        <f>"688023"</f>
        <v>688023</v>
      </c>
      <c r="C3013" t="s">
        <v>6364</v>
      </c>
      <c r="D3013" t="s">
        <v>989</v>
      </c>
      <c r="E3013">
        <v>238801542</v>
      </c>
      <c r="F3013">
        <v>227266844</v>
      </c>
      <c r="G3013">
        <v>125175703</v>
      </c>
      <c r="H3013">
        <v>0</v>
      </c>
      <c r="I3013">
        <v>0</v>
      </c>
      <c r="P3013">
        <v>249</v>
      </c>
      <c r="Q3013" t="s">
        <v>6365</v>
      </c>
    </row>
    <row r="3014" spans="1:17" x14ac:dyDescent="0.3">
      <c r="A3014" t="s">
        <v>17</v>
      </c>
      <c r="B3014" t="str">
        <f>"688261"</f>
        <v>688261</v>
      </c>
      <c r="C3014" t="s">
        <v>6366</v>
      </c>
      <c r="E3014">
        <v>238628725</v>
      </c>
      <c r="P3014">
        <v>11</v>
      </c>
      <c r="Q3014" t="s">
        <v>6367</v>
      </c>
    </row>
    <row r="3015" spans="1:17" x14ac:dyDescent="0.3">
      <c r="A3015" t="s">
        <v>75</v>
      </c>
      <c r="B3015" t="str">
        <f>"002137"</f>
        <v>002137</v>
      </c>
      <c r="C3015" t="s">
        <v>6368</v>
      </c>
      <c r="D3015" t="s">
        <v>622</v>
      </c>
      <c r="E3015">
        <v>238320315</v>
      </c>
      <c r="F3015">
        <v>200963259</v>
      </c>
      <c r="G3015">
        <v>249870844</v>
      </c>
      <c r="H3015">
        <v>179536658</v>
      </c>
      <c r="I3015">
        <v>256499113</v>
      </c>
      <c r="J3015">
        <v>256708111</v>
      </c>
      <c r="K3015">
        <v>213967009</v>
      </c>
      <c r="L3015">
        <v>142157211</v>
      </c>
      <c r="M3015">
        <v>96169803</v>
      </c>
      <c r="N3015">
        <v>205355144</v>
      </c>
      <c r="O3015">
        <v>433831465</v>
      </c>
      <c r="P3015">
        <v>148</v>
      </c>
      <c r="Q3015" t="s">
        <v>6369</v>
      </c>
    </row>
    <row r="3016" spans="1:17" x14ac:dyDescent="0.3">
      <c r="A3016" t="s">
        <v>75</v>
      </c>
      <c r="B3016" t="str">
        <f>"300165"</f>
        <v>300165</v>
      </c>
      <c r="C3016" t="s">
        <v>6370</v>
      </c>
      <c r="D3016" t="s">
        <v>2549</v>
      </c>
      <c r="E3016">
        <v>238197423</v>
      </c>
      <c r="F3016">
        <v>282992683</v>
      </c>
      <c r="G3016">
        <v>155854311</v>
      </c>
      <c r="H3016">
        <v>233252030</v>
      </c>
      <c r="I3016">
        <v>217796505</v>
      </c>
      <c r="J3016">
        <v>129790245</v>
      </c>
      <c r="K3016">
        <v>80970409</v>
      </c>
      <c r="L3016">
        <v>64181061</v>
      </c>
      <c r="M3016">
        <v>64488449</v>
      </c>
      <c r="N3016">
        <v>60574361</v>
      </c>
      <c r="O3016">
        <v>63351651</v>
      </c>
      <c r="P3016">
        <v>103</v>
      </c>
      <c r="Q3016" t="s">
        <v>6371</v>
      </c>
    </row>
    <row r="3017" spans="1:17" x14ac:dyDescent="0.3">
      <c r="A3017" t="s">
        <v>17</v>
      </c>
      <c r="B3017" t="str">
        <f>"600405"</f>
        <v>600405</v>
      </c>
      <c r="C3017" t="s">
        <v>6372</v>
      </c>
      <c r="D3017" t="s">
        <v>2692</v>
      </c>
      <c r="E3017">
        <v>238028249</v>
      </c>
      <c r="F3017">
        <v>203160061</v>
      </c>
      <c r="G3017">
        <v>212328250</v>
      </c>
      <c r="H3017">
        <v>198236196</v>
      </c>
      <c r="I3017">
        <v>159735127</v>
      </c>
      <c r="J3017">
        <v>253602466</v>
      </c>
      <c r="K3017">
        <v>163023585</v>
      </c>
      <c r="L3017">
        <v>191577138</v>
      </c>
      <c r="M3017">
        <v>132375742</v>
      </c>
      <c r="N3017">
        <v>155840194</v>
      </c>
      <c r="O3017">
        <v>134945953</v>
      </c>
      <c r="P3017">
        <v>255</v>
      </c>
      <c r="Q3017" t="s">
        <v>6373</v>
      </c>
    </row>
    <row r="3018" spans="1:17" x14ac:dyDescent="0.3">
      <c r="A3018" t="s">
        <v>75</v>
      </c>
      <c r="B3018" t="str">
        <f>"002909"</f>
        <v>002909</v>
      </c>
      <c r="C3018" t="s">
        <v>6374</v>
      </c>
      <c r="D3018" t="s">
        <v>1112</v>
      </c>
      <c r="E3018">
        <v>237845612</v>
      </c>
      <c r="F3018">
        <v>191117986</v>
      </c>
      <c r="G3018">
        <v>127359877</v>
      </c>
      <c r="H3018">
        <v>117076672</v>
      </c>
      <c r="I3018">
        <v>141788384</v>
      </c>
      <c r="J3018">
        <v>132457260</v>
      </c>
      <c r="P3018">
        <v>87</v>
      </c>
      <c r="Q3018" t="s">
        <v>6375</v>
      </c>
    </row>
    <row r="3019" spans="1:17" x14ac:dyDescent="0.3">
      <c r="A3019" t="s">
        <v>75</v>
      </c>
      <c r="B3019" t="str">
        <f>"200706"</f>
        <v>200706</v>
      </c>
      <c r="C3019" t="s">
        <v>6376</v>
      </c>
      <c r="E3019">
        <v>237829187.73199999</v>
      </c>
      <c r="F3019">
        <v>318256770.1135</v>
      </c>
      <c r="G3019">
        <v>288418088.14829999</v>
      </c>
      <c r="H3019">
        <v>263086311.7818</v>
      </c>
      <c r="I3019">
        <v>283034085.86699998</v>
      </c>
      <c r="J3019">
        <v>291598439.46960002</v>
      </c>
      <c r="K3019">
        <v>329481966.13139999</v>
      </c>
      <c r="L3019">
        <v>334059800</v>
      </c>
      <c r="M3019">
        <v>533965042.52600002</v>
      </c>
      <c r="N3019">
        <v>432631396.6494</v>
      </c>
      <c r="O3019">
        <v>347655803.33700001</v>
      </c>
      <c r="P3019">
        <v>7</v>
      </c>
      <c r="Q3019" t="s">
        <v>6377</v>
      </c>
    </row>
    <row r="3020" spans="1:17" x14ac:dyDescent="0.3">
      <c r="A3020" t="s">
        <v>75</v>
      </c>
      <c r="B3020" t="str">
        <f>"000812"</f>
        <v>000812</v>
      </c>
      <c r="C3020" t="s">
        <v>6378</v>
      </c>
      <c r="D3020" t="s">
        <v>1176</v>
      </c>
      <c r="E3020">
        <v>237601420</v>
      </c>
      <c r="F3020">
        <v>159109131</v>
      </c>
      <c r="G3020">
        <v>129065795</v>
      </c>
      <c r="H3020">
        <v>175730055</v>
      </c>
      <c r="I3020">
        <v>189201841</v>
      </c>
      <c r="J3020">
        <v>144169176</v>
      </c>
      <c r="K3020">
        <v>214200240</v>
      </c>
      <c r="L3020">
        <v>134082258</v>
      </c>
      <c r="M3020">
        <v>141626209</v>
      </c>
      <c r="N3020">
        <v>157195407</v>
      </c>
      <c r="O3020">
        <v>175688605</v>
      </c>
      <c r="P3020">
        <v>111</v>
      </c>
      <c r="Q3020" t="s">
        <v>6379</v>
      </c>
    </row>
    <row r="3021" spans="1:17" x14ac:dyDescent="0.3">
      <c r="A3021" t="s">
        <v>75</v>
      </c>
      <c r="B3021" t="str">
        <f>"300649"</f>
        <v>300649</v>
      </c>
      <c r="C3021" t="s">
        <v>6380</v>
      </c>
      <c r="D3021" t="s">
        <v>1523</v>
      </c>
      <c r="E3021">
        <v>237501459</v>
      </c>
      <c r="F3021">
        <v>335652830</v>
      </c>
      <c r="G3021">
        <v>154429262</v>
      </c>
      <c r="H3021">
        <v>103521949</v>
      </c>
      <c r="I3021">
        <v>174950785</v>
      </c>
      <c r="J3021">
        <v>15902634</v>
      </c>
      <c r="K3021">
        <v>28863299</v>
      </c>
      <c r="P3021">
        <v>91</v>
      </c>
      <c r="Q3021" t="s">
        <v>6381</v>
      </c>
    </row>
    <row r="3022" spans="1:17" x14ac:dyDescent="0.3">
      <c r="A3022" t="s">
        <v>75</v>
      </c>
      <c r="B3022" t="str">
        <f>"002976"</f>
        <v>002976</v>
      </c>
      <c r="C3022" t="s">
        <v>6382</v>
      </c>
      <c r="D3022" t="s">
        <v>55</v>
      </c>
      <c r="E3022">
        <v>237419047</v>
      </c>
      <c r="F3022">
        <v>198039980</v>
      </c>
      <c r="G3022">
        <v>158015836</v>
      </c>
      <c r="H3022">
        <v>164492056</v>
      </c>
      <c r="P3022">
        <v>104</v>
      </c>
      <c r="Q3022" t="s">
        <v>6383</v>
      </c>
    </row>
    <row r="3023" spans="1:17" x14ac:dyDescent="0.3">
      <c r="A3023" t="s">
        <v>75</v>
      </c>
      <c r="B3023" t="str">
        <f>"301166"</f>
        <v>301166</v>
      </c>
      <c r="C3023" t="s">
        <v>6384</v>
      </c>
      <c r="D3023" t="s">
        <v>1533</v>
      </c>
      <c r="E3023">
        <v>237098918</v>
      </c>
      <c r="P3023">
        <v>21</v>
      </c>
      <c r="Q3023" t="s">
        <v>6385</v>
      </c>
    </row>
    <row r="3024" spans="1:17" x14ac:dyDescent="0.3">
      <c r="A3024" t="s">
        <v>75</v>
      </c>
      <c r="B3024" t="str">
        <f>"000702"</f>
        <v>000702</v>
      </c>
      <c r="C3024" t="s">
        <v>6386</v>
      </c>
      <c r="D3024" t="s">
        <v>824</v>
      </c>
      <c r="E3024">
        <v>237084645</v>
      </c>
      <c r="F3024">
        <v>361864561</v>
      </c>
      <c r="G3024">
        <v>185911909</v>
      </c>
      <c r="H3024">
        <v>308268877</v>
      </c>
      <c r="I3024">
        <v>315441248</v>
      </c>
      <c r="J3024">
        <v>275219327</v>
      </c>
      <c r="K3024">
        <v>266734093</v>
      </c>
      <c r="L3024">
        <v>346744716</v>
      </c>
      <c r="M3024">
        <v>443410232</v>
      </c>
      <c r="N3024">
        <v>460994900</v>
      </c>
      <c r="O3024">
        <v>465125057</v>
      </c>
      <c r="P3024">
        <v>127</v>
      </c>
      <c r="Q3024" t="s">
        <v>6387</v>
      </c>
    </row>
    <row r="3025" spans="1:17" x14ac:dyDescent="0.3">
      <c r="A3025" t="s">
        <v>75</v>
      </c>
      <c r="B3025" t="str">
        <f>"002864"</f>
        <v>002864</v>
      </c>
      <c r="C3025" t="s">
        <v>6388</v>
      </c>
      <c r="D3025" t="s">
        <v>321</v>
      </c>
      <c r="E3025">
        <v>237005143</v>
      </c>
      <c r="F3025">
        <v>180580407</v>
      </c>
      <c r="G3025">
        <v>121830576</v>
      </c>
      <c r="H3025">
        <v>125083293</v>
      </c>
      <c r="I3025">
        <v>89709680</v>
      </c>
      <c r="J3025">
        <v>61812715</v>
      </c>
      <c r="P3025">
        <v>184</v>
      </c>
      <c r="Q3025" t="s">
        <v>6389</v>
      </c>
    </row>
    <row r="3026" spans="1:17" x14ac:dyDescent="0.3">
      <c r="A3026" t="s">
        <v>75</v>
      </c>
      <c r="B3026" t="str">
        <f>"301001"</f>
        <v>301001</v>
      </c>
      <c r="C3026" t="s">
        <v>6390</v>
      </c>
      <c r="D3026" t="s">
        <v>2946</v>
      </c>
      <c r="E3026">
        <v>236572341</v>
      </c>
      <c r="F3026">
        <v>239731658</v>
      </c>
      <c r="G3026">
        <v>228865881</v>
      </c>
      <c r="P3026">
        <v>23</v>
      </c>
      <c r="Q3026" t="s">
        <v>6391</v>
      </c>
    </row>
    <row r="3027" spans="1:17" x14ac:dyDescent="0.3">
      <c r="A3027" t="s">
        <v>75</v>
      </c>
      <c r="B3027" t="str">
        <f>"300159"</f>
        <v>300159</v>
      </c>
      <c r="C3027" t="s">
        <v>6392</v>
      </c>
      <c r="D3027" t="s">
        <v>1551</v>
      </c>
      <c r="E3027">
        <v>236157594</v>
      </c>
      <c r="F3027">
        <v>237813642</v>
      </c>
      <c r="G3027">
        <v>240830678</v>
      </c>
      <c r="H3027">
        <v>273997513</v>
      </c>
      <c r="I3027">
        <v>250223540</v>
      </c>
      <c r="J3027">
        <v>233885318</v>
      </c>
      <c r="K3027">
        <v>142157000</v>
      </c>
      <c r="L3027">
        <v>98825871</v>
      </c>
      <c r="M3027">
        <v>59752952</v>
      </c>
      <c r="N3027">
        <v>97816278</v>
      </c>
      <c r="O3027">
        <v>35151405</v>
      </c>
      <c r="P3027">
        <v>126</v>
      </c>
      <c r="Q3027" t="s">
        <v>6393</v>
      </c>
    </row>
    <row r="3028" spans="1:17" x14ac:dyDescent="0.3">
      <c r="A3028" t="s">
        <v>17</v>
      </c>
      <c r="B3028" t="str">
        <f>"688389"</f>
        <v>688389</v>
      </c>
      <c r="C3028" t="s">
        <v>6394</v>
      </c>
      <c r="D3028" t="s">
        <v>967</v>
      </c>
      <c r="E3028">
        <v>235388345</v>
      </c>
      <c r="F3028">
        <v>173049326</v>
      </c>
      <c r="G3028">
        <v>127360595</v>
      </c>
      <c r="H3028">
        <v>107335692</v>
      </c>
      <c r="P3028">
        <v>161</v>
      </c>
      <c r="Q3028" t="s">
        <v>6395</v>
      </c>
    </row>
    <row r="3029" spans="1:17" x14ac:dyDescent="0.3">
      <c r="A3029" t="s">
        <v>17</v>
      </c>
      <c r="B3029" t="str">
        <f>"600343"</f>
        <v>600343</v>
      </c>
      <c r="C3029" t="s">
        <v>6396</v>
      </c>
      <c r="D3029" t="s">
        <v>2083</v>
      </c>
      <c r="E3029">
        <v>234919779</v>
      </c>
      <c r="F3029">
        <v>164105783</v>
      </c>
      <c r="G3029">
        <v>613401138</v>
      </c>
      <c r="H3029">
        <v>340866428</v>
      </c>
      <c r="I3029">
        <v>227201816</v>
      </c>
      <c r="J3029">
        <v>183253716</v>
      </c>
      <c r="K3029">
        <v>55275397</v>
      </c>
      <c r="L3029">
        <v>134891476</v>
      </c>
      <c r="M3029">
        <v>159920818</v>
      </c>
      <c r="N3029">
        <v>107432773</v>
      </c>
      <c r="O3029">
        <v>165275238</v>
      </c>
      <c r="P3029">
        <v>128</v>
      </c>
      <c r="Q3029" t="s">
        <v>6397</v>
      </c>
    </row>
    <row r="3030" spans="1:17" x14ac:dyDescent="0.3">
      <c r="A3030" t="s">
        <v>75</v>
      </c>
      <c r="B3030" t="str">
        <f>"301137"</f>
        <v>301137</v>
      </c>
      <c r="C3030" t="s">
        <v>6398</v>
      </c>
      <c r="E3030">
        <v>234383787</v>
      </c>
      <c r="P3030">
        <v>3</v>
      </c>
      <c r="Q3030" t="s">
        <v>6399</v>
      </c>
    </row>
    <row r="3031" spans="1:17" x14ac:dyDescent="0.3">
      <c r="A3031" t="s">
        <v>17</v>
      </c>
      <c r="B3031" t="str">
        <f>"605058"</f>
        <v>605058</v>
      </c>
      <c r="C3031" t="s">
        <v>6400</v>
      </c>
      <c r="D3031" t="s">
        <v>567</v>
      </c>
      <c r="E3031">
        <v>234227842</v>
      </c>
      <c r="F3031">
        <v>156014990</v>
      </c>
      <c r="G3031">
        <v>99953233</v>
      </c>
      <c r="P3031">
        <v>48</v>
      </c>
      <c r="Q3031" t="s">
        <v>6401</v>
      </c>
    </row>
    <row r="3032" spans="1:17" x14ac:dyDescent="0.3">
      <c r="A3032" t="s">
        <v>75</v>
      </c>
      <c r="B3032" t="str">
        <f>"300410"</f>
        <v>300410</v>
      </c>
      <c r="C3032" t="s">
        <v>6402</v>
      </c>
      <c r="D3032" t="s">
        <v>2549</v>
      </c>
      <c r="E3032">
        <v>234159021</v>
      </c>
      <c r="F3032">
        <v>234279390</v>
      </c>
      <c r="G3032">
        <v>299350274</v>
      </c>
      <c r="H3032">
        <v>256904701</v>
      </c>
      <c r="I3032">
        <v>281911417</v>
      </c>
      <c r="J3032">
        <v>148664277</v>
      </c>
      <c r="K3032">
        <v>69184546</v>
      </c>
      <c r="L3032">
        <v>52295086</v>
      </c>
      <c r="M3032">
        <v>51866545</v>
      </c>
      <c r="P3032">
        <v>215</v>
      </c>
      <c r="Q3032" t="s">
        <v>6403</v>
      </c>
    </row>
    <row r="3033" spans="1:17" x14ac:dyDescent="0.3">
      <c r="A3033" t="s">
        <v>75</v>
      </c>
      <c r="B3033" t="str">
        <f>"000678"</f>
        <v>000678</v>
      </c>
      <c r="C3033" t="s">
        <v>6404</v>
      </c>
      <c r="D3033" t="s">
        <v>172</v>
      </c>
      <c r="E3033">
        <v>234086279</v>
      </c>
      <c r="F3033">
        <v>253408021</v>
      </c>
      <c r="G3033">
        <v>153603029</v>
      </c>
      <c r="H3033">
        <v>214504355</v>
      </c>
      <c r="I3033">
        <v>203873320</v>
      </c>
      <c r="J3033">
        <v>197880598</v>
      </c>
      <c r="K3033">
        <v>222000789</v>
      </c>
      <c r="L3033">
        <v>180552751</v>
      </c>
      <c r="M3033">
        <v>167500702</v>
      </c>
      <c r="N3033">
        <v>56787424</v>
      </c>
      <c r="O3033">
        <v>71657463</v>
      </c>
      <c r="P3033">
        <v>71</v>
      </c>
      <c r="Q3033" t="s">
        <v>6405</v>
      </c>
    </row>
    <row r="3034" spans="1:17" x14ac:dyDescent="0.3">
      <c r="A3034" t="s">
        <v>17</v>
      </c>
      <c r="B3034" t="str">
        <f>"688766"</f>
        <v>688766</v>
      </c>
      <c r="C3034" t="s">
        <v>6406</v>
      </c>
      <c r="D3034" t="s">
        <v>883</v>
      </c>
      <c r="E3034">
        <v>233964691</v>
      </c>
      <c r="G3034">
        <v>105048829</v>
      </c>
      <c r="P3034">
        <v>42</v>
      </c>
      <c r="Q3034" t="s">
        <v>6407</v>
      </c>
    </row>
    <row r="3035" spans="1:17" x14ac:dyDescent="0.3">
      <c r="A3035" t="s">
        <v>75</v>
      </c>
      <c r="B3035" t="str">
        <f>"300513"</f>
        <v>300513</v>
      </c>
      <c r="C3035" t="s">
        <v>6408</v>
      </c>
      <c r="D3035" t="s">
        <v>1647</v>
      </c>
      <c r="E3035">
        <v>233796933</v>
      </c>
      <c r="F3035">
        <v>238438113</v>
      </c>
      <c r="G3035">
        <v>224984580</v>
      </c>
      <c r="H3035">
        <v>231149062</v>
      </c>
      <c r="I3035">
        <v>92219371</v>
      </c>
      <c r="J3035">
        <v>103137674</v>
      </c>
      <c r="K3035">
        <v>83233811</v>
      </c>
      <c r="P3035">
        <v>160</v>
      </c>
      <c r="Q3035" t="s">
        <v>6409</v>
      </c>
    </row>
    <row r="3036" spans="1:17" x14ac:dyDescent="0.3">
      <c r="A3036" t="s">
        <v>75</v>
      </c>
      <c r="B3036" t="str">
        <f>"300563"</f>
        <v>300563</v>
      </c>
      <c r="C3036" t="s">
        <v>6410</v>
      </c>
      <c r="D3036" t="s">
        <v>549</v>
      </c>
      <c r="E3036">
        <v>233751901</v>
      </c>
      <c r="F3036">
        <v>232845279</v>
      </c>
      <c r="G3036">
        <v>154406230</v>
      </c>
      <c r="H3036">
        <v>115430960</v>
      </c>
      <c r="I3036">
        <v>97702494</v>
      </c>
      <c r="J3036">
        <v>85547416</v>
      </c>
      <c r="K3036">
        <v>54822694</v>
      </c>
      <c r="P3036">
        <v>144</v>
      </c>
      <c r="Q3036" t="s">
        <v>6411</v>
      </c>
    </row>
    <row r="3037" spans="1:17" x14ac:dyDescent="0.3">
      <c r="A3037" t="s">
        <v>17</v>
      </c>
      <c r="B3037" t="str">
        <f>"603602"</f>
        <v>603602</v>
      </c>
      <c r="C3037" t="s">
        <v>6412</v>
      </c>
      <c r="D3037" t="s">
        <v>1647</v>
      </c>
      <c r="E3037">
        <v>233668918</v>
      </c>
      <c r="F3037">
        <v>214494394</v>
      </c>
      <c r="G3037">
        <v>154165136</v>
      </c>
      <c r="H3037">
        <v>159189895</v>
      </c>
      <c r="I3037">
        <v>99961187</v>
      </c>
      <c r="J3037">
        <v>86022447</v>
      </c>
      <c r="P3037">
        <v>193</v>
      </c>
      <c r="Q3037" t="s">
        <v>6413</v>
      </c>
    </row>
    <row r="3038" spans="1:17" x14ac:dyDescent="0.3">
      <c r="A3038" t="s">
        <v>17</v>
      </c>
      <c r="B3038" t="str">
        <f>"601798"</f>
        <v>601798</v>
      </c>
      <c r="C3038" t="s">
        <v>6414</v>
      </c>
      <c r="D3038" t="s">
        <v>786</v>
      </c>
      <c r="E3038">
        <v>232791068</v>
      </c>
      <c r="F3038">
        <v>267665610</v>
      </c>
      <c r="G3038">
        <v>348471191</v>
      </c>
      <c r="H3038">
        <v>276043600</v>
      </c>
      <c r="I3038">
        <v>160540518</v>
      </c>
      <c r="J3038">
        <v>136320841</v>
      </c>
      <c r="K3038">
        <v>130083917</v>
      </c>
      <c r="L3038">
        <v>197796008</v>
      </c>
      <c r="M3038">
        <v>190631029</v>
      </c>
      <c r="N3038">
        <v>193175451</v>
      </c>
      <c r="O3038">
        <v>167594191</v>
      </c>
      <c r="P3038">
        <v>77</v>
      </c>
      <c r="Q3038" t="s">
        <v>6415</v>
      </c>
    </row>
    <row r="3039" spans="1:17" x14ac:dyDescent="0.3">
      <c r="A3039" t="s">
        <v>17</v>
      </c>
      <c r="B3039" t="str">
        <f>"603950"</f>
        <v>603950</v>
      </c>
      <c r="C3039" t="s">
        <v>6416</v>
      </c>
      <c r="D3039" t="s">
        <v>172</v>
      </c>
      <c r="E3039">
        <v>232528672</v>
      </c>
      <c r="F3039">
        <v>406102260</v>
      </c>
      <c r="G3039">
        <v>289889936</v>
      </c>
      <c r="H3039">
        <v>155697734</v>
      </c>
      <c r="P3039">
        <v>97</v>
      </c>
      <c r="Q3039" t="s">
        <v>6417</v>
      </c>
    </row>
    <row r="3040" spans="1:17" x14ac:dyDescent="0.3">
      <c r="A3040" t="s">
        <v>17</v>
      </c>
      <c r="B3040" t="str">
        <f>"688116"</f>
        <v>688116</v>
      </c>
      <c r="C3040" t="s">
        <v>6418</v>
      </c>
      <c r="D3040" t="s">
        <v>834</v>
      </c>
      <c r="E3040">
        <v>232478594</v>
      </c>
      <c r="F3040">
        <v>74346413</v>
      </c>
      <c r="G3040">
        <v>44237577</v>
      </c>
      <c r="H3040">
        <v>88834810</v>
      </c>
      <c r="P3040">
        <v>197</v>
      </c>
      <c r="Q3040" t="s">
        <v>6419</v>
      </c>
    </row>
    <row r="3041" spans="1:17" x14ac:dyDescent="0.3">
      <c r="A3041" t="s">
        <v>17</v>
      </c>
      <c r="B3041" t="str">
        <f>"603810"</f>
        <v>603810</v>
      </c>
      <c r="C3041" t="s">
        <v>6420</v>
      </c>
      <c r="D3041" t="s">
        <v>811</v>
      </c>
      <c r="E3041">
        <v>232438992</v>
      </c>
      <c r="F3041">
        <v>236684798</v>
      </c>
      <c r="G3041">
        <v>295446159</v>
      </c>
      <c r="H3041">
        <v>255320830</v>
      </c>
      <c r="I3041">
        <v>194841548</v>
      </c>
      <c r="P3041">
        <v>79</v>
      </c>
      <c r="Q3041" t="s">
        <v>6421</v>
      </c>
    </row>
    <row r="3042" spans="1:17" x14ac:dyDescent="0.3">
      <c r="A3042" t="s">
        <v>75</v>
      </c>
      <c r="B3042" t="str">
        <f>"300424"</f>
        <v>300424</v>
      </c>
      <c r="C3042" t="s">
        <v>6422</v>
      </c>
      <c r="D3042" t="s">
        <v>1551</v>
      </c>
      <c r="E3042">
        <v>232150369</v>
      </c>
      <c r="F3042">
        <v>253596660</v>
      </c>
      <c r="G3042">
        <v>293233102</v>
      </c>
      <c r="H3042">
        <v>434788593</v>
      </c>
      <c r="I3042">
        <v>125996846</v>
      </c>
      <c r="J3042">
        <v>68112671</v>
      </c>
      <c r="K3042">
        <v>61103729</v>
      </c>
      <c r="L3042">
        <v>69965204</v>
      </c>
      <c r="M3042">
        <v>39493844</v>
      </c>
      <c r="P3042">
        <v>133</v>
      </c>
      <c r="Q3042" t="s">
        <v>6423</v>
      </c>
    </row>
    <row r="3043" spans="1:17" x14ac:dyDescent="0.3">
      <c r="A3043" t="s">
        <v>75</v>
      </c>
      <c r="B3043" t="str">
        <f>"300304"</f>
        <v>300304</v>
      </c>
      <c r="C3043" t="s">
        <v>6424</v>
      </c>
      <c r="D3043" t="s">
        <v>433</v>
      </c>
      <c r="E3043">
        <v>232032145</v>
      </c>
      <c r="F3043">
        <v>208406283</v>
      </c>
      <c r="G3043">
        <v>147972172</v>
      </c>
      <c r="H3043">
        <v>141886262</v>
      </c>
      <c r="I3043">
        <v>142134739</v>
      </c>
      <c r="J3043">
        <v>154216701</v>
      </c>
      <c r="K3043">
        <v>97332328</v>
      </c>
      <c r="L3043">
        <v>108758335</v>
      </c>
      <c r="M3043">
        <v>102684034</v>
      </c>
      <c r="N3043">
        <v>109638850</v>
      </c>
      <c r="O3043">
        <v>78079586</v>
      </c>
      <c r="P3043">
        <v>114</v>
      </c>
      <c r="Q3043" t="s">
        <v>6425</v>
      </c>
    </row>
    <row r="3044" spans="1:17" x14ac:dyDescent="0.3">
      <c r="A3044" t="s">
        <v>17</v>
      </c>
      <c r="B3044" t="str">
        <f>"600122"</f>
        <v>600122</v>
      </c>
      <c r="C3044" t="s">
        <v>6426</v>
      </c>
      <c r="D3044" t="s">
        <v>241</v>
      </c>
      <c r="E3044">
        <v>231936559</v>
      </c>
      <c r="F3044">
        <v>289941526</v>
      </c>
      <c r="G3044">
        <v>662059144</v>
      </c>
      <c r="H3044">
        <v>455091073</v>
      </c>
      <c r="I3044">
        <v>5122218281</v>
      </c>
      <c r="J3044">
        <v>5492625575</v>
      </c>
      <c r="K3044">
        <v>5687533075</v>
      </c>
      <c r="L3044">
        <v>5336376579</v>
      </c>
      <c r="M3044">
        <v>4907564629</v>
      </c>
      <c r="N3044">
        <v>4855464752</v>
      </c>
      <c r="O3044">
        <v>4951619480</v>
      </c>
      <c r="P3044">
        <v>96</v>
      </c>
      <c r="Q3044" t="s">
        <v>6427</v>
      </c>
    </row>
    <row r="3045" spans="1:17" x14ac:dyDescent="0.3">
      <c r="A3045" t="s">
        <v>75</v>
      </c>
      <c r="B3045" t="str">
        <f>"300049"</f>
        <v>300049</v>
      </c>
      <c r="C3045" t="s">
        <v>6428</v>
      </c>
      <c r="D3045" t="s">
        <v>334</v>
      </c>
      <c r="E3045">
        <v>231787697</v>
      </c>
      <c r="F3045">
        <v>195893894</v>
      </c>
      <c r="G3045">
        <v>235117939</v>
      </c>
      <c r="H3045">
        <v>205354872</v>
      </c>
      <c r="I3045">
        <v>160772993</v>
      </c>
      <c r="J3045">
        <v>189252197</v>
      </c>
      <c r="K3045">
        <v>180456561</v>
      </c>
      <c r="L3045">
        <v>146898828</v>
      </c>
      <c r="M3045">
        <v>139696857</v>
      </c>
      <c r="N3045">
        <v>113607601</v>
      </c>
      <c r="O3045">
        <v>88557934</v>
      </c>
      <c r="P3045">
        <v>144</v>
      </c>
      <c r="Q3045" t="s">
        <v>6429</v>
      </c>
    </row>
    <row r="3046" spans="1:17" x14ac:dyDescent="0.3">
      <c r="A3046" t="s">
        <v>75</v>
      </c>
      <c r="B3046" t="str">
        <f>"301088"</f>
        <v>301088</v>
      </c>
      <c r="C3046" t="s">
        <v>6430</v>
      </c>
      <c r="D3046" t="s">
        <v>814</v>
      </c>
      <c r="E3046">
        <v>231716498</v>
      </c>
      <c r="P3046">
        <v>28</v>
      </c>
      <c r="Q3046" t="s">
        <v>6431</v>
      </c>
    </row>
    <row r="3047" spans="1:17" x14ac:dyDescent="0.3">
      <c r="A3047" t="s">
        <v>75</v>
      </c>
      <c r="B3047" t="str">
        <f>"000922"</f>
        <v>000922</v>
      </c>
      <c r="C3047" t="s">
        <v>6432</v>
      </c>
      <c r="D3047" t="s">
        <v>1487</v>
      </c>
      <c r="E3047">
        <v>231557601</v>
      </c>
      <c r="F3047">
        <v>206446440</v>
      </c>
      <c r="G3047">
        <v>225484807</v>
      </c>
      <c r="H3047">
        <v>0</v>
      </c>
      <c r="I3047">
        <v>180531589</v>
      </c>
      <c r="J3047">
        <v>178122915</v>
      </c>
      <c r="K3047">
        <v>176411161</v>
      </c>
      <c r="L3047">
        <v>201028757</v>
      </c>
      <c r="M3047">
        <v>204430026</v>
      </c>
      <c r="N3047">
        <v>323940324</v>
      </c>
      <c r="O3047">
        <v>17509748</v>
      </c>
      <c r="P3047">
        <v>261</v>
      </c>
      <c r="Q3047" t="s">
        <v>6433</v>
      </c>
    </row>
    <row r="3048" spans="1:17" x14ac:dyDescent="0.3">
      <c r="A3048" t="s">
        <v>75</v>
      </c>
      <c r="B3048" t="str">
        <f>"300880"</f>
        <v>300880</v>
      </c>
      <c r="C3048" t="s">
        <v>6434</v>
      </c>
      <c r="D3048" t="s">
        <v>2251</v>
      </c>
      <c r="E3048">
        <v>231262575</v>
      </c>
      <c r="F3048">
        <v>92145943</v>
      </c>
      <c r="G3048">
        <v>94597935</v>
      </c>
      <c r="P3048">
        <v>55</v>
      </c>
      <c r="Q3048" t="s">
        <v>6435</v>
      </c>
    </row>
    <row r="3049" spans="1:17" x14ac:dyDescent="0.3">
      <c r="A3049" t="s">
        <v>75</v>
      </c>
      <c r="B3049" t="str">
        <f>"002136"</f>
        <v>002136</v>
      </c>
      <c r="C3049" t="s">
        <v>6436</v>
      </c>
      <c r="D3049" t="s">
        <v>956</v>
      </c>
      <c r="E3049">
        <v>231208298</v>
      </c>
      <c r="F3049">
        <v>178973087</v>
      </c>
      <c r="G3049">
        <v>99731408</v>
      </c>
      <c r="H3049">
        <v>87963343</v>
      </c>
      <c r="I3049">
        <v>167600193</v>
      </c>
      <c r="J3049">
        <v>112252663</v>
      </c>
      <c r="K3049">
        <v>71874842</v>
      </c>
      <c r="L3049">
        <v>77566227</v>
      </c>
      <c r="M3049">
        <v>70215426</v>
      </c>
      <c r="N3049">
        <v>41511390</v>
      </c>
      <c r="O3049">
        <v>134805532</v>
      </c>
      <c r="P3049">
        <v>131</v>
      </c>
      <c r="Q3049" t="s">
        <v>6437</v>
      </c>
    </row>
    <row r="3050" spans="1:17" x14ac:dyDescent="0.3">
      <c r="A3050" t="s">
        <v>75</v>
      </c>
      <c r="B3050" t="str">
        <f>"000918"</f>
        <v>000918</v>
      </c>
      <c r="C3050" t="s">
        <v>6438</v>
      </c>
      <c r="D3050" t="s">
        <v>65</v>
      </c>
      <c r="E3050">
        <v>231122817</v>
      </c>
      <c r="F3050">
        <v>386314407</v>
      </c>
      <c r="G3050">
        <v>155111498</v>
      </c>
      <c r="H3050">
        <v>421030329</v>
      </c>
      <c r="I3050">
        <v>85033130</v>
      </c>
      <c r="J3050">
        <v>201191077</v>
      </c>
      <c r="K3050">
        <v>1032241330</v>
      </c>
      <c r="L3050">
        <v>1337583813</v>
      </c>
      <c r="M3050">
        <v>1977354634</v>
      </c>
      <c r="N3050">
        <v>1951310532</v>
      </c>
      <c r="O3050">
        <v>1389936223</v>
      </c>
      <c r="P3050">
        <v>123</v>
      </c>
      <c r="Q3050" t="s">
        <v>6439</v>
      </c>
    </row>
    <row r="3051" spans="1:17" x14ac:dyDescent="0.3">
      <c r="A3051" t="s">
        <v>75</v>
      </c>
      <c r="B3051" t="str">
        <f>"003032"</f>
        <v>003032</v>
      </c>
      <c r="C3051" t="s">
        <v>6440</v>
      </c>
      <c r="D3051" t="s">
        <v>1739</v>
      </c>
      <c r="E3051">
        <v>231088960</v>
      </c>
      <c r="F3051">
        <v>141482772</v>
      </c>
      <c r="G3051">
        <v>94629117</v>
      </c>
      <c r="P3051">
        <v>59</v>
      </c>
      <c r="Q3051" t="s">
        <v>6441</v>
      </c>
    </row>
    <row r="3052" spans="1:17" x14ac:dyDescent="0.3">
      <c r="A3052" t="s">
        <v>17</v>
      </c>
      <c r="B3052" t="str">
        <f>"603937"</f>
        <v>603937</v>
      </c>
      <c r="C3052" t="s">
        <v>6442</v>
      </c>
      <c r="D3052" t="s">
        <v>96</v>
      </c>
      <c r="E3052">
        <v>230842375</v>
      </c>
      <c r="F3052">
        <v>232856207</v>
      </c>
      <c r="G3052">
        <v>172595717</v>
      </c>
      <c r="H3052">
        <v>182746399</v>
      </c>
      <c r="I3052">
        <v>153603222</v>
      </c>
      <c r="J3052">
        <v>155985119</v>
      </c>
      <c r="P3052">
        <v>61</v>
      </c>
      <c r="Q3052" t="s">
        <v>6443</v>
      </c>
    </row>
    <row r="3053" spans="1:17" x14ac:dyDescent="0.3">
      <c r="A3053" t="s">
        <v>75</v>
      </c>
      <c r="B3053" t="str">
        <f>"002341"</f>
        <v>002341</v>
      </c>
      <c r="C3053" t="s">
        <v>6444</v>
      </c>
      <c r="D3053" t="s">
        <v>2029</v>
      </c>
      <c r="E3053">
        <v>230802456</v>
      </c>
      <c r="F3053">
        <v>523435350</v>
      </c>
      <c r="G3053">
        <v>729698942</v>
      </c>
      <c r="H3053">
        <v>657088471</v>
      </c>
      <c r="I3053">
        <v>497518569</v>
      </c>
      <c r="J3053">
        <v>333803393</v>
      </c>
      <c r="K3053">
        <v>249477627</v>
      </c>
      <c r="L3053">
        <v>248222734</v>
      </c>
      <c r="M3053">
        <v>269288988</v>
      </c>
      <c r="N3053">
        <v>246000444</v>
      </c>
      <c r="O3053">
        <v>169257511</v>
      </c>
      <c r="P3053">
        <v>276</v>
      </c>
      <c r="Q3053" t="s">
        <v>6445</v>
      </c>
    </row>
    <row r="3054" spans="1:17" x14ac:dyDescent="0.3">
      <c r="A3054" t="s">
        <v>17</v>
      </c>
      <c r="B3054" t="str">
        <f>"603629"</f>
        <v>603629</v>
      </c>
      <c r="C3054" t="s">
        <v>6446</v>
      </c>
      <c r="D3054" t="s">
        <v>55</v>
      </c>
      <c r="E3054">
        <v>230778694</v>
      </c>
      <c r="F3054">
        <v>365688477</v>
      </c>
      <c r="G3054">
        <v>312574565</v>
      </c>
      <c r="H3054">
        <v>234501202</v>
      </c>
      <c r="I3054">
        <v>352401572</v>
      </c>
      <c r="P3054">
        <v>51</v>
      </c>
      <c r="Q3054" t="s">
        <v>6447</v>
      </c>
    </row>
    <row r="3055" spans="1:17" x14ac:dyDescent="0.3">
      <c r="A3055" t="s">
        <v>17</v>
      </c>
      <c r="B3055" t="str">
        <f>"603528"</f>
        <v>603528</v>
      </c>
      <c r="C3055" t="s">
        <v>6448</v>
      </c>
      <c r="D3055" t="s">
        <v>116</v>
      </c>
      <c r="E3055">
        <v>230723520</v>
      </c>
      <c r="F3055">
        <v>181445839</v>
      </c>
      <c r="G3055">
        <v>86832879</v>
      </c>
      <c r="H3055">
        <v>114277744</v>
      </c>
      <c r="I3055">
        <v>121398432</v>
      </c>
      <c r="J3055">
        <v>96372621</v>
      </c>
      <c r="K3055">
        <v>124077078</v>
      </c>
      <c r="L3055">
        <v>138917262</v>
      </c>
      <c r="P3055">
        <v>195</v>
      </c>
      <c r="Q3055" t="s">
        <v>6449</v>
      </c>
    </row>
    <row r="3056" spans="1:17" x14ac:dyDescent="0.3">
      <c r="A3056" t="s">
        <v>75</v>
      </c>
      <c r="B3056" t="str">
        <f>"300465"</f>
        <v>300465</v>
      </c>
      <c r="C3056" t="s">
        <v>6450</v>
      </c>
      <c r="D3056" t="s">
        <v>116</v>
      </c>
      <c r="E3056">
        <v>230702350</v>
      </c>
      <c r="F3056">
        <v>940149167</v>
      </c>
      <c r="G3056">
        <v>212612665</v>
      </c>
      <c r="H3056">
        <v>245799929</v>
      </c>
      <c r="I3056">
        <v>246682267</v>
      </c>
      <c r="J3056">
        <v>166846317</v>
      </c>
      <c r="K3056">
        <v>85482380</v>
      </c>
      <c r="L3056">
        <v>87268348</v>
      </c>
      <c r="M3056">
        <v>86896466</v>
      </c>
      <c r="P3056">
        <v>252</v>
      </c>
      <c r="Q3056" t="s">
        <v>6451</v>
      </c>
    </row>
    <row r="3057" spans="1:17" x14ac:dyDescent="0.3">
      <c r="A3057" t="s">
        <v>75</v>
      </c>
      <c r="B3057" t="str">
        <f>"301189"</f>
        <v>301189</v>
      </c>
      <c r="C3057" t="s">
        <v>6452</v>
      </c>
      <c r="D3057" t="s">
        <v>505</v>
      </c>
      <c r="E3057">
        <v>230673471</v>
      </c>
      <c r="P3057">
        <v>10</v>
      </c>
      <c r="Q3057" t="s">
        <v>6453</v>
      </c>
    </row>
    <row r="3058" spans="1:17" x14ac:dyDescent="0.3">
      <c r="A3058" t="s">
        <v>17</v>
      </c>
      <c r="B3058" t="str">
        <f>"605198"</f>
        <v>605198</v>
      </c>
      <c r="C3058" t="s">
        <v>6454</v>
      </c>
      <c r="D3058" t="s">
        <v>1856</v>
      </c>
      <c r="E3058">
        <v>230437127</v>
      </c>
      <c r="F3058">
        <v>204105233</v>
      </c>
      <c r="G3058">
        <v>254527013</v>
      </c>
      <c r="P3058">
        <v>47</v>
      </c>
      <c r="Q3058" t="s">
        <v>6455</v>
      </c>
    </row>
    <row r="3059" spans="1:17" x14ac:dyDescent="0.3">
      <c r="A3059" t="s">
        <v>17</v>
      </c>
      <c r="B3059" t="str">
        <f>"603315"</f>
        <v>603315</v>
      </c>
      <c r="C3059" t="s">
        <v>6456</v>
      </c>
      <c r="D3059" t="s">
        <v>153</v>
      </c>
      <c r="E3059">
        <v>230307026</v>
      </c>
      <c r="F3059">
        <v>171330783</v>
      </c>
      <c r="G3059">
        <v>159862155</v>
      </c>
      <c r="H3059">
        <v>115155453</v>
      </c>
      <c r="I3059">
        <v>119620921</v>
      </c>
      <c r="J3059">
        <v>73562572</v>
      </c>
      <c r="K3059">
        <v>82124227</v>
      </c>
      <c r="L3059">
        <v>67297002</v>
      </c>
      <c r="M3059">
        <v>105677008</v>
      </c>
      <c r="P3059">
        <v>57</v>
      </c>
      <c r="Q3059" t="s">
        <v>6457</v>
      </c>
    </row>
    <row r="3060" spans="1:17" x14ac:dyDescent="0.3">
      <c r="A3060" t="s">
        <v>75</v>
      </c>
      <c r="B3060" t="str">
        <f>"002395"</f>
        <v>002395</v>
      </c>
      <c r="C3060" t="s">
        <v>6458</v>
      </c>
      <c r="D3060" t="s">
        <v>2855</v>
      </c>
      <c r="E3060">
        <v>230301944</v>
      </c>
      <c r="F3060">
        <v>180728005</v>
      </c>
      <c r="G3060">
        <v>115858848</v>
      </c>
      <c r="H3060">
        <v>230535576</v>
      </c>
      <c r="I3060">
        <v>213576048</v>
      </c>
      <c r="J3060">
        <v>212706035</v>
      </c>
      <c r="K3060">
        <v>206227788</v>
      </c>
      <c r="L3060">
        <v>157067293</v>
      </c>
      <c r="M3060">
        <v>104260242</v>
      </c>
      <c r="N3060">
        <v>106874502</v>
      </c>
      <c r="O3060">
        <v>116479212</v>
      </c>
      <c r="P3060">
        <v>59</v>
      </c>
      <c r="Q3060" t="s">
        <v>6459</v>
      </c>
    </row>
    <row r="3061" spans="1:17" x14ac:dyDescent="0.3">
      <c r="A3061" t="s">
        <v>75</v>
      </c>
      <c r="B3061" t="str">
        <f>"300693"</f>
        <v>300693</v>
      </c>
      <c r="C3061" t="s">
        <v>6460</v>
      </c>
      <c r="D3061" t="s">
        <v>2692</v>
      </c>
      <c r="E3061">
        <v>230236647</v>
      </c>
      <c r="F3061">
        <v>176354232</v>
      </c>
      <c r="G3061">
        <v>96611952</v>
      </c>
      <c r="H3061">
        <v>101922030</v>
      </c>
      <c r="I3061">
        <v>81501284</v>
      </c>
      <c r="J3061">
        <v>84195809</v>
      </c>
      <c r="K3061">
        <v>56377074</v>
      </c>
      <c r="P3061">
        <v>214</v>
      </c>
      <c r="Q3061" t="s">
        <v>6461</v>
      </c>
    </row>
    <row r="3062" spans="1:17" x14ac:dyDescent="0.3">
      <c r="A3062" t="s">
        <v>75</v>
      </c>
      <c r="B3062" t="str">
        <f>"300673"</f>
        <v>300673</v>
      </c>
      <c r="C3062" t="s">
        <v>6462</v>
      </c>
      <c r="D3062" t="s">
        <v>3681</v>
      </c>
      <c r="E3062">
        <v>230033197</v>
      </c>
      <c r="F3062">
        <v>298154728</v>
      </c>
      <c r="G3062">
        <v>279204146</v>
      </c>
      <c r="H3062">
        <v>181560406</v>
      </c>
      <c r="I3062">
        <v>165320415</v>
      </c>
      <c r="J3062">
        <v>128277745</v>
      </c>
      <c r="K3062">
        <v>106422510</v>
      </c>
      <c r="P3062">
        <v>512</v>
      </c>
      <c r="Q3062" t="s">
        <v>6463</v>
      </c>
    </row>
    <row r="3063" spans="1:17" x14ac:dyDescent="0.3">
      <c r="A3063" t="s">
        <v>75</v>
      </c>
      <c r="B3063" t="str">
        <f>"002272"</f>
        <v>002272</v>
      </c>
      <c r="C3063" t="s">
        <v>6464</v>
      </c>
      <c r="D3063" t="s">
        <v>1966</v>
      </c>
      <c r="E3063">
        <v>229364263</v>
      </c>
      <c r="F3063">
        <v>186325755</v>
      </c>
      <c r="G3063">
        <v>156235477</v>
      </c>
      <c r="H3063">
        <v>158142458</v>
      </c>
      <c r="I3063">
        <v>111055295</v>
      </c>
      <c r="J3063">
        <v>132726781</v>
      </c>
      <c r="K3063">
        <v>125623969</v>
      </c>
      <c r="L3063">
        <v>75375495</v>
      </c>
      <c r="M3063">
        <v>140838540</v>
      </c>
      <c r="N3063">
        <v>97418366</v>
      </c>
      <c r="O3063">
        <v>86384140</v>
      </c>
      <c r="P3063">
        <v>107</v>
      </c>
      <c r="Q3063" t="s">
        <v>6465</v>
      </c>
    </row>
    <row r="3064" spans="1:17" x14ac:dyDescent="0.3">
      <c r="A3064" t="s">
        <v>17</v>
      </c>
      <c r="B3064" t="str">
        <f>"605080"</f>
        <v>605080</v>
      </c>
      <c r="C3064" t="s">
        <v>6466</v>
      </c>
      <c r="D3064" t="s">
        <v>5484</v>
      </c>
      <c r="E3064">
        <v>229262133</v>
      </c>
      <c r="F3064">
        <v>160423042</v>
      </c>
      <c r="G3064">
        <v>124851297</v>
      </c>
      <c r="P3064">
        <v>47</v>
      </c>
      <c r="Q3064" t="s">
        <v>6467</v>
      </c>
    </row>
    <row r="3065" spans="1:17" x14ac:dyDescent="0.3">
      <c r="A3065" t="s">
        <v>75</v>
      </c>
      <c r="B3065" t="str">
        <f>"300455"</f>
        <v>300455</v>
      </c>
      <c r="C3065" t="s">
        <v>6468</v>
      </c>
      <c r="D3065" t="s">
        <v>508</v>
      </c>
      <c r="E3065">
        <v>228219534</v>
      </c>
      <c r="F3065">
        <v>279421866</v>
      </c>
      <c r="G3065">
        <v>102575522</v>
      </c>
      <c r="H3065">
        <v>80812773</v>
      </c>
      <c r="I3065">
        <v>74523133</v>
      </c>
      <c r="J3065">
        <v>64208247</v>
      </c>
      <c r="K3065">
        <v>34988854</v>
      </c>
      <c r="L3065">
        <v>0</v>
      </c>
      <c r="P3065">
        <v>137</v>
      </c>
      <c r="Q3065" t="s">
        <v>6469</v>
      </c>
    </row>
    <row r="3066" spans="1:17" x14ac:dyDescent="0.3">
      <c r="A3066" t="s">
        <v>17</v>
      </c>
      <c r="B3066" t="str">
        <f>"688585"</f>
        <v>688585</v>
      </c>
      <c r="C3066" t="s">
        <v>6470</v>
      </c>
      <c r="D3066" t="s">
        <v>2855</v>
      </c>
      <c r="E3066">
        <v>228017786</v>
      </c>
      <c r="F3066">
        <v>208006352</v>
      </c>
      <c r="G3066">
        <v>177721178</v>
      </c>
      <c r="H3066">
        <v>0</v>
      </c>
      <c r="P3066">
        <v>26</v>
      </c>
      <c r="Q3066" t="s">
        <v>6471</v>
      </c>
    </row>
    <row r="3067" spans="1:17" x14ac:dyDescent="0.3">
      <c r="A3067" t="s">
        <v>75</v>
      </c>
      <c r="B3067" t="str">
        <f>"002853"</f>
        <v>002853</v>
      </c>
      <c r="C3067" t="s">
        <v>6472</v>
      </c>
      <c r="D3067" t="s">
        <v>1004</v>
      </c>
      <c r="E3067">
        <v>227925139</v>
      </c>
      <c r="F3067">
        <v>235359796</v>
      </c>
      <c r="G3067">
        <v>146699094</v>
      </c>
      <c r="H3067">
        <v>138122603</v>
      </c>
      <c r="I3067">
        <v>118080837</v>
      </c>
      <c r="J3067">
        <v>119493217</v>
      </c>
      <c r="K3067">
        <v>72416521</v>
      </c>
      <c r="P3067">
        <v>379</v>
      </c>
      <c r="Q3067" t="s">
        <v>6473</v>
      </c>
    </row>
    <row r="3068" spans="1:17" x14ac:dyDescent="0.3">
      <c r="A3068" t="s">
        <v>75</v>
      </c>
      <c r="B3068" t="str">
        <f>"300434"</f>
        <v>300434</v>
      </c>
      <c r="C3068" t="s">
        <v>6474</v>
      </c>
      <c r="D3068" t="s">
        <v>543</v>
      </c>
      <c r="E3068">
        <v>227907211</v>
      </c>
      <c r="F3068">
        <v>219606024</v>
      </c>
      <c r="G3068">
        <v>156067290</v>
      </c>
      <c r="H3068">
        <v>144309770</v>
      </c>
      <c r="I3068">
        <v>214885467</v>
      </c>
      <c r="J3068">
        <v>33801143</v>
      </c>
      <c r="K3068">
        <v>28746636</v>
      </c>
      <c r="L3068">
        <v>38950565</v>
      </c>
      <c r="M3068">
        <v>45158646</v>
      </c>
      <c r="P3068">
        <v>96</v>
      </c>
      <c r="Q3068" t="s">
        <v>6475</v>
      </c>
    </row>
    <row r="3069" spans="1:17" x14ac:dyDescent="0.3">
      <c r="A3069" t="s">
        <v>75</v>
      </c>
      <c r="B3069" t="str">
        <f>"002992"</f>
        <v>002992</v>
      </c>
      <c r="C3069" t="s">
        <v>6476</v>
      </c>
      <c r="D3069" t="s">
        <v>128</v>
      </c>
      <c r="E3069">
        <v>227272054</v>
      </c>
      <c r="F3069">
        <v>460251294</v>
      </c>
      <c r="G3069">
        <v>416829866</v>
      </c>
      <c r="H3069">
        <v>400171394</v>
      </c>
      <c r="P3069">
        <v>51</v>
      </c>
      <c r="Q3069" t="s">
        <v>6477</v>
      </c>
    </row>
    <row r="3070" spans="1:17" x14ac:dyDescent="0.3">
      <c r="A3070" t="s">
        <v>17</v>
      </c>
      <c r="B3070" t="str">
        <f>"603416"</f>
        <v>603416</v>
      </c>
      <c r="C3070" t="s">
        <v>6478</v>
      </c>
      <c r="D3070" t="s">
        <v>3105</v>
      </c>
      <c r="E3070">
        <v>227206952</v>
      </c>
      <c r="F3070">
        <v>224951330</v>
      </c>
      <c r="G3070">
        <v>111950877</v>
      </c>
      <c r="H3070">
        <v>89411652</v>
      </c>
      <c r="I3070">
        <v>66458368</v>
      </c>
      <c r="J3070">
        <v>55932302</v>
      </c>
      <c r="K3070">
        <v>46971858</v>
      </c>
      <c r="P3070">
        <v>325</v>
      </c>
      <c r="Q3070" t="s">
        <v>6479</v>
      </c>
    </row>
    <row r="3071" spans="1:17" x14ac:dyDescent="0.3">
      <c r="A3071" t="s">
        <v>75</v>
      </c>
      <c r="B3071" t="str">
        <f>"300085"</f>
        <v>300085</v>
      </c>
      <c r="C3071" t="s">
        <v>6480</v>
      </c>
      <c r="D3071" t="s">
        <v>116</v>
      </c>
      <c r="E3071">
        <v>227086296</v>
      </c>
      <c r="F3071">
        <v>330808967</v>
      </c>
      <c r="G3071">
        <v>232496095</v>
      </c>
      <c r="H3071">
        <v>237923079</v>
      </c>
      <c r="I3071">
        <v>237684519</v>
      </c>
      <c r="J3071">
        <v>214039966</v>
      </c>
      <c r="K3071">
        <v>126465811</v>
      </c>
      <c r="L3071">
        <v>90615446</v>
      </c>
      <c r="M3071">
        <v>12074097</v>
      </c>
      <c r="N3071">
        <v>12559349</v>
      </c>
      <c r="O3071">
        <v>11789572</v>
      </c>
      <c r="P3071">
        <v>255</v>
      </c>
      <c r="Q3071" t="s">
        <v>6481</v>
      </c>
    </row>
    <row r="3072" spans="1:17" x14ac:dyDescent="0.3">
      <c r="A3072" t="s">
        <v>17</v>
      </c>
      <c r="B3072" t="str">
        <f>"603360"</f>
        <v>603360</v>
      </c>
      <c r="C3072" t="s">
        <v>6482</v>
      </c>
      <c r="D3072" t="s">
        <v>811</v>
      </c>
      <c r="E3072">
        <v>226795650</v>
      </c>
      <c r="F3072">
        <v>148536198</v>
      </c>
      <c r="G3072">
        <v>174525430</v>
      </c>
      <c r="H3072">
        <v>112570318</v>
      </c>
      <c r="I3072">
        <v>104646695</v>
      </c>
      <c r="J3072">
        <v>76624158</v>
      </c>
      <c r="K3072">
        <v>62409045</v>
      </c>
      <c r="P3072">
        <v>402</v>
      </c>
      <c r="Q3072" t="s">
        <v>6483</v>
      </c>
    </row>
    <row r="3073" spans="1:17" x14ac:dyDescent="0.3">
      <c r="A3073" t="s">
        <v>17</v>
      </c>
      <c r="B3073" t="str">
        <f>"603396"</f>
        <v>603396</v>
      </c>
      <c r="C3073" t="s">
        <v>6484</v>
      </c>
      <c r="D3073" t="s">
        <v>2212</v>
      </c>
      <c r="E3073">
        <v>226228079</v>
      </c>
      <c r="F3073">
        <v>178243945</v>
      </c>
      <c r="G3073">
        <v>154389778</v>
      </c>
      <c r="H3073">
        <v>186770206</v>
      </c>
      <c r="I3073">
        <v>104433357</v>
      </c>
      <c r="J3073">
        <v>93158676</v>
      </c>
      <c r="P3073">
        <v>217</v>
      </c>
      <c r="Q3073" t="s">
        <v>6485</v>
      </c>
    </row>
    <row r="3074" spans="1:17" x14ac:dyDescent="0.3">
      <c r="A3074" t="s">
        <v>17</v>
      </c>
      <c r="B3074" t="str">
        <f>"688269"</f>
        <v>688269</v>
      </c>
      <c r="C3074" t="s">
        <v>6486</v>
      </c>
      <c r="D3074" t="s">
        <v>1526</v>
      </c>
      <c r="E3074">
        <v>225847792</v>
      </c>
      <c r="F3074">
        <v>235791945</v>
      </c>
      <c r="G3074">
        <v>129559646</v>
      </c>
      <c r="P3074">
        <v>58</v>
      </c>
      <c r="Q3074" t="s">
        <v>6487</v>
      </c>
    </row>
    <row r="3075" spans="1:17" x14ac:dyDescent="0.3">
      <c r="A3075" t="s">
        <v>17</v>
      </c>
      <c r="B3075" t="str">
        <f>"688190"</f>
        <v>688190</v>
      </c>
      <c r="C3075" t="s">
        <v>6488</v>
      </c>
      <c r="D3075" t="s">
        <v>1526</v>
      </c>
      <c r="E3075">
        <v>225698304</v>
      </c>
      <c r="P3075">
        <v>15</v>
      </c>
      <c r="Q3075" t="s">
        <v>6489</v>
      </c>
    </row>
    <row r="3076" spans="1:17" x14ac:dyDescent="0.3">
      <c r="A3076" t="s">
        <v>17</v>
      </c>
      <c r="B3076" t="str">
        <f>"600856"</f>
        <v>600856</v>
      </c>
      <c r="C3076" t="s">
        <v>6490</v>
      </c>
      <c r="D3076" t="s">
        <v>2175</v>
      </c>
      <c r="E3076">
        <v>225649973</v>
      </c>
      <c r="F3076">
        <v>196905890</v>
      </c>
      <c r="G3076">
        <v>205237211</v>
      </c>
      <c r="H3076">
        <v>226240458</v>
      </c>
      <c r="I3076">
        <v>1490309056</v>
      </c>
      <c r="J3076">
        <v>1379314720</v>
      </c>
      <c r="K3076">
        <v>469675816</v>
      </c>
      <c r="L3076">
        <v>315403944</v>
      </c>
      <c r="M3076">
        <v>118843151</v>
      </c>
      <c r="N3076">
        <v>116141758</v>
      </c>
      <c r="O3076">
        <v>111808888</v>
      </c>
      <c r="P3076">
        <v>129</v>
      </c>
      <c r="Q3076" t="s">
        <v>6491</v>
      </c>
    </row>
    <row r="3077" spans="1:17" x14ac:dyDescent="0.3">
      <c r="A3077" t="s">
        <v>75</v>
      </c>
      <c r="B3077" t="str">
        <f>"002725"</f>
        <v>002725</v>
      </c>
      <c r="C3077" t="s">
        <v>6492</v>
      </c>
      <c r="D3077" t="s">
        <v>904</v>
      </c>
      <c r="E3077">
        <v>225187701</v>
      </c>
      <c r="F3077">
        <v>223811415</v>
      </c>
      <c r="G3077">
        <v>128630011</v>
      </c>
      <c r="H3077">
        <v>201551959</v>
      </c>
      <c r="I3077">
        <v>189597236</v>
      </c>
      <c r="J3077">
        <v>165468663</v>
      </c>
      <c r="K3077">
        <v>138982400</v>
      </c>
      <c r="L3077">
        <v>196452345</v>
      </c>
      <c r="M3077">
        <v>184284376</v>
      </c>
      <c r="N3077">
        <v>186585326</v>
      </c>
      <c r="P3077">
        <v>135</v>
      </c>
      <c r="Q3077" t="s">
        <v>6493</v>
      </c>
    </row>
    <row r="3078" spans="1:17" x14ac:dyDescent="0.3">
      <c r="A3078" t="s">
        <v>75</v>
      </c>
      <c r="B3078" t="str">
        <f>"300425"</f>
        <v>300425</v>
      </c>
      <c r="C3078" t="s">
        <v>6494</v>
      </c>
      <c r="D3078" t="s">
        <v>1107</v>
      </c>
      <c r="E3078">
        <v>225157944</v>
      </c>
      <c r="F3078">
        <v>246165221</v>
      </c>
      <c r="G3078">
        <v>168638066</v>
      </c>
      <c r="H3078">
        <v>192950550</v>
      </c>
      <c r="I3078">
        <v>186698015</v>
      </c>
      <c r="J3078">
        <v>83306116</v>
      </c>
      <c r="K3078">
        <v>83546952</v>
      </c>
      <c r="L3078">
        <v>48548213</v>
      </c>
      <c r="M3078">
        <v>35517003</v>
      </c>
      <c r="P3078">
        <v>121</v>
      </c>
      <c r="Q3078" t="s">
        <v>6495</v>
      </c>
    </row>
    <row r="3079" spans="1:17" x14ac:dyDescent="0.3">
      <c r="A3079" t="s">
        <v>75</v>
      </c>
      <c r="B3079" t="str">
        <f>"002860"</f>
        <v>002860</v>
      </c>
      <c r="C3079" t="s">
        <v>6496</v>
      </c>
      <c r="D3079" t="s">
        <v>1063</v>
      </c>
      <c r="E3079">
        <v>224989726</v>
      </c>
      <c r="F3079">
        <v>235750256</v>
      </c>
      <c r="G3079">
        <v>232206571</v>
      </c>
      <c r="H3079">
        <v>136148676</v>
      </c>
      <c r="I3079">
        <v>103611168</v>
      </c>
      <c r="J3079">
        <v>71664425</v>
      </c>
      <c r="K3079">
        <v>64487246</v>
      </c>
      <c r="P3079">
        <v>249</v>
      </c>
      <c r="Q3079" t="s">
        <v>6497</v>
      </c>
    </row>
    <row r="3080" spans="1:17" x14ac:dyDescent="0.3">
      <c r="A3080" t="s">
        <v>17</v>
      </c>
      <c r="B3080" t="str">
        <f>"603590"</f>
        <v>603590</v>
      </c>
      <c r="C3080" t="s">
        <v>6498</v>
      </c>
      <c r="D3080" t="s">
        <v>1533</v>
      </c>
      <c r="E3080">
        <v>224934294</v>
      </c>
      <c r="F3080">
        <v>248659049</v>
      </c>
      <c r="G3080">
        <v>213324815</v>
      </c>
      <c r="H3080">
        <v>254398217</v>
      </c>
      <c r="I3080">
        <v>153237786</v>
      </c>
      <c r="P3080">
        <v>158</v>
      </c>
      <c r="Q3080" t="s">
        <v>6499</v>
      </c>
    </row>
    <row r="3081" spans="1:17" x14ac:dyDescent="0.3">
      <c r="A3081" t="s">
        <v>75</v>
      </c>
      <c r="B3081" t="str">
        <f>"301131"</f>
        <v>301131</v>
      </c>
      <c r="C3081" t="s">
        <v>6500</v>
      </c>
      <c r="E3081">
        <v>224832240</v>
      </c>
      <c r="G3081">
        <v>174742040</v>
      </c>
      <c r="P3081">
        <v>4</v>
      </c>
      <c r="Q3081" t="s">
        <v>6501</v>
      </c>
    </row>
    <row r="3082" spans="1:17" x14ac:dyDescent="0.3">
      <c r="A3082" t="s">
        <v>75</v>
      </c>
      <c r="B3082" t="str">
        <f>"300011"</f>
        <v>300011</v>
      </c>
      <c r="C3082" t="s">
        <v>6502</v>
      </c>
      <c r="D3082" t="s">
        <v>156</v>
      </c>
      <c r="E3082">
        <v>224638850</v>
      </c>
      <c r="F3082">
        <v>197373957</v>
      </c>
      <c r="G3082">
        <v>349854560</v>
      </c>
      <c r="H3082">
        <v>382108923</v>
      </c>
      <c r="I3082">
        <v>320585728</v>
      </c>
      <c r="J3082">
        <v>212575749</v>
      </c>
      <c r="K3082">
        <v>265032593</v>
      </c>
      <c r="L3082">
        <v>155613865</v>
      </c>
      <c r="M3082">
        <v>50052229</v>
      </c>
      <c r="N3082">
        <v>57475566</v>
      </c>
      <c r="O3082">
        <v>33616791</v>
      </c>
      <c r="P3082">
        <v>109</v>
      </c>
      <c r="Q3082" t="s">
        <v>6503</v>
      </c>
    </row>
    <row r="3083" spans="1:17" x14ac:dyDescent="0.3">
      <c r="A3083" t="s">
        <v>17</v>
      </c>
      <c r="B3083" t="str">
        <f>"600241"</f>
        <v>600241</v>
      </c>
      <c r="C3083" t="s">
        <v>6504</v>
      </c>
      <c r="D3083" t="s">
        <v>605</v>
      </c>
      <c r="E3083">
        <v>224227965</v>
      </c>
      <c r="F3083">
        <v>134421090</v>
      </c>
      <c r="G3083">
        <v>104202642</v>
      </c>
      <c r="H3083">
        <v>92921930</v>
      </c>
      <c r="I3083">
        <v>271960873</v>
      </c>
      <c r="J3083">
        <v>308697517</v>
      </c>
      <c r="K3083">
        <v>285482025</v>
      </c>
      <c r="L3083">
        <v>220788218</v>
      </c>
      <c r="M3083">
        <v>175583621</v>
      </c>
      <c r="N3083">
        <v>202851358</v>
      </c>
      <c r="O3083">
        <v>235562108</v>
      </c>
      <c r="P3083">
        <v>51</v>
      </c>
      <c r="Q3083" t="s">
        <v>6505</v>
      </c>
    </row>
    <row r="3084" spans="1:17" x14ac:dyDescent="0.3">
      <c r="A3084" t="s">
        <v>17</v>
      </c>
      <c r="B3084" t="str">
        <f>"603863"</f>
        <v>603863</v>
      </c>
      <c r="C3084" t="s">
        <v>6506</v>
      </c>
      <c r="D3084" t="s">
        <v>540</v>
      </c>
      <c r="E3084">
        <v>224109307</v>
      </c>
      <c r="F3084">
        <v>117089067</v>
      </c>
      <c r="G3084">
        <v>81879646</v>
      </c>
      <c r="H3084">
        <v>0</v>
      </c>
      <c r="I3084">
        <v>0</v>
      </c>
      <c r="P3084">
        <v>51</v>
      </c>
      <c r="Q3084" t="s">
        <v>6507</v>
      </c>
    </row>
    <row r="3085" spans="1:17" x14ac:dyDescent="0.3">
      <c r="A3085" t="s">
        <v>75</v>
      </c>
      <c r="B3085" t="str">
        <f>"300213"</f>
        <v>300213</v>
      </c>
      <c r="C3085" t="s">
        <v>6508</v>
      </c>
      <c r="D3085" t="s">
        <v>4225</v>
      </c>
      <c r="E3085">
        <v>223873077</v>
      </c>
      <c r="F3085">
        <v>267606995</v>
      </c>
      <c r="G3085">
        <v>201760123</v>
      </c>
      <c r="H3085">
        <v>239542145</v>
      </c>
      <c r="I3085">
        <v>393027882</v>
      </c>
      <c r="J3085">
        <v>137957289</v>
      </c>
      <c r="K3085">
        <v>197205373</v>
      </c>
      <c r="L3085">
        <v>139730997</v>
      </c>
      <c r="M3085">
        <v>99946123</v>
      </c>
      <c r="N3085">
        <v>79835710</v>
      </c>
      <c r="O3085">
        <v>58594179</v>
      </c>
      <c r="P3085">
        <v>188</v>
      </c>
      <c r="Q3085" t="s">
        <v>6509</v>
      </c>
    </row>
    <row r="3086" spans="1:17" x14ac:dyDescent="0.3">
      <c r="A3086" t="s">
        <v>75</v>
      </c>
      <c r="B3086" t="str">
        <f>"002778"</f>
        <v>002778</v>
      </c>
      <c r="C3086" t="s">
        <v>6510</v>
      </c>
      <c r="D3086" t="s">
        <v>422</v>
      </c>
      <c r="E3086">
        <v>223866753</v>
      </c>
      <c r="F3086">
        <v>361301871</v>
      </c>
      <c r="G3086">
        <v>159746272</v>
      </c>
      <c r="H3086">
        <v>158320848</v>
      </c>
      <c r="I3086">
        <v>116807509</v>
      </c>
      <c r="J3086">
        <v>122582148</v>
      </c>
      <c r="K3086">
        <v>93175491</v>
      </c>
      <c r="L3086">
        <v>104655883</v>
      </c>
      <c r="M3086">
        <v>176816257</v>
      </c>
      <c r="P3086">
        <v>75</v>
      </c>
      <c r="Q3086" t="s">
        <v>6511</v>
      </c>
    </row>
    <row r="3087" spans="1:17" x14ac:dyDescent="0.3">
      <c r="A3087" t="s">
        <v>17</v>
      </c>
      <c r="B3087" t="str">
        <f>"603321"</f>
        <v>603321</v>
      </c>
      <c r="C3087" t="s">
        <v>6512</v>
      </c>
      <c r="D3087" t="s">
        <v>892</v>
      </c>
      <c r="E3087">
        <v>223865035</v>
      </c>
      <c r="F3087">
        <v>206585496</v>
      </c>
      <c r="G3087">
        <v>80302550</v>
      </c>
      <c r="H3087">
        <v>173183069</v>
      </c>
      <c r="I3087">
        <v>133022512</v>
      </c>
      <c r="J3087">
        <v>147570482</v>
      </c>
      <c r="P3087">
        <v>59</v>
      </c>
      <c r="Q3087" t="s">
        <v>6513</v>
      </c>
    </row>
    <row r="3088" spans="1:17" x14ac:dyDescent="0.3">
      <c r="A3088" t="s">
        <v>75</v>
      </c>
      <c r="B3088" t="str">
        <f>"301045"</f>
        <v>301045</v>
      </c>
      <c r="C3088" t="s">
        <v>6514</v>
      </c>
      <c r="D3088" t="s">
        <v>975</v>
      </c>
      <c r="E3088">
        <v>223773676</v>
      </c>
      <c r="F3088">
        <v>194856806</v>
      </c>
      <c r="G3088">
        <v>155554383</v>
      </c>
      <c r="P3088">
        <v>17</v>
      </c>
      <c r="Q3088" t="s">
        <v>6515</v>
      </c>
    </row>
    <row r="3089" spans="1:17" x14ac:dyDescent="0.3">
      <c r="A3089" t="s">
        <v>75</v>
      </c>
      <c r="B3089" t="str">
        <f>"300545"</f>
        <v>300545</v>
      </c>
      <c r="C3089" t="s">
        <v>6516</v>
      </c>
      <c r="D3089" t="s">
        <v>128</v>
      </c>
      <c r="E3089">
        <v>223698754</v>
      </c>
      <c r="F3089">
        <v>209261402</v>
      </c>
      <c r="G3089">
        <v>134282687</v>
      </c>
      <c r="H3089">
        <v>222215700</v>
      </c>
      <c r="I3089">
        <v>116180158</v>
      </c>
      <c r="J3089">
        <v>44038253</v>
      </c>
      <c r="K3089">
        <v>54323011</v>
      </c>
      <c r="P3089">
        <v>182</v>
      </c>
      <c r="Q3089" t="s">
        <v>6517</v>
      </c>
    </row>
    <row r="3090" spans="1:17" x14ac:dyDescent="0.3">
      <c r="A3090" t="s">
        <v>17</v>
      </c>
      <c r="B3090" t="str">
        <f>"603931"</f>
        <v>603931</v>
      </c>
      <c r="C3090" t="s">
        <v>6518</v>
      </c>
      <c r="D3090" t="s">
        <v>1853</v>
      </c>
      <c r="E3090">
        <v>223618311</v>
      </c>
      <c r="F3090">
        <v>161450350</v>
      </c>
      <c r="G3090">
        <v>133704561</v>
      </c>
      <c r="H3090">
        <v>155233047</v>
      </c>
      <c r="P3090">
        <v>88</v>
      </c>
      <c r="Q3090" t="s">
        <v>6519</v>
      </c>
    </row>
    <row r="3091" spans="1:17" x14ac:dyDescent="0.3">
      <c r="A3091" t="s">
        <v>75</v>
      </c>
      <c r="B3091" t="str">
        <f>"002401"</f>
        <v>002401</v>
      </c>
      <c r="C3091" t="s">
        <v>6520</v>
      </c>
      <c r="D3091" t="s">
        <v>224</v>
      </c>
      <c r="E3091">
        <v>223565674</v>
      </c>
      <c r="F3091">
        <v>303586573</v>
      </c>
      <c r="G3091">
        <v>304383069</v>
      </c>
      <c r="H3091">
        <v>188189860</v>
      </c>
      <c r="I3091">
        <v>222584226</v>
      </c>
      <c r="J3091">
        <v>185764296</v>
      </c>
      <c r="K3091">
        <v>400117704</v>
      </c>
      <c r="L3091">
        <v>102498007</v>
      </c>
      <c r="M3091">
        <v>89092414</v>
      </c>
      <c r="N3091">
        <v>68890588</v>
      </c>
      <c r="O3091">
        <v>73948237</v>
      </c>
      <c r="P3091">
        <v>152</v>
      </c>
      <c r="Q3091" t="s">
        <v>6521</v>
      </c>
    </row>
    <row r="3092" spans="1:17" x14ac:dyDescent="0.3">
      <c r="A3092" t="s">
        <v>75</v>
      </c>
      <c r="B3092" t="str">
        <f>"301110"</f>
        <v>301110</v>
      </c>
      <c r="C3092" t="s">
        <v>6522</v>
      </c>
      <c r="E3092">
        <v>223286205</v>
      </c>
      <c r="F3092">
        <v>254737948</v>
      </c>
      <c r="P3092">
        <v>9</v>
      </c>
      <c r="Q3092" t="s">
        <v>6523</v>
      </c>
    </row>
    <row r="3093" spans="1:17" x14ac:dyDescent="0.3">
      <c r="A3093" t="s">
        <v>75</v>
      </c>
      <c r="B3093" t="str">
        <f>"300254"</f>
        <v>300254</v>
      </c>
      <c r="C3093" t="s">
        <v>6524</v>
      </c>
      <c r="D3093" t="s">
        <v>543</v>
      </c>
      <c r="E3093">
        <v>223053355</v>
      </c>
      <c r="F3093">
        <v>245441264</v>
      </c>
      <c r="G3093">
        <v>198119755</v>
      </c>
      <c r="H3093">
        <v>292139533</v>
      </c>
      <c r="I3093">
        <v>305247631</v>
      </c>
      <c r="J3093">
        <v>177492022</v>
      </c>
      <c r="K3093">
        <v>168631647</v>
      </c>
      <c r="L3093">
        <v>150191592</v>
      </c>
      <c r="M3093">
        <v>148356238</v>
      </c>
      <c r="N3093">
        <v>114953329</v>
      </c>
      <c r="O3093">
        <v>56139831</v>
      </c>
      <c r="P3093">
        <v>82</v>
      </c>
      <c r="Q3093" t="s">
        <v>6525</v>
      </c>
    </row>
    <row r="3094" spans="1:17" x14ac:dyDescent="0.3">
      <c r="A3094" t="s">
        <v>75</v>
      </c>
      <c r="B3094" t="str">
        <f>"300518"</f>
        <v>300518</v>
      </c>
      <c r="C3094" t="s">
        <v>6526</v>
      </c>
      <c r="D3094" t="s">
        <v>1165</v>
      </c>
      <c r="E3094">
        <v>222912094</v>
      </c>
      <c r="F3094">
        <v>77905300</v>
      </c>
      <c r="G3094">
        <v>41392599</v>
      </c>
      <c r="H3094">
        <v>66607096</v>
      </c>
      <c r="I3094">
        <v>77176220</v>
      </c>
      <c r="J3094">
        <v>42906225</v>
      </c>
      <c r="K3094">
        <v>48577942</v>
      </c>
      <c r="L3094">
        <v>32829255</v>
      </c>
      <c r="P3094">
        <v>91</v>
      </c>
      <c r="Q3094" t="s">
        <v>6527</v>
      </c>
    </row>
    <row r="3095" spans="1:17" x14ac:dyDescent="0.3">
      <c r="A3095" t="s">
        <v>75</v>
      </c>
      <c r="B3095" t="str">
        <f>"002775"</f>
        <v>002775</v>
      </c>
      <c r="C3095" t="s">
        <v>6528</v>
      </c>
      <c r="D3095" t="s">
        <v>1523</v>
      </c>
      <c r="E3095">
        <v>222799446</v>
      </c>
      <c r="F3095">
        <v>363768405</v>
      </c>
      <c r="G3095">
        <v>608661685</v>
      </c>
      <c r="H3095">
        <v>623603664</v>
      </c>
      <c r="I3095">
        <v>430700421</v>
      </c>
      <c r="J3095">
        <v>325809590</v>
      </c>
      <c r="K3095">
        <v>302793275</v>
      </c>
      <c r="L3095">
        <v>0</v>
      </c>
      <c r="M3095">
        <v>0</v>
      </c>
      <c r="P3095">
        <v>218</v>
      </c>
      <c r="Q3095" t="s">
        <v>6529</v>
      </c>
    </row>
    <row r="3096" spans="1:17" x14ac:dyDescent="0.3">
      <c r="A3096" t="s">
        <v>75</v>
      </c>
      <c r="B3096" t="str">
        <f>"002801"</f>
        <v>002801</v>
      </c>
      <c r="C3096" t="s">
        <v>6530</v>
      </c>
      <c r="D3096" t="s">
        <v>1487</v>
      </c>
      <c r="E3096">
        <v>222575249</v>
      </c>
      <c r="F3096">
        <v>164384672</v>
      </c>
      <c r="G3096">
        <v>135682867</v>
      </c>
      <c r="H3096">
        <v>131166149</v>
      </c>
      <c r="I3096">
        <v>111264285</v>
      </c>
      <c r="J3096">
        <v>92888718</v>
      </c>
      <c r="K3096">
        <v>97230460</v>
      </c>
      <c r="L3096">
        <v>85163544</v>
      </c>
      <c r="P3096">
        <v>201</v>
      </c>
      <c r="Q3096" t="s">
        <v>6531</v>
      </c>
    </row>
    <row r="3097" spans="1:17" x14ac:dyDescent="0.3">
      <c r="A3097" t="s">
        <v>17</v>
      </c>
      <c r="B3097" t="str">
        <f>"603216"</f>
        <v>603216</v>
      </c>
      <c r="C3097" t="s">
        <v>6532</v>
      </c>
      <c r="D3097" t="s">
        <v>1004</v>
      </c>
      <c r="E3097">
        <v>222471872</v>
      </c>
      <c r="P3097">
        <v>22</v>
      </c>
      <c r="Q3097" t="s">
        <v>6533</v>
      </c>
    </row>
    <row r="3098" spans="1:17" x14ac:dyDescent="0.3">
      <c r="A3098" t="s">
        <v>17</v>
      </c>
      <c r="B3098" t="str">
        <f>"603717"</f>
        <v>603717</v>
      </c>
      <c r="C3098" t="s">
        <v>6534</v>
      </c>
      <c r="D3098" t="s">
        <v>1523</v>
      </c>
      <c r="E3098">
        <v>222267290</v>
      </c>
      <c r="F3098">
        <v>323064569</v>
      </c>
      <c r="G3098">
        <v>180662094</v>
      </c>
      <c r="H3098">
        <v>203659068</v>
      </c>
      <c r="I3098">
        <v>234262420</v>
      </c>
      <c r="J3098">
        <v>180522778</v>
      </c>
      <c r="K3098">
        <v>193115637</v>
      </c>
      <c r="P3098">
        <v>55</v>
      </c>
      <c r="Q3098" t="s">
        <v>6535</v>
      </c>
    </row>
    <row r="3099" spans="1:17" x14ac:dyDescent="0.3">
      <c r="A3099" t="s">
        <v>75</v>
      </c>
      <c r="B3099" t="str">
        <f>"000790"</f>
        <v>000790</v>
      </c>
      <c r="C3099" t="s">
        <v>6536</v>
      </c>
      <c r="D3099" t="s">
        <v>321</v>
      </c>
      <c r="E3099">
        <v>222218410</v>
      </c>
      <c r="F3099">
        <v>194086719</v>
      </c>
      <c r="G3099">
        <v>144969714</v>
      </c>
      <c r="H3099">
        <v>156209653</v>
      </c>
      <c r="I3099">
        <v>140845684</v>
      </c>
      <c r="J3099">
        <v>77157206</v>
      </c>
      <c r="K3099">
        <v>77526377</v>
      </c>
      <c r="L3099">
        <v>89072781</v>
      </c>
      <c r="M3099">
        <v>124453532</v>
      </c>
      <c r="N3099">
        <v>110701703</v>
      </c>
      <c r="O3099">
        <v>75523851</v>
      </c>
      <c r="P3099">
        <v>175</v>
      </c>
      <c r="Q3099" t="s">
        <v>6537</v>
      </c>
    </row>
    <row r="3100" spans="1:17" x14ac:dyDescent="0.3">
      <c r="A3100" t="s">
        <v>75</v>
      </c>
      <c r="B3100" t="str">
        <f>"002571"</f>
        <v>002571</v>
      </c>
      <c r="C3100" t="s">
        <v>6538</v>
      </c>
      <c r="D3100" t="s">
        <v>1192</v>
      </c>
      <c r="E3100">
        <v>222144830</v>
      </c>
      <c r="F3100">
        <v>190590211</v>
      </c>
      <c r="G3100">
        <v>125858447</v>
      </c>
      <c r="H3100">
        <v>184335133</v>
      </c>
      <c r="I3100">
        <v>154222139</v>
      </c>
      <c r="J3100">
        <v>190650430</v>
      </c>
      <c r="K3100">
        <v>165225140</v>
      </c>
      <c r="L3100">
        <v>215519216</v>
      </c>
      <c r="M3100">
        <v>189032118</v>
      </c>
      <c r="N3100">
        <v>135317108</v>
      </c>
      <c r="O3100">
        <v>156726379</v>
      </c>
      <c r="P3100">
        <v>92</v>
      </c>
      <c r="Q3100" t="s">
        <v>6539</v>
      </c>
    </row>
    <row r="3101" spans="1:17" x14ac:dyDescent="0.3">
      <c r="A3101" t="s">
        <v>75</v>
      </c>
      <c r="B3101" t="str">
        <f>"001234"</f>
        <v>001234</v>
      </c>
      <c r="C3101" t="s">
        <v>6540</v>
      </c>
      <c r="D3101" t="s">
        <v>2832</v>
      </c>
      <c r="E3101">
        <v>222106036</v>
      </c>
      <c r="F3101">
        <v>196216282</v>
      </c>
      <c r="P3101">
        <v>16</v>
      </c>
      <c r="Q3101" t="s">
        <v>6541</v>
      </c>
    </row>
    <row r="3102" spans="1:17" x14ac:dyDescent="0.3">
      <c r="A3102" t="s">
        <v>75</v>
      </c>
      <c r="B3102" t="str">
        <f>"300486"</f>
        <v>300486</v>
      </c>
      <c r="C3102" t="s">
        <v>6542</v>
      </c>
      <c r="D3102" t="s">
        <v>2910</v>
      </c>
      <c r="E3102">
        <v>222080205</v>
      </c>
      <c r="F3102">
        <v>142726600</v>
      </c>
      <c r="G3102">
        <v>78107816</v>
      </c>
      <c r="H3102">
        <v>120694628</v>
      </c>
      <c r="I3102">
        <v>55134502</v>
      </c>
      <c r="J3102">
        <v>91490768</v>
      </c>
      <c r="K3102">
        <v>61121960</v>
      </c>
      <c r="L3102">
        <v>44631374</v>
      </c>
      <c r="M3102">
        <v>29911938</v>
      </c>
      <c r="P3102">
        <v>74</v>
      </c>
      <c r="Q3102" t="s">
        <v>6543</v>
      </c>
    </row>
    <row r="3103" spans="1:17" x14ac:dyDescent="0.3">
      <c r="A3103" t="s">
        <v>75</v>
      </c>
      <c r="B3103" t="str">
        <f>"300560"</f>
        <v>300560</v>
      </c>
      <c r="C3103" t="s">
        <v>6544</v>
      </c>
      <c r="D3103" t="s">
        <v>1647</v>
      </c>
      <c r="E3103">
        <v>221938205</v>
      </c>
      <c r="F3103">
        <v>195220090</v>
      </c>
      <c r="G3103">
        <v>156770388</v>
      </c>
      <c r="H3103">
        <v>131199712</v>
      </c>
      <c r="I3103">
        <v>113471380</v>
      </c>
      <c r="J3103">
        <v>84123038</v>
      </c>
      <c r="K3103">
        <v>75079988</v>
      </c>
      <c r="P3103">
        <v>192</v>
      </c>
      <c r="Q3103" t="s">
        <v>6545</v>
      </c>
    </row>
    <row r="3104" spans="1:17" x14ac:dyDescent="0.3">
      <c r="A3104" t="s">
        <v>75</v>
      </c>
      <c r="B3104" t="str">
        <f>"300286"</f>
        <v>300286</v>
      </c>
      <c r="C3104" t="s">
        <v>6546</v>
      </c>
      <c r="D3104" t="s">
        <v>2251</v>
      </c>
      <c r="E3104">
        <v>221817287</v>
      </c>
      <c r="F3104">
        <v>196959167</v>
      </c>
      <c r="G3104">
        <v>105900274</v>
      </c>
      <c r="H3104">
        <v>124983047</v>
      </c>
      <c r="I3104">
        <v>113200248</v>
      </c>
      <c r="J3104">
        <v>109817251</v>
      </c>
      <c r="K3104">
        <v>92942813</v>
      </c>
      <c r="L3104">
        <v>87021030</v>
      </c>
      <c r="M3104">
        <v>79940004</v>
      </c>
      <c r="N3104">
        <v>48262299</v>
      </c>
      <c r="O3104">
        <v>38391824</v>
      </c>
      <c r="P3104">
        <v>272</v>
      </c>
      <c r="Q3104" t="s">
        <v>6547</v>
      </c>
    </row>
    <row r="3105" spans="1:17" x14ac:dyDescent="0.3">
      <c r="A3105" t="s">
        <v>75</v>
      </c>
      <c r="B3105" t="str">
        <f>"300507"</f>
        <v>300507</v>
      </c>
      <c r="C3105" t="s">
        <v>6548</v>
      </c>
      <c r="D3105" t="s">
        <v>172</v>
      </c>
      <c r="E3105">
        <v>221796803</v>
      </c>
      <c r="F3105">
        <v>229526316</v>
      </c>
      <c r="G3105">
        <v>209664868</v>
      </c>
      <c r="H3105">
        <v>170758340</v>
      </c>
      <c r="I3105">
        <v>167862871</v>
      </c>
      <c r="J3105">
        <v>150310863</v>
      </c>
      <c r="K3105">
        <v>147601794</v>
      </c>
      <c r="L3105">
        <v>116651336</v>
      </c>
      <c r="P3105">
        <v>137</v>
      </c>
      <c r="Q3105" t="s">
        <v>6549</v>
      </c>
    </row>
    <row r="3106" spans="1:17" x14ac:dyDescent="0.3">
      <c r="A3106" t="s">
        <v>17</v>
      </c>
      <c r="B3106" t="str">
        <f>"603499"</f>
        <v>603499</v>
      </c>
      <c r="C3106" t="s">
        <v>6550</v>
      </c>
      <c r="D3106" t="s">
        <v>1176</v>
      </c>
      <c r="E3106">
        <v>221409631</v>
      </c>
      <c r="F3106">
        <v>149719039</v>
      </c>
      <c r="G3106">
        <v>51787685</v>
      </c>
      <c r="H3106">
        <v>95833765</v>
      </c>
      <c r="I3106">
        <v>98562915</v>
      </c>
      <c r="J3106">
        <v>112104726</v>
      </c>
      <c r="P3106">
        <v>83</v>
      </c>
      <c r="Q3106" t="s">
        <v>6551</v>
      </c>
    </row>
    <row r="3107" spans="1:17" x14ac:dyDescent="0.3">
      <c r="A3107" t="s">
        <v>75</v>
      </c>
      <c r="B3107" t="str">
        <f>"002896"</f>
        <v>002896</v>
      </c>
      <c r="C3107" t="s">
        <v>6552</v>
      </c>
      <c r="D3107" t="s">
        <v>153</v>
      </c>
      <c r="E3107">
        <v>220974408</v>
      </c>
      <c r="F3107">
        <v>232583867</v>
      </c>
      <c r="G3107">
        <v>150543869</v>
      </c>
      <c r="H3107">
        <v>152755849</v>
      </c>
      <c r="I3107">
        <v>129779084</v>
      </c>
      <c r="J3107">
        <v>99232155</v>
      </c>
      <c r="P3107">
        <v>137</v>
      </c>
      <c r="Q3107" t="s">
        <v>6553</v>
      </c>
    </row>
    <row r="3108" spans="1:17" x14ac:dyDescent="0.3">
      <c r="A3108" t="s">
        <v>17</v>
      </c>
      <c r="B3108" t="str">
        <f>"605116"</f>
        <v>605116</v>
      </c>
      <c r="C3108" t="s">
        <v>6554</v>
      </c>
      <c r="D3108" t="s">
        <v>1242</v>
      </c>
      <c r="E3108">
        <v>220963775</v>
      </c>
      <c r="F3108">
        <v>169442474</v>
      </c>
      <c r="G3108">
        <v>137285582</v>
      </c>
      <c r="P3108">
        <v>81</v>
      </c>
      <c r="Q3108" t="s">
        <v>6555</v>
      </c>
    </row>
    <row r="3109" spans="1:17" x14ac:dyDescent="0.3">
      <c r="A3109" t="s">
        <v>17</v>
      </c>
      <c r="B3109" t="str">
        <f>"600215"</f>
        <v>600215</v>
      </c>
      <c r="C3109" t="s">
        <v>6556</v>
      </c>
      <c r="D3109" t="s">
        <v>65</v>
      </c>
      <c r="E3109">
        <v>220875792</v>
      </c>
      <c r="F3109">
        <v>55709474</v>
      </c>
      <c r="G3109">
        <v>27515623</v>
      </c>
      <c r="H3109">
        <v>43347851</v>
      </c>
      <c r="I3109">
        <v>134028061</v>
      </c>
      <c r="J3109">
        <v>106150976</v>
      </c>
      <c r="K3109">
        <v>99607565</v>
      </c>
      <c r="L3109">
        <v>37771443</v>
      </c>
      <c r="M3109">
        <v>84335855</v>
      </c>
      <c r="N3109">
        <v>118493537</v>
      </c>
      <c r="O3109">
        <v>10062547</v>
      </c>
      <c r="P3109">
        <v>77</v>
      </c>
      <c r="Q3109" t="s">
        <v>6557</v>
      </c>
    </row>
    <row r="3110" spans="1:17" x14ac:dyDescent="0.3">
      <c r="A3110" t="s">
        <v>75</v>
      </c>
      <c r="B3110" t="str">
        <f>"300128"</f>
        <v>300128</v>
      </c>
      <c r="C3110" t="s">
        <v>6558</v>
      </c>
      <c r="D3110" t="s">
        <v>128</v>
      </c>
      <c r="E3110">
        <v>220803002</v>
      </c>
      <c r="F3110">
        <v>284215090</v>
      </c>
      <c r="G3110">
        <v>321043666</v>
      </c>
      <c r="H3110">
        <v>418113517</v>
      </c>
      <c r="I3110">
        <v>592770130</v>
      </c>
      <c r="J3110">
        <v>651298391</v>
      </c>
      <c r="K3110">
        <v>602067516</v>
      </c>
      <c r="L3110">
        <v>679116760</v>
      </c>
      <c r="M3110">
        <v>627121787</v>
      </c>
      <c r="N3110">
        <v>531972070</v>
      </c>
      <c r="O3110">
        <v>330247094</v>
      </c>
      <c r="P3110">
        <v>145</v>
      </c>
      <c r="Q3110" t="s">
        <v>6559</v>
      </c>
    </row>
    <row r="3111" spans="1:17" x14ac:dyDescent="0.3">
      <c r="A3111" t="s">
        <v>75</v>
      </c>
      <c r="B3111" t="str">
        <f>"002023"</f>
        <v>002023</v>
      </c>
      <c r="C3111" t="s">
        <v>6560</v>
      </c>
      <c r="D3111" t="s">
        <v>1551</v>
      </c>
      <c r="E3111">
        <v>220478042</v>
      </c>
      <c r="F3111">
        <v>297735324</v>
      </c>
      <c r="G3111">
        <v>124686578</v>
      </c>
      <c r="H3111">
        <v>174310648</v>
      </c>
      <c r="I3111">
        <v>158100306</v>
      </c>
      <c r="J3111">
        <v>78560728</v>
      </c>
      <c r="K3111">
        <v>53012937</v>
      </c>
      <c r="L3111">
        <v>46654142</v>
      </c>
      <c r="M3111">
        <v>78476545</v>
      </c>
      <c r="N3111">
        <v>50690359</v>
      </c>
      <c r="O3111">
        <v>36679872</v>
      </c>
      <c r="P3111">
        <v>580</v>
      </c>
      <c r="Q3111" t="s">
        <v>6561</v>
      </c>
    </row>
    <row r="3112" spans="1:17" x14ac:dyDescent="0.3">
      <c r="A3112" t="s">
        <v>17</v>
      </c>
      <c r="B3112" t="str">
        <f>"600156"</f>
        <v>600156</v>
      </c>
      <c r="C3112" t="s">
        <v>6562</v>
      </c>
      <c r="D3112" t="s">
        <v>2832</v>
      </c>
      <c r="E3112">
        <v>220368510</v>
      </c>
      <c r="F3112">
        <v>242131572</v>
      </c>
      <c r="G3112">
        <v>230585105</v>
      </c>
      <c r="H3112">
        <v>265222445</v>
      </c>
      <c r="I3112">
        <v>241656439</v>
      </c>
      <c r="J3112">
        <v>166742777</v>
      </c>
      <c r="K3112">
        <v>189316615</v>
      </c>
      <c r="L3112">
        <v>161814797</v>
      </c>
      <c r="M3112">
        <v>175981010</v>
      </c>
      <c r="N3112">
        <v>245104734</v>
      </c>
      <c r="O3112">
        <v>216578746</v>
      </c>
      <c r="P3112">
        <v>75</v>
      </c>
      <c r="Q3112" t="s">
        <v>6563</v>
      </c>
    </row>
    <row r="3113" spans="1:17" x14ac:dyDescent="0.3">
      <c r="A3113" t="s">
        <v>17</v>
      </c>
      <c r="B3113" t="str">
        <f>"603330"</f>
        <v>603330</v>
      </c>
      <c r="C3113" t="s">
        <v>6564</v>
      </c>
      <c r="D3113" t="s">
        <v>3251</v>
      </c>
      <c r="E3113">
        <v>220332643</v>
      </c>
      <c r="F3113">
        <v>194902022</v>
      </c>
      <c r="G3113">
        <v>119342758</v>
      </c>
      <c r="H3113">
        <v>121393952</v>
      </c>
      <c r="I3113">
        <v>101882977</v>
      </c>
      <c r="J3113">
        <v>74838116</v>
      </c>
      <c r="K3113">
        <v>69279862</v>
      </c>
      <c r="P3113">
        <v>136</v>
      </c>
      <c r="Q3113" t="s">
        <v>6565</v>
      </c>
    </row>
    <row r="3114" spans="1:17" x14ac:dyDescent="0.3">
      <c r="A3114" t="s">
        <v>17</v>
      </c>
      <c r="B3114" t="str">
        <f>"600201"</f>
        <v>600201</v>
      </c>
      <c r="C3114" t="s">
        <v>6566</v>
      </c>
      <c r="D3114" t="s">
        <v>3609</v>
      </c>
      <c r="E3114">
        <v>220215634</v>
      </c>
      <c r="F3114">
        <v>323462920</v>
      </c>
      <c r="G3114">
        <v>219327058</v>
      </c>
      <c r="H3114">
        <v>275263225</v>
      </c>
      <c r="I3114">
        <v>337497669</v>
      </c>
      <c r="J3114">
        <v>344538708</v>
      </c>
      <c r="K3114">
        <v>251251749</v>
      </c>
      <c r="L3114">
        <v>201566134</v>
      </c>
      <c r="M3114">
        <v>196840725</v>
      </c>
      <c r="N3114">
        <v>120035009</v>
      </c>
      <c r="O3114">
        <v>46962911</v>
      </c>
      <c r="P3114">
        <v>1764</v>
      </c>
      <c r="Q3114" t="s">
        <v>6567</v>
      </c>
    </row>
    <row r="3115" spans="1:17" x14ac:dyDescent="0.3">
      <c r="A3115" t="s">
        <v>75</v>
      </c>
      <c r="B3115" t="str">
        <f>"002186"</f>
        <v>002186</v>
      </c>
      <c r="C3115" t="s">
        <v>6568</v>
      </c>
      <c r="D3115" t="s">
        <v>4807</v>
      </c>
      <c r="E3115">
        <v>219800950</v>
      </c>
      <c r="F3115">
        <v>201884778</v>
      </c>
      <c r="G3115">
        <v>186883735</v>
      </c>
      <c r="H3115">
        <v>433146505</v>
      </c>
      <c r="I3115">
        <v>493904519</v>
      </c>
      <c r="J3115">
        <v>474144614</v>
      </c>
      <c r="K3115">
        <v>421351277</v>
      </c>
      <c r="L3115">
        <v>444052439</v>
      </c>
      <c r="M3115">
        <v>447789411</v>
      </c>
      <c r="N3115">
        <v>428491973</v>
      </c>
      <c r="O3115">
        <v>436173130</v>
      </c>
      <c r="P3115">
        <v>179</v>
      </c>
      <c r="Q3115" t="s">
        <v>6569</v>
      </c>
    </row>
    <row r="3116" spans="1:17" x14ac:dyDescent="0.3">
      <c r="A3116" t="s">
        <v>75</v>
      </c>
      <c r="B3116" t="str">
        <f>"002492"</f>
        <v>002492</v>
      </c>
      <c r="C3116" t="s">
        <v>6570</v>
      </c>
      <c r="D3116" t="s">
        <v>331</v>
      </c>
      <c r="E3116">
        <v>219728602</v>
      </c>
      <c r="F3116">
        <v>109021503</v>
      </c>
      <c r="G3116">
        <v>116561208</v>
      </c>
      <c r="H3116">
        <v>71032827</v>
      </c>
      <c r="I3116">
        <v>88112279</v>
      </c>
      <c r="J3116">
        <v>45816877</v>
      </c>
      <c r="K3116">
        <v>39053765</v>
      </c>
      <c r="L3116">
        <v>31601615</v>
      </c>
      <c r="M3116">
        <v>41961168</v>
      </c>
      <c r="N3116">
        <v>35802627</v>
      </c>
      <c r="O3116">
        <v>41022781</v>
      </c>
      <c r="P3116">
        <v>94</v>
      </c>
      <c r="Q3116" t="s">
        <v>6571</v>
      </c>
    </row>
    <row r="3117" spans="1:17" x14ac:dyDescent="0.3">
      <c r="A3117" t="s">
        <v>75</v>
      </c>
      <c r="B3117" t="str">
        <f>"300768"</f>
        <v>300768</v>
      </c>
      <c r="C3117" t="s">
        <v>6572</v>
      </c>
      <c r="D3117" t="s">
        <v>989</v>
      </c>
      <c r="E3117">
        <v>219608735</v>
      </c>
      <c r="F3117">
        <v>166192766</v>
      </c>
      <c r="G3117">
        <v>149918210</v>
      </c>
      <c r="H3117">
        <v>205053742</v>
      </c>
      <c r="I3117">
        <v>151454788</v>
      </c>
      <c r="P3117">
        <v>240</v>
      </c>
      <c r="Q3117" t="s">
        <v>6573</v>
      </c>
    </row>
    <row r="3118" spans="1:17" x14ac:dyDescent="0.3">
      <c r="A3118" t="s">
        <v>17</v>
      </c>
      <c r="B3118" t="str">
        <f>"688101"</f>
        <v>688101</v>
      </c>
      <c r="C3118" t="s">
        <v>6574</v>
      </c>
      <c r="D3118" t="s">
        <v>1107</v>
      </c>
      <c r="E3118">
        <v>219328298</v>
      </c>
      <c r="F3118">
        <v>143718366</v>
      </c>
      <c r="G3118">
        <v>126099646</v>
      </c>
      <c r="H3118">
        <v>153956769</v>
      </c>
      <c r="P3118">
        <v>77</v>
      </c>
      <c r="Q3118" t="s">
        <v>6575</v>
      </c>
    </row>
    <row r="3119" spans="1:17" x14ac:dyDescent="0.3">
      <c r="A3119" t="s">
        <v>17</v>
      </c>
      <c r="B3119" t="str">
        <f>"688030"</f>
        <v>688030</v>
      </c>
      <c r="C3119" t="s">
        <v>6576</v>
      </c>
      <c r="D3119" t="s">
        <v>989</v>
      </c>
      <c r="E3119">
        <v>219285641</v>
      </c>
      <c r="F3119">
        <v>130592796</v>
      </c>
      <c r="G3119">
        <v>116104833</v>
      </c>
      <c r="H3119">
        <v>146066503</v>
      </c>
      <c r="P3119">
        <v>145</v>
      </c>
      <c r="Q3119" t="s">
        <v>6577</v>
      </c>
    </row>
    <row r="3120" spans="1:17" x14ac:dyDescent="0.3">
      <c r="A3120" t="s">
        <v>75</v>
      </c>
      <c r="B3120" t="str">
        <f>"003042"</f>
        <v>003042</v>
      </c>
      <c r="C3120" t="s">
        <v>6578</v>
      </c>
      <c r="D3120" t="s">
        <v>811</v>
      </c>
      <c r="E3120">
        <v>218972427</v>
      </c>
      <c r="F3120">
        <v>207350013</v>
      </c>
      <c r="G3120">
        <v>215355806</v>
      </c>
      <c r="P3120">
        <v>29</v>
      </c>
      <c r="Q3120" t="s">
        <v>6579</v>
      </c>
    </row>
    <row r="3121" spans="1:17" x14ac:dyDescent="0.3">
      <c r="A3121" t="s">
        <v>17</v>
      </c>
      <c r="B3121" t="str">
        <f>"603508"</f>
        <v>603508</v>
      </c>
      <c r="C3121" t="s">
        <v>6580</v>
      </c>
      <c r="D3121" t="s">
        <v>337</v>
      </c>
      <c r="E3121">
        <v>218681509</v>
      </c>
      <c r="F3121">
        <v>172314298</v>
      </c>
      <c r="G3121">
        <v>188665505</v>
      </c>
      <c r="H3121">
        <v>185837634</v>
      </c>
      <c r="I3121">
        <v>185868009</v>
      </c>
      <c r="J3121">
        <v>211519812</v>
      </c>
      <c r="K3121">
        <v>259254940</v>
      </c>
      <c r="L3121">
        <v>0</v>
      </c>
      <c r="M3121">
        <v>0</v>
      </c>
      <c r="P3121">
        <v>219</v>
      </c>
      <c r="Q3121" t="s">
        <v>6581</v>
      </c>
    </row>
    <row r="3122" spans="1:17" x14ac:dyDescent="0.3">
      <c r="A3122" t="s">
        <v>75</v>
      </c>
      <c r="B3122" t="str">
        <f>"300161"</f>
        <v>300161</v>
      </c>
      <c r="C3122" t="s">
        <v>6582</v>
      </c>
      <c r="D3122" t="s">
        <v>3360</v>
      </c>
      <c r="E3122">
        <v>218466025</v>
      </c>
      <c r="F3122">
        <v>229510707</v>
      </c>
      <c r="G3122">
        <v>203733732</v>
      </c>
      <c r="H3122">
        <v>116538988</v>
      </c>
      <c r="I3122">
        <v>227973414</v>
      </c>
      <c r="J3122">
        <v>113192380</v>
      </c>
      <c r="K3122">
        <v>76625963</v>
      </c>
      <c r="L3122">
        <v>57192905</v>
      </c>
      <c r="M3122">
        <v>59743800</v>
      </c>
      <c r="N3122">
        <v>55481417</v>
      </c>
      <c r="O3122">
        <v>38417694</v>
      </c>
      <c r="P3122">
        <v>159</v>
      </c>
      <c r="Q3122" t="s">
        <v>6583</v>
      </c>
    </row>
    <row r="3123" spans="1:17" x14ac:dyDescent="0.3">
      <c r="A3123" t="s">
        <v>17</v>
      </c>
      <c r="B3123" t="str">
        <f>"603171"</f>
        <v>603171</v>
      </c>
      <c r="C3123" t="s">
        <v>6584</v>
      </c>
      <c r="D3123" t="s">
        <v>224</v>
      </c>
      <c r="E3123">
        <v>218338062</v>
      </c>
      <c r="F3123">
        <v>177983768</v>
      </c>
      <c r="G3123">
        <v>204106833</v>
      </c>
      <c r="P3123">
        <v>54</v>
      </c>
      <c r="Q3123" t="s">
        <v>6585</v>
      </c>
    </row>
    <row r="3124" spans="1:17" x14ac:dyDescent="0.3">
      <c r="A3124" t="s">
        <v>17</v>
      </c>
      <c r="B3124" t="str">
        <f>"601616"</f>
        <v>601616</v>
      </c>
      <c r="C3124" t="s">
        <v>6586</v>
      </c>
      <c r="D3124" t="s">
        <v>546</v>
      </c>
      <c r="E3124">
        <v>217943803</v>
      </c>
      <c r="F3124">
        <v>258638399</v>
      </c>
      <c r="G3124">
        <v>182068960</v>
      </c>
      <c r="H3124">
        <v>165955651</v>
      </c>
      <c r="I3124">
        <v>190649407</v>
      </c>
      <c r="J3124">
        <v>161033030</v>
      </c>
      <c r="K3124">
        <v>193773314</v>
      </c>
      <c r="L3124">
        <v>260738923</v>
      </c>
      <c r="M3124">
        <v>282412235</v>
      </c>
      <c r="N3124">
        <v>248618017</v>
      </c>
      <c r="O3124">
        <v>215183751</v>
      </c>
      <c r="P3124">
        <v>72</v>
      </c>
      <c r="Q3124" t="s">
        <v>6587</v>
      </c>
    </row>
    <row r="3125" spans="1:17" x14ac:dyDescent="0.3">
      <c r="A3125" t="s">
        <v>17</v>
      </c>
      <c r="B3125" t="str">
        <f>"600722"</f>
        <v>600722</v>
      </c>
      <c r="C3125" t="s">
        <v>6588</v>
      </c>
      <c r="D3125" t="s">
        <v>311</v>
      </c>
      <c r="E3125">
        <v>217880480</v>
      </c>
      <c r="F3125">
        <v>145617185</v>
      </c>
      <c r="G3125">
        <v>121363076</v>
      </c>
      <c r="H3125">
        <v>259030744</v>
      </c>
      <c r="I3125">
        <v>129704740</v>
      </c>
      <c r="J3125">
        <v>180993267</v>
      </c>
      <c r="K3125">
        <v>74284492</v>
      </c>
      <c r="L3125">
        <v>130518729</v>
      </c>
      <c r="M3125">
        <v>187611002</v>
      </c>
      <c r="N3125">
        <v>351464249</v>
      </c>
      <c r="O3125">
        <v>124853708</v>
      </c>
      <c r="P3125">
        <v>97</v>
      </c>
      <c r="Q3125" t="s">
        <v>6589</v>
      </c>
    </row>
    <row r="3126" spans="1:17" x14ac:dyDescent="0.3">
      <c r="A3126" t="s">
        <v>17</v>
      </c>
      <c r="B3126" t="str">
        <f>"688123"</f>
        <v>688123</v>
      </c>
      <c r="C3126" t="s">
        <v>6590</v>
      </c>
      <c r="D3126" t="s">
        <v>883</v>
      </c>
      <c r="E3126">
        <v>217879130</v>
      </c>
      <c r="F3126">
        <v>126088828</v>
      </c>
      <c r="G3126">
        <v>124543084</v>
      </c>
      <c r="H3126">
        <v>92356540</v>
      </c>
      <c r="P3126">
        <v>163</v>
      </c>
      <c r="Q3126" t="s">
        <v>6591</v>
      </c>
    </row>
    <row r="3127" spans="1:17" x14ac:dyDescent="0.3">
      <c r="A3127" t="s">
        <v>75</v>
      </c>
      <c r="B3127" t="str">
        <f>"002467"</f>
        <v>002467</v>
      </c>
      <c r="C3127" t="s">
        <v>6592</v>
      </c>
      <c r="D3127" t="s">
        <v>3310</v>
      </c>
      <c r="E3127">
        <v>217859990</v>
      </c>
      <c r="F3127">
        <v>222313755</v>
      </c>
      <c r="G3127">
        <v>229555812</v>
      </c>
      <c r="H3127">
        <v>258613352</v>
      </c>
      <c r="I3127">
        <v>187116423</v>
      </c>
      <c r="J3127">
        <v>224057094</v>
      </c>
      <c r="K3127">
        <v>201258924</v>
      </c>
      <c r="L3127">
        <v>158200286</v>
      </c>
      <c r="M3127">
        <v>176101763</v>
      </c>
      <c r="N3127">
        <v>182043909</v>
      </c>
      <c r="O3127">
        <v>70425200</v>
      </c>
      <c r="P3127">
        <v>200</v>
      </c>
      <c r="Q3127" t="s">
        <v>6593</v>
      </c>
    </row>
    <row r="3128" spans="1:17" x14ac:dyDescent="0.3">
      <c r="A3128" t="s">
        <v>75</v>
      </c>
      <c r="B3128" t="str">
        <f>"000935"</f>
        <v>000935</v>
      </c>
      <c r="C3128" t="s">
        <v>6594</v>
      </c>
      <c r="D3128" t="s">
        <v>191</v>
      </c>
      <c r="E3128">
        <v>217731834</v>
      </c>
      <c r="F3128">
        <v>230459346</v>
      </c>
      <c r="G3128">
        <v>323275648</v>
      </c>
      <c r="H3128">
        <v>252810618</v>
      </c>
      <c r="I3128">
        <v>374318944</v>
      </c>
      <c r="J3128">
        <v>337193023</v>
      </c>
      <c r="K3128">
        <v>318195078</v>
      </c>
      <c r="L3128">
        <v>203914605</v>
      </c>
      <c r="M3128">
        <v>347458101</v>
      </c>
      <c r="N3128">
        <v>363872364</v>
      </c>
      <c r="O3128">
        <v>283087071</v>
      </c>
      <c r="P3128">
        <v>230</v>
      </c>
      <c r="Q3128" t="s">
        <v>6595</v>
      </c>
    </row>
    <row r="3129" spans="1:17" x14ac:dyDescent="0.3">
      <c r="A3129" t="s">
        <v>75</v>
      </c>
      <c r="B3129" t="str">
        <f>"001317"</f>
        <v>001317</v>
      </c>
      <c r="C3129" t="s">
        <v>6596</v>
      </c>
      <c r="D3129" t="s">
        <v>486</v>
      </c>
      <c r="E3129">
        <v>217629093</v>
      </c>
      <c r="P3129">
        <v>23</v>
      </c>
      <c r="Q3129" t="s">
        <v>6597</v>
      </c>
    </row>
    <row r="3130" spans="1:17" x14ac:dyDescent="0.3">
      <c r="A3130" t="s">
        <v>75</v>
      </c>
      <c r="B3130" t="str">
        <f>"002162"</f>
        <v>002162</v>
      </c>
      <c r="C3130" t="s">
        <v>6598</v>
      </c>
      <c r="D3130" t="s">
        <v>2153</v>
      </c>
      <c r="E3130">
        <v>217506346</v>
      </c>
      <c r="F3130">
        <v>237731531</v>
      </c>
      <c r="G3130">
        <v>123107339</v>
      </c>
      <c r="H3130">
        <v>196307316</v>
      </c>
      <c r="I3130">
        <v>169445785</v>
      </c>
      <c r="J3130">
        <v>189918140</v>
      </c>
      <c r="K3130">
        <v>143808323</v>
      </c>
      <c r="L3130">
        <v>143452115</v>
      </c>
      <c r="M3130">
        <v>175373263</v>
      </c>
      <c r="N3130">
        <v>193898085</v>
      </c>
      <c r="O3130">
        <v>168792035</v>
      </c>
      <c r="P3130">
        <v>137</v>
      </c>
      <c r="Q3130" t="s">
        <v>6599</v>
      </c>
    </row>
    <row r="3131" spans="1:17" x14ac:dyDescent="0.3">
      <c r="A3131" t="s">
        <v>75</v>
      </c>
      <c r="B3131" t="str">
        <f>"002942"</f>
        <v>002942</v>
      </c>
      <c r="C3131" t="s">
        <v>6600</v>
      </c>
      <c r="D3131" t="s">
        <v>811</v>
      </c>
      <c r="E3131">
        <v>217462784</v>
      </c>
      <c r="F3131">
        <v>213614914</v>
      </c>
      <c r="G3131">
        <v>225486357</v>
      </c>
      <c r="H3131">
        <v>206183354</v>
      </c>
      <c r="I3131">
        <v>170023716</v>
      </c>
      <c r="P3131">
        <v>414</v>
      </c>
      <c r="Q3131" t="s">
        <v>6601</v>
      </c>
    </row>
    <row r="3132" spans="1:17" x14ac:dyDescent="0.3">
      <c r="A3132" t="s">
        <v>75</v>
      </c>
      <c r="B3132" t="str">
        <f>"300622"</f>
        <v>300622</v>
      </c>
      <c r="C3132" t="s">
        <v>6602</v>
      </c>
      <c r="D3132" t="s">
        <v>241</v>
      </c>
      <c r="E3132">
        <v>217301974</v>
      </c>
      <c r="F3132">
        <v>196161462</v>
      </c>
      <c r="G3132">
        <v>101355696</v>
      </c>
      <c r="H3132">
        <v>148693056</v>
      </c>
      <c r="I3132">
        <v>138688003</v>
      </c>
      <c r="J3132">
        <v>122874193</v>
      </c>
      <c r="K3132">
        <v>112448172</v>
      </c>
      <c r="P3132">
        <v>123</v>
      </c>
      <c r="Q3132" t="s">
        <v>6603</v>
      </c>
    </row>
    <row r="3133" spans="1:17" x14ac:dyDescent="0.3">
      <c r="A3133" t="s">
        <v>75</v>
      </c>
      <c r="B3133" t="str">
        <f>"000038"</f>
        <v>000038</v>
      </c>
      <c r="C3133" t="s">
        <v>6604</v>
      </c>
      <c r="D3133" t="s">
        <v>1284</v>
      </c>
      <c r="E3133">
        <v>217230738</v>
      </c>
      <c r="F3133">
        <v>756842152</v>
      </c>
      <c r="G3133">
        <v>222947589</v>
      </c>
      <c r="H3133">
        <v>401226138</v>
      </c>
      <c r="I3133">
        <v>490839800</v>
      </c>
      <c r="J3133">
        <v>269514182</v>
      </c>
      <c r="K3133">
        <v>241321831</v>
      </c>
      <c r="L3133">
        <v>28112427</v>
      </c>
      <c r="M3133">
        <v>52610448</v>
      </c>
      <c r="N3133">
        <v>34527658</v>
      </c>
      <c r="O3133">
        <v>29814874</v>
      </c>
      <c r="P3133">
        <v>113</v>
      </c>
      <c r="Q3133" t="s">
        <v>6605</v>
      </c>
    </row>
    <row r="3134" spans="1:17" x14ac:dyDescent="0.3">
      <c r="A3134" t="s">
        <v>75</v>
      </c>
      <c r="B3134" t="str">
        <f>"300016"</f>
        <v>300016</v>
      </c>
      <c r="C3134" t="s">
        <v>6606</v>
      </c>
      <c r="D3134" t="s">
        <v>543</v>
      </c>
      <c r="E3134">
        <v>217103767</v>
      </c>
      <c r="F3134">
        <v>231776896</v>
      </c>
      <c r="G3134">
        <v>188819098</v>
      </c>
      <c r="H3134">
        <v>203227893</v>
      </c>
      <c r="I3134">
        <v>134162640</v>
      </c>
      <c r="J3134">
        <v>117533300</v>
      </c>
      <c r="K3134">
        <v>134704648</v>
      </c>
      <c r="L3134">
        <v>98470552</v>
      </c>
      <c r="M3134">
        <v>53210632</v>
      </c>
      <c r="N3134">
        <v>50786880</v>
      </c>
      <c r="O3134">
        <v>45722393</v>
      </c>
      <c r="P3134">
        <v>305</v>
      </c>
      <c r="Q3134" t="s">
        <v>6607</v>
      </c>
    </row>
    <row r="3135" spans="1:17" x14ac:dyDescent="0.3">
      <c r="A3135" t="s">
        <v>75</v>
      </c>
      <c r="B3135" t="str">
        <f>"002017"</f>
        <v>002017</v>
      </c>
      <c r="C3135" t="s">
        <v>6608</v>
      </c>
      <c r="D3135" t="s">
        <v>556</v>
      </c>
      <c r="E3135">
        <v>216805256</v>
      </c>
      <c r="F3135">
        <v>243883458</v>
      </c>
      <c r="G3135">
        <v>173459108</v>
      </c>
      <c r="H3135">
        <v>208736250</v>
      </c>
      <c r="I3135">
        <v>182690217</v>
      </c>
      <c r="J3135">
        <v>266309665</v>
      </c>
      <c r="K3135">
        <v>292108636</v>
      </c>
      <c r="L3135">
        <v>219582058</v>
      </c>
      <c r="M3135">
        <v>228600147</v>
      </c>
      <c r="N3135">
        <v>171767095</v>
      </c>
      <c r="O3135">
        <v>202886925</v>
      </c>
      <c r="P3135">
        <v>216</v>
      </c>
      <c r="Q3135" t="s">
        <v>6609</v>
      </c>
    </row>
    <row r="3136" spans="1:17" x14ac:dyDescent="0.3">
      <c r="A3136" t="s">
        <v>75</v>
      </c>
      <c r="B3136" t="str">
        <f>"300707"</f>
        <v>300707</v>
      </c>
      <c r="C3136" t="s">
        <v>6610</v>
      </c>
      <c r="D3136" t="s">
        <v>1321</v>
      </c>
      <c r="E3136">
        <v>216685767</v>
      </c>
      <c r="F3136">
        <v>158628680</v>
      </c>
      <c r="G3136">
        <v>124809259</v>
      </c>
      <c r="H3136">
        <v>116242793</v>
      </c>
      <c r="I3136">
        <v>139625858</v>
      </c>
      <c r="J3136">
        <v>97274810</v>
      </c>
      <c r="P3136">
        <v>140</v>
      </c>
      <c r="Q3136" t="s">
        <v>6611</v>
      </c>
    </row>
    <row r="3137" spans="1:17" x14ac:dyDescent="0.3">
      <c r="A3137" t="s">
        <v>75</v>
      </c>
      <c r="B3137" t="str">
        <f>"002766"</f>
        <v>002766</v>
      </c>
      <c r="C3137" t="s">
        <v>6612</v>
      </c>
      <c r="D3137" t="s">
        <v>433</v>
      </c>
      <c r="E3137">
        <v>216592940</v>
      </c>
      <c r="F3137">
        <v>262791611</v>
      </c>
      <c r="G3137">
        <v>171955315</v>
      </c>
      <c r="H3137">
        <v>247129487</v>
      </c>
      <c r="I3137">
        <v>381806344</v>
      </c>
      <c r="J3137">
        <v>280687868</v>
      </c>
      <c r="K3137">
        <v>180357439</v>
      </c>
      <c r="L3137">
        <v>198499401</v>
      </c>
      <c r="M3137">
        <v>195481750</v>
      </c>
      <c r="P3137">
        <v>85</v>
      </c>
      <c r="Q3137" t="s">
        <v>6613</v>
      </c>
    </row>
    <row r="3138" spans="1:17" x14ac:dyDescent="0.3">
      <c r="A3138" t="s">
        <v>75</v>
      </c>
      <c r="B3138" t="str">
        <f>"300681"</f>
        <v>300681</v>
      </c>
      <c r="C3138" t="s">
        <v>6614</v>
      </c>
      <c r="D3138" t="s">
        <v>433</v>
      </c>
      <c r="E3138">
        <v>216564561</v>
      </c>
      <c r="F3138">
        <v>68934674</v>
      </c>
      <c r="G3138">
        <v>55308697</v>
      </c>
      <c r="H3138">
        <v>146396917</v>
      </c>
      <c r="I3138">
        <v>65416975</v>
      </c>
      <c r="J3138">
        <v>33226893</v>
      </c>
      <c r="K3138">
        <v>37160932</v>
      </c>
      <c r="P3138">
        <v>89</v>
      </c>
      <c r="Q3138" t="s">
        <v>6615</v>
      </c>
    </row>
    <row r="3139" spans="1:17" x14ac:dyDescent="0.3">
      <c r="A3139" t="s">
        <v>17</v>
      </c>
      <c r="B3139" t="str">
        <f>"601519"</f>
        <v>601519</v>
      </c>
      <c r="C3139" t="s">
        <v>6616</v>
      </c>
      <c r="D3139" t="s">
        <v>116</v>
      </c>
      <c r="E3139">
        <v>216384616</v>
      </c>
      <c r="F3139">
        <v>147124761</v>
      </c>
      <c r="G3139">
        <v>137166845</v>
      </c>
      <c r="H3139">
        <v>135169574</v>
      </c>
      <c r="I3139">
        <v>128656817</v>
      </c>
      <c r="J3139">
        <v>245335638</v>
      </c>
      <c r="K3139">
        <v>229895507</v>
      </c>
      <c r="L3139">
        <v>112538240</v>
      </c>
      <c r="M3139">
        <v>272148558</v>
      </c>
      <c r="N3139">
        <v>144613950</v>
      </c>
      <c r="O3139">
        <v>102396543</v>
      </c>
      <c r="P3139">
        <v>209</v>
      </c>
      <c r="Q3139" t="s">
        <v>6617</v>
      </c>
    </row>
    <row r="3140" spans="1:17" x14ac:dyDescent="0.3">
      <c r="A3140" t="s">
        <v>17</v>
      </c>
      <c r="B3140" t="str">
        <f>"603909"</f>
        <v>603909</v>
      </c>
      <c r="C3140" t="s">
        <v>6618</v>
      </c>
      <c r="D3140" t="s">
        <v>2118</v>
      </c>
      <c r="E3140">
        <v>216167370</v>
      </c>
      <c r="F3140">
        <v>266184022</v>
      </c>
      <c r="G3140">
        <v>197310166</v>
      </c>
      <c r="H3140">
        <v>198016374</v>
      </c>
      <c r="I3140">
        <v>85975162</v>
      </c>
      <c r="J3140">
        <v>57368212</v>
      </c>
      <c r="K3140">
        <v>60486825</v>
      </c>
      <c r="P3140">
        <v>65</v>
      </c>
      <c r="Q3140" t="s">
        <v>6619</v>
      </c>
    </row>
    <row r="3141" spans="1:17" x14ac:dyDescent="0.3">
      <c r="A3141" t="s">
        <v>17</v>
      </c>
      <c r="B3141" t="str">
        <f>"600232"</f>
        <v>600232</v>
      </c>
      <c r="C3141" t="s">
        <v>6620</v>
      </c>
      <c r="D3141" t="s">
        <v>2265</v>
      </c>
      <c r="E3141">
        <v>216127265</v>
      </c>
      <c r="F3141">
        <v>170328972</v>
      </c>
      <c r="G3141">
        <v>144067621</v>
      </c>
      <c r="H3141">
        <v>154289304</v>
      </c>
      <c r="I3141">
        <v>180242457</v>
      </c>
      <c r="J3141">
        <v>146749908</v>
      </c>
      <c r="K3141">
        <v>184550082</v>
      </c>
      <c r="L3141">
        <v>196023097</v>
      </c>
      <c r="M3141">
        <v>233425581</v>
      </c>
      <c r="N3141">
        <v>246371737</v>
      </c>
      <c r="O3141">
        <v>216994670</v>
      </c>
      <c r="P3141">
        <v>89</v>
      </c>
      <c r="Q3141" t="s">
        <v>6621</v>
      </c>
    </row>
    <row r="3142" spans="1:17" x14ac:dyDescent="0.3">
      <c r="A3142" t="s">
        <v>75</v>
      </c>
      <c r="B3142" t="str">
        <f>"000668"</f>
        <v>000668</v>
      </c>
      <c r="C3142" t="s">
        <v>6622</v>
      </c>
      <c r="D3142" t="s">
        <v>65</v>
      </c>
      <c r="E3142">
        <v>216085849</v>
      </c>
      <c r="F3142">
        <v>42078798</v>
      </c>
      <c r="G3142">
        <v>7011307</v>
      </c>
      <c r="H3142">
        <v>17885654</v>
      </c>
      <c r="I3142">
        <v>62808051</v>
      </c>
      <c r="J3142">
        <v>27974913</v>
      </c>
      <c r="K3142">
        <v>4837666</v>
      </c>
      <c r="L3142">
        <v>2953224</v>
      </c>
      <c r="M3142">
        <v>7975485</v>
      </c>
      <c r="N3142">
        <v>28904982</v>
      </c>
      <c r="O3142">
        <v>3589209</v>
      </c>
      <c r="P3142">
        <v>96</v>
      </c>
      <c r="Q3142" t="s">
        <v>6623</v>
      </c>
    </row>
    <row r="3143" spans="1:17" x14ac:dyDescent="0.3">
      <c r="A3143" t="s">
        <v>75</v>
      </c>
      <c r="B3143" t="str">
        <f>"002524"</f>
        <v>002524</v>
      </c>
      <c r="C3143" t="s">
        <v>6624</v>
      </c>
      <c r="D3143" t="s">
        <v>1129</v>
      </c>
      <c r="E3143">
        <v>215767088</v>
      </c>
      <c r="F3143">
        <v>205533058</v>
      </c>
      <c r="G3143">
        <v>148760614</v>
      </c>
      <c r="H3143">
        <v>301318594</v>
      </c>
      <c r="I3143">
        <v>147734476</v>
      </c>
      <c r="J3143">
        <v>132899451</v>
      </c>
      <c r="K3143">
        <v>139750291</v>
      </c>
      <c r="L3143">
        <v>111503093</v>
      </c>
      <c r="M3143">
        <v>87156303</v>
      </c>
      <c r="N3143">
        <v>32773175</v>
      </c>
      <c r="O3143">
        <v>38030290</v>
      </c>
      <c r="P3143">
        <v>180</v>
      </c>
      <c r="Q3143" t="s">
        <v>6625</v>
      </c>
    </row>
    <row r="3144" spans="1:17" x14ac:dyDescent="0.3">
      <c r="A3144" t="s">
        <v>75</v>
      </c>
      <c r="B3144" t="str">
        <f>"300399"</f>
        <v>300399</v>
      </c>
      <c r="C3144" t="s">
        <v>6626</v>
      </c>
      <c r="D3144" t="s">
        <v>224</v>
      </c>
      <c r="E3144">
        <v>215653604</v>
      </c>
      <c r="F3144">
        <v>93190494</v>
      </c>
      <c r="G3144">
        <v>108270268</v>
      </c>
      <c r="H3144">
        <v>135600139</v>
      </c>
      <c r="I3144">
        <v>80557807</v>
      </c>
      <c r="J3144">
        <v>62134274</v>
      </c>
      <c r="K3144">
        <v>43662785</v>
      </c>
      <c r="L3144">
        <v>40920028</v>
      </c>
      <c r="M3144">
        <v>24841366</v>
      </c>
      <c r="P3144">
        <v>80</v>
      </c>
      <c r="Q3144" t="s">
        <v>6627</v>
      </c>
    </row>
    <row r="3145" spans="1:17" x14ac:dyDescent="0.3">
      <c r="A3145" t="s">
        <v>75</v>
      </c>
      <c r="B3145" t="str">
        <f>"300770"</f>
        <v>300770</v>
      </c>
      <c r="C3145" t="s">
        <v>6628</v>
      </c>
      <c r="D3145" t="s">
        <v>1991</v>
      </c>
      <c r="E3145">
        <v>215627378</v>
      </c>
      <c r="F3145">
        <v>311026272</v>
      </c>
      <c r="G3145">
        <v>187766238</v>
      </c>
      <c r="H3145">
        <v>194229033</v>
      </c>
      <c r="I3145">
        <v>127542499</v>
      </c>
      <c r="P3145">
        <v>632</v>
      </c>
      <c r="Q3145" t="s">
        <v>6629</v>
      </c>
    </row>
    <row r="3146" spans="1:17" x14ac:dyDescent="0.3">
      <c r="A3146" t="s">
        <v>75</v>
      </c>
      <c r="B3146" t="str">
        <f>"300342"</f>
        <v>300342</v>
      </c>
      <c r="C3146" t="s">
        <v>6630</v>
      </c>
      <c r="D3146" t="s">
        <v>1063</v>
      </c>
      <c r="E3146">
        <v>215560853</v>
      </c>
      <c r="F3146">
        <v>229161518</v>
      </c>
      <c r="G3146">
        <v>228886037</v>
      </c>
      <c r="H3146">
        <v>178094513</v>
      </c>
      <c r="I3146">
        <v>176106216</v>
      </c>
      <c r="J3146">
        <v>146936189</v>
      </c>
      <c r="K3146">
        <v>129718227</v>
      </c>
      <c r="L3146">
        <v>114790452</v>
      </c>
      <c r="M3146">
        <v>89581572</v>
      </c>
      <c r="N3146">
        <v>104794408</v>
      </c>
      <c r="O3146">
        <v>77035604</v>
      </c>
      <c r="P3146">
        <v>181</v>
      </c>
      <c r="Q3146" t="s">
        <v>6631</v>
      </c>
    </row>
    <row r="3147" spans="1:17" x14ac:dyDescent="0.3">
      <c r="A3147" t="s">
        <v>75</v>
      </c>
      <c r="B3147" t="str">
        <f>"300062"</f>
        <v>300062</v>
      </c>
      <c r="C3147" t="s">
        <v>6632</v>
      </c>
      <c r="D3147" t="s">
        <v>347</v>
      </c>
      <c r="E3147">
        <v>215452389</v>
      </c>
      <c r="F3147">
        <v>252757941</v>
      </c>
      <c r="G3147">
        <v>161616173</v>
      </c>
      <c r="H3147">
        <v>225546747</v>
      </c>
      <c r="I3147">
        <v>177689746</v>
      </c>
      <c r="J3147">
        <v>132629490</v>
      </c>
      <c r="K3147">
        <v>306248382</v>
      </c>
      <c r="L3147">
        <v>117020101</v>
      </c>
      <c r="M3147">
        <v>100809358</v>
      </c>
      <c r="N3147">
        <v>85284196</v>
      </c>
      <c r="O3147">
        <v>72266904</v>
      </c>
      <c r="P3147">
        <v>125</v>
      </c>
      <c r="Q3147" t="s">
        <v>6633</v>
      </c>
    </row>
    <row r="3148" spans="1:17" x14ac:dyDescent="0.3">
      <c r="A3148" t="s">
        <v>75</v>
      </c>
      <c r="B3148" t="str">
        <f>"300013"</f>
        <v>300013</v>
      </c>
      <c r="C3148" t="s">
        <v>6634</v>
      </c>
      <c r="D3148" t="s">
        <v>367</v>
      </c>
      <c r="E3148">
        <v>215154470</v>
      </c>
      <c r="F3148">
        <v>257549730</v>
      </c>
      <c r="G3148">
        <v>176499446</v>
      </c>
      <c r="H3148">
        <v>194301496</v>
      </c>
      <c r="I3148">
        <v>210268622</v>
      </c>
      <c r="J3148">
        <v>208771507</v>
      </c>
      <c r="K3148">
        <v>213555536</v>
      </c>
      <c r="L3148">
        <v>107630910</v>
      </c>
      <c r="M3148">
        <v>96127161</v>
      </c>
      <c r="N3148">
        <v>84013081</v>
      </c>
      <c r="O3148">
        <v>75502072</v>
      </c>
      <c r="P3148">
        <v>70</v>
      </c>
      <c r="Q3148" t="s">
        <v>6635</v>
      </c>
    </row>
    <row r="3149" spans="1:17" x14ac:dyDescent="0.3">
      <c r="A3149" t="s">
        <v>75</v>
      </c>
      <c r="B3149" t="str">
        <f>"301151"</f>
        <v>301151</v>
      </c>
      <c r="C3149" t="s">
        <v>6636</v>
      </c>
      <c r="E3149">
        <v>214793397</v>
      </c>
      <c r="P3149">
        <v>5</v>
      </c>
      <c r="Q3149" t="s">
        <v>6637</v>
      </c>
    </row>
    <row r="3150" spans="1:17" x14ac:dyDescent="0.3">
      <c r="A3150" t="s">
        <v>75</v>
      </c>
      <c r="B3150" t="str">
        <f>"000920"</f>
        <v>000920</v>
      </c>
      <c r="C3150" t="s">
        <v>6638</v>
      </c>
      <c r="D3150" t="s">
        <v>1107</v>
      </c>
      <c r="E3150">
        <v>214732139</v>
      </c>
      <c r="F3150">
        <v>304626284</v>
      </c>
      <c r="G3150">
        <v>189499683</v>
      </c>
      <c r="H3150">
        <v>162237809</v>
      </c>
      <c r="I3150">
        <v>165012984</v>
      </c>
      <c r="J3150">
        <v>177315897</v>
      </c>
      <c r="K3150">
        <v>186304101</v>
      </c>
      <c r="L3150">
        <v>135062690</v>
      </c>
      <c r="M3150">
        <v>467041539</v>
      </c>
      <c r="N3150">
        <v>383284393</v>
      </c>
      <c r="O3150">
        <v>343799366</v>
      </c>
      <c r="P3150">
        <v>122</v>
      </c>
      <c r="Q3150" t="s">
        <v>6639</v>
      </c>
    </row>
    <row r="3151" spans="1:17" x14ac:dyDescent="0.3">
      <c r="A3151" t="s">
        <v>75</v>
      </c>
      <c r="B3151" t="str">
        <f>"300351"</f>
        <v>300351</v>
      </c>
      <c r="C3151" t="s">
        <v>6640</v>
      </c>
      <c r="D3151" t="s">
        <v>156</v>
      </c>
      <c r="E3151">
        <v>214725657</v>
      </c>
      <c r="F3151">
        <v>145282250</v>
      </c>
      <c r="G3151">
        <v>297067972</v>
      </c>
      <c r="H3151">
        <v>331125195</v>
      </c>
      <c r="I3151">
        <v>291087070</v>
      </c>
      <c r="J3151">
        <v>241040179</v>
      </c>
      <c r="K3151">
        <v>151236458</v>
      </c>
      <c r="L3151">
        <v>101985141</v>
      </c>
      <c r="M3151">
        <v>74323276</v>
      </c>
      <c r="N3151">
        <v>42475159</v>
      </c>
      <c r="O3151">
        <v>31976576</v>
      </c>
      <c r="P3151">
        <v>234</v>
      </c>
      <c r="Q3151" t="s">
        <v>6641</v>
      </c>
    </row>
    <row r="3152" spans="1:17" x14ac:dyDescent="0.3">
      <c r="A3152" t="s">
        <v>17</v>
      </c>
      <c r="B3152" t="str">
        <f>"603662"</f>
        <v>603662</v>
      </c>
      <c r="C3152" t="s">
        <v>6642</v>
      </c>
      <c r="D3152" t="s">
        <v>2549</v>
      </c>
      <c r="E3152">
        <v>214620079</v>
      </c>
      <c r="F3152">
        <v>173576168</v>
      </c>
      <c r="G3152">
        <v>173689211</v>
      </c>
      <c r="H3152">
        <v>0</v>
      </c>
      <c r="I3152">
        <v>0</v>
      </c>
      <c r="P3152">
        <v>125</v>
      </c>
      <c r="Q3152" t="s">
        <v>6643</v>
      </c>
    </row>
    <row r="3153" spans="1:17" x14ac:dyDescent="0.3">
      <c r="A3153" t="s">
        <v>75</v>
      </c>
      <c r="B3153" t="str">
        <f>"001201"</f>
        <v>001201</v>
      </c>
      <c r="C3153" t="s">
        <v>6644</v>
      </c>
      <c r="D3153" t="s">
        <v>218</v>
      </c>
      <c r="E3153">
        <v>214580785</v>
      </c>
      <c r="P3153">
        <v>61</v>
      </c>
      <c r="Q3153" t="s">
        <v>6645</v>
      </c>
    </row>
    <row r="3154" spans="1:17" x14ac:dyDescent="0.3">
      <c r="A3154" t="s">
        <v>17</v>
      </c>
      <c r="B3154" t="str">
        <f>"603896"</f>
        <v>603896</v>
      </c>
      <c r="C3154" t="s">
        <v>6646</v>
      </c>
      <c r="D3154" t="s">
        <v>321</v>
      </c>
      <c r="E3154">
        <v>213878881</v>
      </c>
      <c r="F3154">
        <v>186931477</v>
      </c>
      <c r="G3154">
        <v>126653058</v>
      </c>
      <c r="H3154">
        <v>174815874</v>
      </c>
      <c r="I3154">
        <v>129221803</v>
      </c>
      <c r="J3154">
        <v>100225048</v>
      </c>
      <c r="K3154">
        <v>94786954</v>
      </c>
      <c r="P3154">
        <v>230</v>
      </c>
      <c r="Q3154" t="s">
        <v>6647</v>
      </c>
    </row>
    <row r="3155" spans="1:17" x14ac:dyDescent="0.3">
      <c r="A3155" t="s">
        <v>75</v>
      </c>
      <c r="B3155" t="str">
        <f>"000548"</f>
        <v>000548</v>
      </c>
      <c r="C3155" t="s">
        <v>6648</v>
      </c>
      <c r="D3155" t="s">
        <v>1248</v>
      </c>
      <c r="E3155">
        <v>213837416</v>
      </c>
      <c r="F3155">
        <v>89446858</v>
      </c>
      <c r="G3155">
        <v>32178555</v>
      </c>
      <c r="H3155">
        <v>159937974</v>
      </c>
      <c r="I3155">
        <v>65078908</v>
      </c>
      <c r="J3155">
        <v>45794890</v>
      </c>
      <c r="K3155">
        <v>325916143</v>
      </c>
      <c r="L3155">
        <v>39429384</v>
      </c>
      <c r="M3155">
        <v>35334771</v>
      </c>
      <c r="N3155">
        <v>71297755</v>
      </c>
      <c r="O3155">
        <v>89608527</v>
      </c>
      <c r="P3155">
        <v>90</v>
      </c>
      <c r="Q3155" t="s">
        <v>6649</v>
      </c>
    </row>
    <row r="3156" spans="1:17" x14ac:dyDescent="0.3">
      <c r="A3156" t="s">
        <v>17</v>
      </c>
      <c r="B3156" t="str">
        <f>"603439"</f>
        <v>603439</v>
      </c>
      <c r="C3156" t="s">
        <v>6650</v>
      </c>
      <c r="D3156" t="s">
        <v>321</v>
      </c>
      <c r="E3156">
        <v>213791394</v>
      </c>
      <c r="F3156">
        <v>156728009</v>
      </c>
      <c r="G3156">
        <v>135093462</v>
      </c>
      <c r="P3156">
        <v>293</v>
      </c>
      <c r="Q3156" t="s">
        <v>6651</v>
      </c>
    </row>
    <row r="3157" spans="1:17" x14ac:dyDescent="0.3">
      <c r="A3157" t="s">
        <v>75</v>
      </c>
      <c r="B3157" t="str">
        <f>"300909"</f>
        <v>300909</v>
      </c>
      <c r="C3157" t="s">
        <v>6652</v>
      </c>
      <c r="D3157" t="s">
        <v>128</v>
      </c>
      <c r="E3157">
        <v>213695963</v>
      </c>
      <c r="F3157">
        <v>111019882</v>
      </c>
      <c r="G3157">
        <v>147498446</v>
      </c>
      <c r="P3157">
        <v>65</v>
      </c>
      <c r="Q3157" t="s">
        <v>6653</v>
      </c>
    </row>
    <row r="3158" spans="1:17" x14ac:dyDescent="0.3">
      <c r="A3158" t="s">
        <v>75</v>
      </c>
      <c r="B3158" t="str">
        <f>"300153"</f>
        <v>300153</v>
      </c>
      <c r="C3158" t="s">
        <v>6654</v>
      </c>
      <c r="D3158" t="s">
        <v>2692</v>
      </c>
      <c r="E3158">
        <v>213351873</v>
      </c>
      <c r="F3158">
        <v>222770131</v>
      </c>
      <c r="G3158">
        <v>158333888</v>
      </c>
      <c r="H3158">
        <v>254669199</v>
      </c>
      <c r="I3158">
        <v>211430156</v>
      </c>
      <c r="J3158">
        <v>154072291</v>
      </c>
      <c r="K3158">
        <v>169472036</v>
      </c>
      <c r="L3158">
        <v>122356698</v>
      </c>
      <c r="M3158">
        <v>108456700</v>
      </c>
      <c r="N3158">
        <v>99536981</v>
      </c>
      <c r="O3158">
        <v>92609100</v>
      </c>
      <c r="P3158">
        <v>108</v>
      </c>
      <c r="Q3158" t="s">
        <v>6655</v>
      </c>
    </row>
    <row r="3159" spans="1:17" x14ac:dyDescent="0.3">
      <c r="A3159" t="s">
        <v>17</v>
      </c>
      <c r="B3159" t="str">
        <f>"603616"</f>
        <v>603616</v>
      </c>
      <c r="C3159" t="s">
        <v>6656</v>
      </c>
      <c r="D3159" t="s">
        <v>2242</v>
      </c>
      <c r="E3159">
        <v>213341185</v>
      </c>
      <c r="F3159">
        <v>160938220</v>
      </c>
      <c r="G3159">
        <v>206602823</v>
      </c>
      <c r="H3159">
        <v>237984125</v>
      </c>
      <c r="I3159">
        <v>159980912</v>
      </c>
      <c r="J3159">
        <v>204895029</v>
      </c>
      <c r="K3159">
        <v>211756326</v>
      </c>
      <c r="L3159">
        <v>239232979</v>
      </c>
      <c r="M3159">
        <v>181004450</v>
      </c>
      <c r="P3159">
        <v>71</v>
      </c>
      <c r="Q3159" t="s">
        <v>6657</v>
      </c>
    </row>
    <row r="3160" spans="1:17" x14ac:dyDescent="0.3">
      <c r="A3160" t="s">
        <v>75</v>
      </c>
      <c r="B3160" t="str">
        <f>"300269"</f>
        <v>300269</v>
      </c>
      <c r="C3160" t="s">
        <v>6658</v>
      </c>
      <c r="D3160" t="s">
        <v>622</v>
      </c>
      <c r="E3160">
        <v>213104749</v>
      </c>
      <c r="F3160">
        <v>237346207</v>
      </c>
      <c r="G3160">
        <v>299591880</v>
      </c>
      <c r="H3160">
        <v>893066552</v>
      </c>
      <c r="I3160">
        <v>888442236</v>
      </c>
      <c r="J3160">
        <v>788191959</v>
      </c>
      <c r="K3160">
        <v>341231264</v>
      </c>
      <c r="L3160">
        <v>278748644</v>
      </c>
      <c r="M3160">
        <v>121490319</v>
      </c>
      <c r="N3160">
        <v>129876391</v>
      </c>
      <c r="O3160">
        <v>109433888</v>
      </c>
      <c r="P3160">
        <v>125</v>
      </c>
      <c r="Q3160" t="s">
        <v>6659</v>
      </c>
    </row>
    <row r="3161" spans="1:17" x14ac:dyDescent="0.3">
      <c r="A3161" t="s">
        <v>75</v>
      </c>
      <c r="B3161" t="str">
        <f>"300612"</f>
        <v>300612</v>
      </c>
      <c r="C3161" t="s">
        <v>6660</v>
      </c>
      <c r="D3161" t="s">
        <v>622</v>
      </c>
      <c r="E3161">
        <v>213101589</v>
      </c>
      <c r="F3161">
        <v>186912123</v>
      </c>
      <c r="G3161">
        <v>126511067</v>
      </c>
      <c r="H3161">
        <v>67190099</v>
      </c>
      <c r="I3161">
        <v>172851654</v>
      </c>
      <c r="J3161">
        <v>116716447</v>
      </c>
      <c r="K3161">
        <v>127910627</v>
      </c>
      <c r="P3161">
        <v>84</v>
      </c>
      <c r="Q3161" t="s">
        <v>6661</v>
      </c>
    </row>
    <row r="3162" spans="1:17" x14ac:dyDescent="0.3">
      <c r="A3162" t="s">
        <v>17</v>
      </c>
      <c r="B3162" t="str">
        <f>"600616"</f>
        <v>600616</v>
      </c>
      <c r="C3162" t="s">
        <v>6662</v>
      </c>
      <c r="D3162" t="s">
        <v>2575</v>
      </c>
      <c r="E3162">
        <v>213099263</v>
      </c>
      <c r="F3162">
        <v>221623477</v>
      </c>
      <c r="G3162">
        <v>217632972</v>
      </c>
      <c r="H3162">
        <v>255808676</v>
      </c>
      <c r="I3162">
        <v>306917531</v>
      </c>
      <c r="J3162">
        <v>356965288</v>
      </c>
      <c r="K3162">
        <v>384924765</v>
      </c>
      <c r="L3162">
        <v>315703706</v>
      </c>
      <c r="M3162">
        <v>304606421</v>
      </c>
      <c r="N3162">
        <v>390232263</v>
      </c>
      <c r="O3162">
        <v>338880200</v>
      </c>
      <c r="P3162">
        <v>180</v>
      </c>
      <c r="Q3162" t="s">
        <v>6663</v>
      </c>
    </row>
    <row r="3163" spans="1:17" x14ac:dyDescent="0.3">
      <c r="A3163" t="s">
        <v>75</v>
      </c>
      <c r="B3163" t="str">
        <f>"000980"</f>
        <v>000980</v>
      </c>
      <c r="C3163" t="s">
        <v>6664</v>
      </c>
      <c r="D3163" t="s">
        <v>433</v>
      </c>
      <c r="E3163">
        <v>212821115</v>
      </c>
      <c r="F3163">
        <v>251393158</v>
      </c>
      <c r="G3163">
        <v>404164077</v>
      </c>
      <c r="H3163">
        <v>2071402442</v>
      </c>
      <c r="I3163">
        <v>2362919511</v>
      </c>
      <c r="J3163">
        <v>556312710</v>
      </c>
      <c r="K3163">
        <v>634949849</v>
      </c>
      <c r="L3163">
        <v>453214938</v>
      </c>
      <c r="M3163">
        <v>274493332</v>
      </c>
      <c r="N3163">
        <v>279390708</v>
      </c>
      <c r="O3163">
        <v>318424571</v>
      </c>
      <c r="P3163">
        <v>161</v>
      </c>
      <c r="Q3163" t="s">
        <v>6665</v>
      </c>
    </row>
    <row r="3164" spans="1:17" x14ac:dyDescent="0.3">
      <c r="A3164" t="s">
        <v>17</v>
      </c>
      <c r="B3164" t="str">
        <f>"603069"</f>
        <v>603069</v>
      </c>
      <c r="C3164" t="s">
        <v>6666</v>
      </c>
      <c r="D3164" t="s">
        <v>1195</v>
      </c>
      <c r="E3164">
        <v>212598225</v>
      </c>
      <c r="F3164">
        <v>173920694</v>
      </c>
      <c r="G3164">
        <v>118242532</v>
      </c>
      <c r="H3164">
        <v>340462691</v>
      </c>
      <c r="I3164">
        <v>345521304</v>
      </c>
      <c r="J3164">
        <v>343373621</v>
      </c>
      <c r="K3164">
        <v>338695884</v>
      </c>
      <c r="L3164">
        <v>0</v>
      </c>
      <c r="P3164">
        <v>98</v>
      </c>
      <c r="Q3164" t="s">
        <v>6667</v>
      </c>
    </row>
    <row r="3165" spans="1:17" x14ac:dyDescent="0.3">
      <c r="A3165" t="s">
        <v>75</v>
      </c>
      <c r="B3165" t="str">
        <f>"300061"</f>
        <v>300061</v>
      </c>
      <c r="C3165" t="s">
        <v>6668</v>
      </c>
      <c r="D3165" t="s">
        <v>622</v>
      </c>
      <c r="E3165">
        <v>212570336</v>
      </c>
      <c r="F3165">
        <v>211228703</v>
      </c>
      <c r="G3165">
        <v>148082216</v>
      </c>
      <c r="H3165">
        <v>396228820</v>
      </c>
      <c r="I3165">
        <v>423341340</v>
      </c>
      <c r="J3165">
        <v>383727164</v>
      </c>
      <c r="K3165">
        <v>173333008</v>
      </c>
      <c r="L3165">
        <v>110040364</v>
      </c>
      <c r="M3165">
        <v>92688432</v>
      </c>
      <c r="N3165">
        <v>87829549</v>
      </c>
      <c r="O3165">
        <v>68509272</v>
      </c>
      <c r="P3165">
        <v>120</v>
      </c>
      <c r="Q3165" t="s">
        <v>6669</v>
      </c>
    </row>
    <row r="3166" spans="1:17" x14ac:dyDescent="0.3">
      <c r="A3166" t="s">
        <v>17</v>
      </c>
      <c r="B3166" t="str">
        <f>"603351"</f>
        <v>603351</v>
      </c>
      <c r="C3166" t="s">
        <v>6670</v>
      </c>
      <c r="D3166" t="s">
        <v>1242</v>
      </c>
      <c r="E3166">
        <v>212565169</v>
      </c>
      <c r="F3166">
        <v>139346991</v>
      </c>
      <c r="G3166">
        <v>132557274</v>
      </c>
      <c r="H3166">
        <v>165316502</v>
      </c>
      <c r="I3166">
        <v>131182205</v>
      </c>
      <c r="P3166">
        <v>87</v>
      </c>
      <c r="Q3166" t="s">
        <v>6671</v>
      </c>
    </row>
    <row r="3167" spans="1:17" x14ac:dyDescent="0.3">
      <c r="A3167" t="s">
        <v>75</v>
      </c>
      <c r="B3167" t="str">
        <f>"300357"</f>
        <v>300357</v>
      </c>
      <c r="C3167" t="s">
        <v>6672</v>
      </c>
      <c r="D3167" t="s">
        <v>1533</v>
      </c>
      <c r="E3167">
        <v>212490654</v>
      </c>
      <c r="F3167">
        <v>191249015</v>
      </c>
      <c r="G3167">
        <v>155721734</v>
      </c>
      <c r="H3167">
        <v>142163309</v>
      </c>
      <c r="I3167">
        <v>111284662</v>
      </c>
      <c r="J3167">
        <v>85879073</v>
      </c>
      <c r="K3167">
        <v>76243853</v>
      </c>
      <c r="L3167">
        <v>66181990</v>
      </c>
      <c r="M3167">
        <v>48657805</v>
      </c>
      <c r="N3167">
        <v>43177955</v>
      </c>
      <c r="P3167">
        <v>31270</v>
      </c>
      <c r="Q3167" t="s">
        <v>6673</v>
      </c>
    </row>
    <row r="3168" spans="1:17" x14ac:dyDescent="0.3">
      <c r="A3168" t="s">
        <v>75</v>
      </c>
      <c r="B3168" t="str">
        <f>"300824"</f>
        <v>300824</v>
      </c>
      <c r="C3168" t="s">
        <v>6674</v>
      </c>
      <c r="D3168" t="s">
        <v>939</v>
      </c>
      <c r="E3168">
        <v>212484464</v>
      </c>
      <c r="F3168">
        <v>187551855</v>
      </c>
      <c r="G3168">
        <v>127157091</v>
      </c>
      <c r="H3168">
        <v>155888636</v>
      </c>
      <c r="P3168">
        <v>167</v>
      </c>
      <c r="Q3168" t="s">
        <v>6675</v>
      </c>
    </row>
    <row r="3169" spans="1:17" x14ac:dyDescent="0.3">
      <c r="A3169" t="s">
        <v>75</v>
      </c>
      <c r="B3169" t="str">
        <f>"301118"</f>
        <v>301118</v>
      </c>
      <c r="C3169" t="s">
        <v>6676</v>
      </c>
      <c r="D3169" t="s">
        <v>1759</v>
      </c>
      <c r="E3169">
        <v>212426284</v>
      </c>
      <c r="P3169">
        <v>16</v>
      </c>
      <c r="Q3169" t="s">
        <v>6677</v>
      </c>
    </row>
    <row r="3170" spans="1:17" x14ac:dyDescent="0.3">
      <c r="A3170" t="s">
        <v>17</v>
      </c>
      <c r="B3170" t="str">
        <f>"688508"</f>
        <v>688508</v>
      </c>
      <c r="C3170" t="s">
        <v>6678</v>
      </c>
      <c r="D3170" t="s">
        <v>2580</v>
      </c>
      <c r="E3170">
        <v>212258647</v>
      </c>
      <c r="F3170">
        <v>81420607</v>
      </c>
      <c r="G3170">
        <v>32904085</v>
      </c>
      <c r="H3170">
        <v>30069683</v>
      </c>
      <c r="P3170">
        <v>165</v>
      </c>
      <c r="Q3170" t="s">
        <v>6679</v>
      </c>
    </row>
    <row r="3171" spans="1:17" x14ac:dyDescent="0.3">
      <c r="A3171" t="s">
        <v>75</v>
      </c>
      <c r="B3171" t="str">
        <f>"300198"</f>
        <v>300198</v>
      </c>
      <c r="C3171" t="s">
        <v>6680</v>
      </c>
      <c r="D3171" t="s">
        <v>1583</v>
      </c>
      <c r="E3171">
        <v>212125444</v>
      </c>
      <c r="F3171">
        <v>215153123</v>
      </c>
      <c r="G3171">
        <v>224258411</v>
      </c>
      <c r="H3171">
        <v>298236898</v>
      </c>
      <c r="I3171">
        <v>362310875</v>
      </c>
      <c r="J3171">
        <v>306122682</v>
      </c>
      <c r="K3171">
        <v>275988789</v>
      </c>
      <c r="L3171">
        <v>276649524</v>
      </c>
      <c r="M3171">
        <v>161942045</v>
      </c>
      <c r="N3171">
        <v>106364437</v>
      </c>
      <c r="O3171">
        <v>61938112</v>
      </c>
      <c r="P3171">
        <v>82</v>
      </c>
      <c r="Q3171" t="s">
        <v>6681</v>
      </c>
    </row>
    <row r="3172" spans="1:17" x14ac:dyDescent="0.3">
      <c r="A3172" t="s">
        <v>75</v>
      </c>
      <c r="B3172" t="str">
        <f>"300634"</f>
        <v>300634</v>
      </c>
      <c r="C3172" t="s">
        <v>6682</v>
      </c>
      <c r="D3172" t="s">
        <v>224</v>
      </c>
      <c r="E3172">
        <v>212046725</v>
      </c>
      <c r="F3172">
        <v>158027038</v>
      </c>
      <c r="G3172">
        <v>96580137</v>
      </c>
      <c r="H3172">
        <v>122670033</v>
      </c>
      <c r="I3172">
        <v>75024732</v>
      </c>
      <c r="J3172">
        <v>40391096</v>
      </c>
      <c r="P3172">
        <v>159</v>
      </c>
      <c r="Q3172" t="s">
        <v>6683</v>
      </c>
    </row>
    <row r="3173" spans="1:17" x14ac:dyDescent="0.3">
      <c r="A3173" t="s">
        <v>75</v>
      </c>
      <c r="B3173" t="str">
        <f>"300451"</f>
        <v>300451</v>
      </c>
      <c r="C3173" t="s">
        <v>6684</v>
      </c>
      <c r="D3173" t="s">
        <v>116</v>
      </c>
      <c r="E3173">
        <v>212037283</v>
      </c>
      <c r="F3173">
        <v>247611987</v>
      </c>
      <c r="G3173">
        <v>179733345</v>
      </c>
      <c r="H3173">
        <v>201532720</v>
      </c>
      <c r="I3173">
        <v>125219362</v>
      </c>
      <c r="J3173">
        <v>150788832</v>
      </c>
      <c r="K3173">
        <v>71664421</v>
      </c>
      <c r="L3173">
        <v>58538363</v>
      </c>
      <c r="M3173">
        <v>56976966</v>
      </c>
      <c r="P3173">
        <v>351</v>
      </c>
      <c r="Q3173" t="s">
        <v>6685</v>
      </c>
    </row>
    <row r="3174" spans="1:17" x14ac:dyDescent="0.3">
      <c r="A3174" t="s">
        <v>75</v>
      </c>
      <c r="B3174" t="str">
        <f>"002760"</f>
        <v>002760</v>
      </c>
      <c r="C3174" t="s">
        <v>6686</v>
      </c>
      <c r="D3174" t="s">
        <v>3587</v>
      </c>
      <c r="E3174">
        <v>211922610</v>
      </c>
      <c r="F3174">
        <v>249036473</v>
      </c>
      <c r="G3174">
        <v>160911589</v>
      </c>
      <c r="H3174">
        <v>135222068</v>
      </c>
      <c r="I3174">
        <v>140890801</v>
      </c>
      <c r="J3174">
        <v>102607573</v>
      </c>
      <c r="K3174">
        <v>45629105</v>
      </c>
      <c r="L3174">
        <v>0</v>
      </c>
      <c r="M3174">
        <v>0</v>
      </c>
      <c r="P3174">
        <v>72</v>
      </c>
      <c r="Q3174" t="s">
        <v>6687</v>
      </c>
    </row>
    <row r="3175" spans="1:17" x14ac:dyDescent="0.3">
      <c r="A3175" t="s">
        <v>17</v>
      </c>
      <c r="B3175" t="str">
        <f>"688188"</f>
        <v>688188</v>
      </c>
      <c r="C3175" t="s">
        <v>6688</v>
      </c>
      <c r="D3175" t="s">
        <v>508</v>
      </c>
      <c r="E3175">
        <v>211724206</v>
      </c>
      <c r="F3175">
        <v>216125565</v>
      </c>
      <c r="G3175">
        <v>81598975</v>
      </c>
      <c r="H3175">
        <v>78861338</v>
      </c>
      <c r="I3175">
        <v>60813902</v>
      </c>
      <c r="P3175">
        <v>363</v>
      </c>
      <c r="Q3175" t="s">
        <v>6689</v>
      </c>
    </row>
    <row r="3176" spans="1:17" x14ac:dyDescent="0.3">
      <c r="A3176" t="s">
        <v>17</v>
      </c>
      <c r="B3176" t="str">
        <f>"688800"</f>
        <v>688800</v>
      </c>
      <c r="C3176" t="s">
        <v>6690</v>
      </c>
      <c r="D3176" t="s">
        <v>221</v>
      </c>
      <c r="E3176">
        <v>211673289</v>
      </c>
      <c r="F3176">
        <v>188163033</v>
      </c>
      <c r="G3176">
        <v>112108383</v>
      </c>
      <c r="P3176">
        <v>51</v>
      </c>
      <c r="Q3176" t="s">
        <v>6691</v>
      </c>
    </row>
    <row r="3177" spans="1:17" x14ac:dyDescent="0.3">
      <c r="A3177" t="s">
        <v>17</v>
      </c>
      <c r="B3177" t="str">
        <f>"600495"</f>
        <v>600495</v>
      </c>
      <c r="C3177" t="s">
        <v>6692</v>
      </c>
      <c r="D3177" t="s">
        <v>156</v>
      </c>
      <c r="E3177">
        <v>211066408</v>
      </c>
      <c r="F3177">
        <v>209887125</v>
      </c>
      <c r="G3177">
        <v>175521493</v>
      </c>
      <c r="H3177">
        <v>238423832</v>
      </c>
      <c r="I3177">
        <v>259476197</v>
      </c>
      <c r="J3177">
        <v>203570514</v>
      </c>
      <c r="K3177">
        <v>218450246</v>
      </c>
      <c r="L3177">
        <v>269676395</v>
      </c>
      <c r="M3177">
        <v>281329342</v>
      </c>
      <c r="N3177">
        <v>448036473</v>
      </c>
      <c r="O3177">
        <v>288790817</v>
      </c>
      <c r="P3177">
        <v>122</v>
      </c>
      <c r="Q3177" t="s">
        <v>6693</v>
      </c>
    </row>
    <row r="3178" spans="1:17" x14ac:dyDescent="0.3">
      <c r="A3178" t="s">
        <v>17</v>
      </c>
      <c r="B3178" t="str">
        <f>"600393"</f>
        <v>600393</v>
      </c>
      <c r="C3178" t="s">
        <v>6694</v>
      </c>
      <c r="D3178" t="s">
        <v>65</v>
      </c>
      <c r="E3178">
        <v>211065856</v>
      </c>
      <c r="F3178">
        <v>374895252</v>
      </c>
      <c r="G3178">
        <v>3022108989</v>
      </c>
      <c r="H3178">
        <v>913943253</v>
      </c>
      <c r="I3178">
        <v>773633208</v>
      </c>
      <c r="J3178">
        <v>1453985269</v>
      </c>
      <c r="K3178">
        <v>143947227</v>
      </c>
      <c r="L3178">
        <v>135667725</v>
      </c>
      <c r="M3178">
        <v>150424148</v>
      </c>
      <c r="N3178">
        <v>114356788</v>
      </c>
      <c r="O3178">
        <v>92452788</v>
      </c>
      <c r="P3178">
        <v>131</v>
      </c>
      <c r="Q3178" t="s">
        <v>6695</v>
      </c>
    </row>
    <row r="3179" spans="1:17" x14ac:dyDescent="0.3">
      <c r="A3179" t="s">
        <v>75</v>
      </c>
      <c r="B3179" t="str">
        <f>"300947"</f>
        <v>300947</v>
      </c>
      <c r="C3179" t="s">
        <v>6696</v>
      </c>
      <c r="D3179" t="s">
        <v>378</v>
      </c>
      <c r="E3179">
        <v>210940796</v>
      </c>
      <c r="F3179">
        <v>242497170</v>
      </c>
      <c r="G3179">
        <v>156934004</v>
      </c>
      <c r="P3179">
        <v>28</v>
      </c>
      <c r="Q3179" t="s">
        <v>6697</v>
      </c>
    </row>
    <row r="3180" spans="1:17" x14ac:dyDescent="0.3">
      <c r="A3180" t="s">
        <v>75</v>
      </c>
      <c r="B3180" t="str">
        <f>"002903"</f>
        <v>002903</v>
      </c>
      <c r="C3180" t="s">
        <v>6698</v>
      </c>
      <c r="D3180" t="s">
        <v>3360</v>
      </c>
      <c r="E3180">
        <v>210721866</v>
      </c>
      <c r="F3180">
        <v>88384220</v>
      </c>
      <c r="G3180">
        <v>16576184</v>
      </c>
      <c r="H3180">
        <v>36268871</v>
      </c>
      <c r="I3180">
        <v>38885348</v>
      </c>
      <c r="J3180">
        <v>86083333</v>
      </c>
      <c r="P3180">
        <v>143</v>
      </c>
      <c r="Q3180" t="s">
        <v>6699</v>
      </c>
    </row>
    <row r="3181" spans="1:17" x14ac:dyDescent="0.3">
      <c r="A3181" t="s">
        <v>75</v>
      </c>
      <c r="B3181" t="str">
        <f>"300485"</f>
        <v>300485</v>
      </c>
      <c r="C3181" t="s">
        <v>6700</v>
      </c>
      <c r="D3181" t="s">
        <v>1533</v>
      </c>
      <c r="E3181">
        <v>210698027</v>
      </c>
      <c r="F3181">
        <v>328541532</v>
      </c>
      <c r="G3181">
        <v>228153944</v>
      </c>
      <c r="H3181">
        <v>282031548</v>
      </c>
      <c r="I3181">
        <v>280385912</v>
      </c>
      <c r="J3181">
        <v>113719147</v>
      </c>
      <c r="K3181">
        <v>156178013</v>
      </c>
      <c r="L3181">
        <v>0</v>
      </c>
      <c r="M3181">
        <v>0</v>
      </c>
      <c r="P3181">
        <v>196</v>
      </c>
      <c r="Q3181" t="s">
        <v>6701</v>
      </c>
    </row>
    <row r="3182" spans="1:17" x14ac:dyDescent="0.3">
      <c r="A3182" t="s">
        <v>75</v>
      </c>
      <c r="B3182" t="str">
        <f>"000603"</f>
        <v>000603</v>
      </c>
      <c r="C3182" t="s">
        <v>6702</v>
      </c>
      <c r="D3182" t="s">
        <v>375</v>
      </c>
      <c r="E3182">
        <v>210434526</v>
      </c>
      <c r="F3182">
        <v>222169506</v>
      </c>
      <c r="G3182">
        <v>410696520</v>
      </c>
      <c r="H3182">
        <v>364405552</v>
      </c>
      <c r="I3182">
        <v>344565012</v>
      </c>
      <c r="J3182">
        <v>25000000</v>
      </c>
      <c r="K3182">
        <v>67619584</v>
      </c>
      <c r="L3182">
        <v>17000000</v>
      </c>
      <c r="M3182">
        <v>23600000</v>
      </c>
      <c r="N3182">
        <v>204100000</v>
      </c>
      <c r="O3182">
        <v>211000000</v>
      </c>
      <c r="P3182">
        <v>351</v>
      </c>
      <c r="Q3182" t="s">
        <v>6703</v>
      </c>
    </row>
    <row r="3183" spans="1:17" x14ac:dyDescent="0.3">
      <c r="A3183" t="s">
        <v>17</v>
      </c>
      <c r="B3183" t="str">
        <f>"603908"</f>
        <v>603908</v>
      </c>
      <c r="C3183" t="s">
        <v>6704</v>
      </c>
      <c r="D3183" t="s">
        <v>2921</v>
      </c>
      <c r="E3183">
        <v>210388599</v>
      </c>
      <c r="F3183">
        <v>134287779</v>
      </c>
      <c r="G3183">
        <v>115602291</v>
      </c>
      <c r="H3183">
        <v>100816713</v>
      </c>
      <c r="I3183">
        <v>98885459</v>
      </c>
      <c r="J3183">
        <v>105962173</v>
      </c>
      <c r="K3183">
        <v>113946531</v>
      </c>
      <c r="P3183">
        <v>114</v>
      </c>
      <c r="Q3183" t="s">
        <v>6705</v>
      </c>
    </row>
    <row r="3184" spans="1:17" x14ac:dyDescent="0.3">
      <c r="A3184" t="s">
        <v>17</v>
      </c>
      <c r="B3184" t="str">
        <f>"688181"</f>
        <v>688181</v>
      </c>
      <c r="C3184" t="s">
        <v>6706</v>
      </c>
      <c r="D3184" t="s">
        <v>128</v>
      </c>
      <c r="E3184">
        <v>210325459</v>
      </c>
      <c r="F3184">
        <v>190568117</v>
      </c>
      <c r="G3184">
        <v>126262269</v>
      </c>
      <c r="H3184">
        <v>85728465</v>
      </c>
      <c r="P3184">
        <v>108</v>
      </c>
      <c r="Q3184" t="s">
        <v>6707</v>
      </c>
    </row>
    <row r="3185" spans="1:17" x14ac:dyDescent="0.3">
      <c r="A3185" t="s">
        <v>75</v>
      </c>
      <c r="B3185" t="str">
        <f>"300117"</f>
        <v>300117</v>
      </c>
      <c r="C3185" t="s">
        <v>6708</v>
      </c>
      <c r="D3185" t="s">
        <v>52</v>
      </c>
      <c r="E3185">
        <v>209933678</v>
      </c>
      <c r="F3185">
        <v>452334233</v>
      </c>
      <c r="G3185">
        <v>534354966</v>
      </c>
      <c r="H3185">
        <v>803215576</v>
      </c>
      <c r="I3185">
        <v>547424471</v>
      </c>
      <c r="J3185">
        <v>525915761</v>
      </c>
      <c r="K3185">
        <v>532518197</v>
      </c>
      <c r="L3185">
        <v>520475352</v>
      </c>
      <c r="M3185">
        <v>371601296</v>
      </c>
      <c r="N3185">
        <v>245799903</v>
      </c>
      <c r="O3185">
        <v>132478627</v>
      </c>
      <c r="P3185">
        <v>179</v>
      </c>
      <c r="Q3185" t="s">
        <v>6709</v>
      </c>
    </row>
    <row r="3186" spans="1:17" x14ac:dyDescent="0.3">
      <c r="A3186" t="s">
        <v>17</v>
      </c>
      <c r="B3186" t="str">
        <f>"603289"</f>
        <v>603289</v>
      </c>
      <c r="C3186" t="s">
        <v>6710</v>
      </c>
      <c r="D3186" t="s">
        <v>1624</v>
      </c>
      <c r="E3186">
        <v>209892563</v>
      </c>
      <c r="F3186">
        <v>214892032</v>
      </c>
      <c r="G3186">
        <v>92795935</v>
      </c>
      <c r="H3186">
        <v>168990877</v>
      </c>
      <c r="I3186">
        <v>106488788</v>
      </c>
      <c r="J3186">
        <v>82094426</v>
      </c>
      <c r="P3186">
        <v>115</v>
      </c>
      <c r="Q3186" t="s">
        <v>6711</v>
      </c>
    </row>
    <row r="3187" spans="1:17" x14ac:dyDescent="0.3">
      <c r="A3187" t="s">
        <v>17</v>
      </c>
      <c r="B3187" t="str">
        <f>"688601"</f>
        <v>688601</v>
      </c>
      <c r="C3187" t="s">
        <v>6712</v>
      </c>
      <c r="D3187" t="s">
        <v>2580</v>
      </c>
      <c r="E3187">
        <v>209455360</v>
      </c>
      <c r="F3187">
        <v>127799288</v>
      </c>
      <c r="G3187">
        <v>105724883</v>
      </c>
      <c r="P3187">
        <v>57</v>
      </c>
      <c r="Q3187" t="s">
        <v>6713</v>
      </c>
    </row>
    <row r="3188" spans="1:17" x14ac:dyDescent="0.3">
      <c r="A3188" t="s">
        <v>17</v>
      </c>
      <c r="B3188" t="str">
        <f>"600895"</f>
        <v>600895</v>
      </c>
      <c r="C3188" t="s">
        <v>6714</v>
      </c>
      <c r="D3188" t="s">
        <v>806</v>
      </c>
      <c r="E3188">
        <v>209356749</v>
      </c>
      <c r="F3188">
        <v>440155189</v>
      </c>
      <c r="G3188">
        <v>142848588</v>
      </c>
      <c r="H3188">
        <v>341227747</v>
      </c>
      <c r="I3188">
        <v>173556744</v>
      </c>
      <c r="J3188">
        <v>315657713</v>
      </c>
      <c r="K3188">
        <v>525207731</v>
      </c>
      <c r="L3188">
        <v>232153065</v>
      </c>
      <c r="M3188">
        <v>393708451</v>
      </c>
      <c r="N3188">
        <v>265462844</v>
      </c>
      <c r="O3188">
        <v>351877071</v>
      </c>
      <c r="P3188">
        <v>336</v>
      </c>
      <c r="Q3188" t="s">
        <v>6715</v>
      </c>
    </row>
    <row r="3189" spans="1:17" x14ac:dyDescent="0.3">
      <c r="A3189" t="s">
        <v>75</v>
      </c>
      <c r="B3189" t="str">
        <f>"002346"</f>
        <v>002346</v>
      </c>
      <c r="C3189" t="s">
        <v>6716</v>
      </c>
      <c r="D3189" t="s">
        <v>347</v>
      </c>
      <c r="E3189">
        <v>209281698</v>
      </c>
      <c r="F3189">
        <v>134213875</v>
      </c>
      <c r="G3189">
        <v>109606728</v>
      </c>
      <c r="H3189">
        <v>139509771</v>
      </c>
      <c r="I3189">
        <v>175676577</v>
      </c>
      <c r="J3189">
        <v>136858991</v>
      </c>
      <c r="K3189">
        <v>103295235</v>
      </c>
      <c r="L3189">
        <v>193451950</v>
      </c>
      <c r="M3189">
        <v>33712875</v>
      </c>
      <c r="N3189">
        <v>85015816</v>
      </c>
      <c r="O3189">
        <v>69574776</v>
      </c>
      <c r="P3189">
        <v>105</v>
      </c>
      <c r="Q3189" t="s">
        <v>6717</v>
      </c>
    </row>
    <row r="3190" spans="1:17" x14ac:dyDescent="0.3">
      <c r="A3190" t="s">
        <v>17</v>
      </c>
      <c r="B3190" t="str">
        <f>"603155"</f>
        <v>603155</v>
      </c>
      <c r="C3190" t="s">
        <v>6718</v>
      </c>
      <c r="D3190" t="s">
        <v>1112</v>
      </c>
      <c r="E3190">
        <v>209199592</v>
      </c>
      <c r="F3190">
        <v>88738596</v>
      </c>
      <c r="G3190">
        <v>72339111</v>
      </c>
      <c r="P3190">
        <v>76</v>
      </c>
      <c r="Q3190" t="s">
        <v>6719</v>
      </c>
    </row>
    <row r="3191" spans="1:17" x14ac:dyDescent="0.3">
      <c r="A3191" t="s">
        <v>75</v>
      </c>
      <c r="B3191" t="str">
        <f>"002861"</f>
        <v>002861</v>
      </c>
      <c r="C3191" t="s">
        <v>6720</v>
      </c>
      <c r="D3191" t="s">
        <v>55</v>
      </c>
      <c r="E3191">
        <v>209115359</v>
      </c>
      <c r="F3191">
        <v>357961441</v>
      </c>
      <c r="G3191">
        <v>285237635</v>
      </c>
      <c r="H3191">
        <v>282031430</v>
      </c>
      <c r="I3191">
        <v>217291869</v>
      </c>
      <c r="J3191">
        <v>180189571</v>
      </c>
      <c r="K3191">
        <v>198866567</v>
      </c>
      <c r="P3191">
        <v>155</v>
      </c>
      <c r="Q3191" t="s">
        <v>6721</v>
      </c>
    </row>
    <row r="3192" spans="1:17" x14ac:dyDescent="0.3">
      <c r="A3192" t="s">
        <v>17</v>
      </c>
      <c r="B3192" t="str">
        <f>"601606"</f>
        <v>601606</v>
      </c>
      <c r="C3192" t="s">
        <v>6722</v>
      </c>
      <c r="D3192" t="s">
        <v>3072</v>
      </c>
      <c r="E3192">
        <v>208895816</v>
      </c>
      <c r="F3192">
        <v>253030752</v>
      </c>
      <c r="G3192">
        <v>210152801</v>
      </c>
      <c r="H3192">
        <v>217544770</v>
      </c>
      <c r="I3192">
        <v>186344833</v>
      </c>
      <c r="P3192">
        <v>180</v>
      </c>
      <c r="Q3192" t="s">
        <v>6723</v>
      </c>
    </row>
    <row r="3193" spans="1:17" x14ac:dyDescent="0.3">
      <c r="A3193" t="s">
        <v>75</v>
      </c>
      <c r="B3193" t="str">
        <f>"300826"</f>
        <v>300826</v>
      </c>
      <c r="C3193" t="s">
        <v>6724</v>
      </c>
      <c r="D3193" t="s">
        <v>2118</v>
      </c>
      <c r="E3193">
        <v>208320092</v>
      </c>
      <c r="F3193">
        <v>179648300</v>
      </c>
      <c r="G3193">
        <v>135302445</v>
      </c>
      <c r="H3193">
        <v>144211534</v>
      </c>
      <c r="P3193">
        <v>61</v>
      </c>
      <c r="Q3193" t="s">
        <v>6725</v>
      </c>
    </row>
    <row r="3194" spans="1:17" x14ac:dyDescent="0.3">
      <c r="A3194" t="s">
        <v>17</v>
      </c>
      <c r="B3194" t="str">
        <f>"603759"</f>
        <v>603759</v>
      </c>
      <c r="C3194" t="s">
        <v>6726</v>
      </c>
      <c r="D3194" t="s">
        <v>1107</v>
      </c>
      <c r="E3194">
        <v>208176310</v>
      </c>
      <c r="F3194">
        <v>171931643</v>
      </c>
      <c r="G3194">
        <v>129512043</v>
      </c>
      <c r="P3194">
        <v>48</v>
      </c>
      <c r="Q3194" t="s">
        <v>6727</v>
      </c>
    </row>
    <row r="3195" spans="1:17" x14ac:dyDescent="0.3">
      <c r="A3195" t="s">
        <v>75</v>
      </c>
      <c r="B3195" t="str">
        <f>"300908"</f>
        <v>300908</v>
      </c>
      <c r="C3195" t="s">
        <v>6728</v>
      </c>
      <c r="D3195" t="s">
        <v>774</v>
      </c>
      <c r="E3195">
        <v>208036329</v>
      </c>
      <c r="F3195">
        <v>252894127</v>
      </c>
      <c r="G3195">
        <v>191632293</v>
      </c>
      <c r="P3195">
        <v>173</v>
      </c>
      <c r="Q3195" t="s">
        <v>6729</v>
      </c>
    </row>
    <row r="3196" spans="1:17" x14ac:dyDescent="0.3">
      <c r="A3196" t="s">
        <v>17</v>
      </c>
      <c r="B3196" t="str">
        <f>"688239"</f>
        <v>688239</v>
      </c>
      <c r="C3196" t="s">
        <v>6730</v>
      </c>
      <c r="D3196" t="s">
        <v>1551</v>
      </c>
      <c r="E3196">
        <v>208033348</v>
      </c>
      <c r="F3196">
        <v>154841338</v>
      </c>
      <c r="G3196">
        <v>98581872</v>
      </c>
      <c r="P3196">
        <v>57</v>
      </c>
      <c r="Q3196" t="s">
        <v>6731</v>
      </c>
    </row>
    <row r="3197" spans="1:17" x14ac:dyDescent="0.3">
      <c r="A3197" t="s">
        <v>17</v>
      </c>
      <c r="B3197" t="str">
        <f>"600624"</f>
        <v>600624</v>
      </c>
      <c r="C3197" t="s">
        <v>6732</v>
      </c>
      <c r="D3197" t="s">
        <v>543</v>
      </c>
      <c r="E3197">
        <v>207975145</v>
      </c>
      <c r="F3197">
        <v>283358985</v>
      </c>
      <c r="G3197">
        <v>189577704</v>
      </c>
      <c r="H3197">
        <v>218422022</v>
      </c>
      <c r="I3197">
        <v>308760833</v>
      </c>
      <c r="J3197">
        <v>195998003</v>
      </c>
      <c r="K3197">
        <v>161753121</v>
      </c>
      <c r="L3197">
        <v>240830359</v>
      </c>
      <c r="M3197">
        <v>224861271</v>
      </c>
      <c r="N3197">
        <v>279284705</v>
      </c>
      <c r="O3197">
        <v>177779279</v>
      </c>
      <c r="P3197">
        <v>122</v>
      </c>
      <c r="Q3197" t="s">
        <v>6733</v>
      </c>
    </row>
    <row r="3198" spans="1:17" x14ac:dyDescent="0.3">
      <c r="A3198" t="s">
        <v>17</v>
      </c>
      <c r="B3198" t="str">
        <f>"688236"</f>
        <v>688236</v>
      </c>
      <c r="C3198" t="s">
        <v>6734</v>
      </c>
      <c r="D3198" t="s">
        <v>1538</v>
      </c>
      <c r="E3198">
        <v>207473119</v>
      </c>
      <c r="P3198">
        <v>20</v>
      </c>
      <c r="Q3198" t="s">
        <v>6735</v>
      </c>
    </row>
    <row r="3199" spans="1:17" x14ac:dyDescent="0.3">
      <c r="A3199" t="s">
        <v>17</v>
      </c>
      <c r="B3199" t="str">
        <f>"603183"</f>
        <v>603183</v>
      </c>
      <c r="C3199" t="s">
        <v>6736</v>
      </c>
      <c r="D3199" t="s">
        <v>3153</v>
      </c>
      <c r="E3199">
        <v>207378521</v>
      </c>
      <c r="F3199">
        <v>228625854</v>
      </c>
      <c r="G3199">
        <v>194095275</v>
      </c>
      <c r="H3199">
        <v>132276372</v>
      </c>
      <c r="I3199">
        <v>107169893</v>
      </c>
      <c r="J3199">
        <v>75676822</v>
      </c>
      <c r="P3199">
        <v>92</v>
      </c>
      <c r="Q3199" t="s">
        <v>6737</v>
      </c>
    </row>
    <row r="3200" spans="1:17" x14ac:dyDescent="0.3">
      <c r="A3200" t="s">
        <v>75</v>
      </c>
      <c r="B3200" t="str">
        <f>"002971"</f>
        <v>002971</v>
      </c>
      <c r="C3200" t="s">
        <v>6738</v>
      </c>
      <c r="D3200" t="s">
        <v>292</v>
      </c>
      <c r="E3200">
        <v>207204858</v>
      </c>
      <c r="F3200">
        <v>134908959</v>
      </c>
      <c r="G3200">
        <v>77765905</v>
      </c>
      <c r="H3200">
        <v>117642333</v>
      </c>
      <c r="P3200">
        <v>70</v>
      </c>
      <c r="Q3200" t="s">
        <v>6739</v>
      </c>
    </row>
    <row r="3201" spans="1:17" x14ac:dyDescent="0.3">
      <c r="A3201" t="s">
        <v>75</v>
      </c>
      <c r="B3201" t="str">
        <f>"301042"</f>
        <v>301042</v>
      </c>
      <c r="C3201" t="s">
        <v>6740</v>
      </c>
      <c r="D3201" t="s">
        <v>337</v>
      </c>
      <c r="E3201">
        <v>207104028</v>
      </c>
      <c r="F3201">
        <v>254180304</v>
      </c>
      <c r="G3201">
        <v>169763771</v>
      </c>
      <c r="P3201">
        <v>14</v>
      </c>
      <c r="Q3201" t="s">
        <v>6741</v>
      </c>
    </row>
    <row r="3202" spans="1:17" x14ac:dyDescent="0.3">
      <c r="A3202" t="s">
        <v>17</v>
      </c>
      <c r="B3202" t="str">
        <f>"601518"</f>
        <v>601518</v>
      </c>
      <c r="C3202" t="s">
        <v>6742</v>
      </c>
      <c r="D3202" t="s">
        <v>1248</v>
      </c>
      <c r="E3202">
        <v>207059167</v>
      </c>
      <c r="F3202">
        <v>290431509</v>
      </c>
      <c r="G3202">
        <v>90802935</v>
      </c>
      <c r="H3202">
        <v>172086995</v>
      </c>
      <c r="I3202">
        <v>150209425</v>
      </c>
      <c r="J3202">
        <v>176478843</v>
      </c>
      <c r="K3202">
        <v>136910250</v>
      </c>
      <c r="L3202">
        <v>147182606</v>
      </c>
      <c r="M3202">
        <v>140789404</v>
      </c>
      <c r="N3202">
        <v>153511858</v>
      </c>
      <c r="O3202">
        <v>163272628</v>
      </c>
      <c r="P3202">
        <v>111</v>
      </c>
      <c r="Q3202" t="s">
        <v>6743</v>
      </c>
    </row>
    <row r="3203" spans="1:17" x14ac:dyDescent="0.3">
      <c r="A3203" t="s">
        <v>17</v>
      </c>
      <c r="B3203" t="str">
        <f>"688166"</f>
        <v>688166</v>
      </c>
      <c r="C3203" t="s">
        <v>6744</v>
      </c>
      <c r="D3203" t="s">
        <v>543</v>
      </c>
      <c r="E3203">
        <v>207049316</v>
      </c>
      <c r="F3203">
        <v>203327406</v>
      </c>
      <c r="G3203">
        <v>142026032</v>
      </c>
      <c r="H3203">
        <v>94211461</v>
      </c>
      <c r="P3203">
        <v>190</v>
      </c>
      <c r="Q3203" t="s">
        <v>6745</v>
      </c>
    </row>
    <row r="3204" spans="1:17" x14ac:dyDescent="0.3">
      <c r="A3204" t="s">
        <v>75</v>
      </c>
      <c r="B3204" t="str">
        <f>"300066"</f>
        <v>300066</v>
      </c>
      <c r="C3204" t="s">
        <v>6746</v>
      </c>
      <c r="D3204" t="s">
        <v>2549</v>
      </c>
      <c r="E3204">
        <v>206879447</v>
      </c>
      <c r="F3204">
        <v>206645268</v>
      </c>
      <c r="G3204">
        <v>150372813</v>
      </c>
      <c r="H3204">
        <v>137761534</v>
      </c>
      <c r="I3204">
        <v>130662040</v>
      </c>
      <c r="J3204">
        <v>119726278</v>
      </c>
      <c r="K3204">
        <v>133802111</v>
      </c>
      <c r="L3204">
        <v>150536594</v>
      </c>
      <c r="M3204">
        <v>133640002</v>
      </c>
      <c r="N3204">
        <v>128557585</v>
      </c>
      <c r="O3204">
        <v>92842027</v>
      </c>
      <c r="P3204">
        <v>190</v>
      </c>
      <c r="Q3204" t="s">
        <v>6747</v>
      </c>
    </row>
    <row r="3205" spans="1:17" x14ac:dyDescent="0.3">
      <c r="A3205" t="s">
        <v>17</v>
      </c>
      <c r="B3205" t="str">
        <f>"600527"</f>
        <v>600527</v>
      </c>
      <c r="C3205" t="s">
        <v>6748</v>
      </c>
      <c r="D3205" t="s">
        <v>2832</v>
      </c>
      <c r="E3205">
        <v>206878658</v>
      </c>
      <c r="F3205">
        <v>181685176</v>
      </c>
      <c r="G3205">
        <v>285423660</v>
      </c>
      <c r="H3205">
        <v>326625941</v>
      </c>
      <c r="I3205">
        <v>337064073</v>
      </c>
      <c r="J3205">
        <v>412837244</v>
      </c>
      <c r="K3205">
        <v>300419692</v>
      </c>
      <c r="L3205">
        <v>401109042</v>
      </c>
      <c r="M3205">
        <v>383601234</v>
      </c>
      <c r="N3205">
        <v>353023518</v>
      </c>
      <c r="O3205">
        <v>400215018</v>
      </c>
      <c r="P3205">
        <v>112</v>
      </c>
      <c r="Q3205" t="s">
        <v>6749</v>
      </c>
    </row>
    <row r="3206" spans="1:17" x14ac:dyDescent="0.3">
      <c r="A3206" t="s">
        <v>17</v>
      </c>
      <c r="B3206" t="str">
        <f>"688186"</f>
        <v>688186</v>
      </c>
      <c r="C3206" t="s">
        <v>6750</v>
      </c>
      <c r="D3206" t="s">
        <v>238</v>
      </c>
      <c r="E3206">
        <v>206826273</v>
      </c>
      <c r="F3206">
        <v>171001089</v>
      </c>
      <c r="G3206">
        <v>283918436</v>
      </c>
      <c r="H3206">
        <v>176691171</v>
      </c>
      <c r="P3206">
        <v>110</v>
      </c>
      <c r="Q3206" t="s">
        <v>6751</v>
      </c>
    </row>
    <row r="3207" spans="1:17" x14ac:dyDescent="0.3">
      <c r="A3207" t="s">
        <v>75</v>
      </c>
      <c r="B3207" t="str">
        <f>"300030"</f>
        <v>300030</v>
      </c>
      <c r="C3207" t="s">
        <v>6752</v>
      </c>
      <c r="D3207" t="s">
        <v>334</v>
      </c>
      <c r="E3207">
        <v>206724409</v>
      </c>
      <c r="F3207">
        <v>299962651</v>
      </c>
      <c r="G3207">
        <v>197202136</v>
      </c>
      <c r="H3207">
        <v>192489636</v>
      </c>
      <c r="I3207">
        <v>150086402</v>
      </c>
      <c r="J3207">
        <v>191639600</v>
      </c>
      <c r="K3207">
        <v>199795760</v>
      </c>
      <c r="L3207">
        <v>140087778</v>
      </c>
      <c r="M3207">
        <v>87689429</v>
      </c>
      <c r="N3207">
        <v>57160013</v>
      </c>
      <c r="O3207">
        <v>55229549</v>
      </c>
      <c r="P3207">
        <v>182</v>
      </c>
      <c r="Q3207" t="s">
        <v>6753</v>
      </c>
    </row>
    <row r="3208" spans="1:17" x14ac:dyDescent="0.3">
      <c r="A3208" t="s">
        <v>17</v>
      </c>
      <c r="B3208" t="str">
        <f>"688019"</f>
        <v>688019</v>
      </c>
      <c r="C3208" t="s">
        <v>6754</v>
      </c>
      <c r="D3208" t="s">
        <v>1853</v>
      </c>
      <c r="E3208">
        <v>206637164</v>
      </c>
      <c r="F3208">
        <v>89810875</v>
      </c>
      <c r="G3208">
        <v>64811043</v>
      </c>
      <c r="H3208">
        <v>52378487</v>
      </c>
      <c r="I3208">
        <v>0</v>
      </c>
      <c r="P3208">
        <v>286</v>
      </c>
      <c r="Q3208" t="s">
        <v>6755</v>
      </c>
    </row>
    <row r="3209" spans="1:17" x14ac:dyDescent="0.3">
      <c r="A3209" t="s">
        <v>75</v>
      </c>
      <c r="B3209" t="str">
        <f>"300412"</f>
        <v>300412</v>
      </c>
      <c r="C3209" t="s">
        <v>6756</v>
      </c>
      <c r="D3209" t="s">
        <v>1624</v>
      </c>
      <c r="E3209">
        <v>206502520</v>
      </c>
      <c r="F3209">
        <v>214744720</v>
      </c>
      <c r="G3209">
        <v>167220743</v>
      </c>
      <c r="H3209">
        <v>178316999</v>
      </c>
      <c r="I3209">
        <v>101050510</v>
      </c>
      <c r="J3209">
        <v>79743815</v>
      </c>
      <c r="K3209">
        <v>52977861</v>
      </c>
      <c r="L3209">
        <v>35639036</v>
      </c>
      <c r="M3209">
        <v>38862931</v>
      </c>
      <c r="P3209">
        <v>96</v>
      </c>
      <c r="Q3209" t="s">
        <v>6757</v>
      </c>
    </row>
    <row r="3210" spans="1:17" x14ac:dyDescent="0.3">
      <c r="A3210" t="s">
        <v>17</v>
      </c>
      <c r="B3210" t="str">
        <f>"605089"</f>
        <v>605089</v>
      </c>
      <c r="C3210" t="s">
        <v>6758</v>
      </c>
      <c r="D3210" t="s">
        <v>1312</v>
      </c>
      <c r="E3210">
        <v>206355039</v>
      </c>
      <c r="F3210">
        <v>177382518</v>
      </c>
      <c r="G3210">
        <v>133092583</v>
      </c>
      <c r="P3210">
        <v>131</v>
      </c>
      <c r="Q3210" t="s">
        <v>6759</v>
      </c>
    </row>
    <row r="3211" spans="1:17" x14ac:dyDescent="0.3">
      <c r="A3211" t="s">
        <v>17</v>
      </c>
      <c r="B3211" t="str">
        <f>"603603"</f>
        <v>603603</v>
      </c>
      <c r="C3211" t="s">
        <v>6760</v>
      </c>
      <c r="D3211" t="s">
        <v>1107</v>
      </c>
      <c r="E3211">
        <v>206097026</v>
      </c>
      <c r="F3211">
        <v>213381704</v>
      </c>
      <c r="G3211">
        <v>319112702</v>
      </c>
      <c r="H3211">
        <v>439099131</v>
      </c>
      <c r="I3211">
        <v>461009267</v>
      </c>
      <c r="J3211">
        <v>102237726</v>
      </c>
      <c r="K3211">
        <v>127141000</v>
      </c>
      <c r="P3211">
        <v>118</v>
      </c>
      <c r="Q3211" t="s">
        <v>6761</v>
      </c>
    </row>
    <row r="3212" spans="1:17" x14ac:dyDescent="0.3">
      <c r="A3212" t="s">
        <v>17</v>
      </c>
      <c r="B3212" t="str">
        <f>"688209"</f>
        <v>688209</v>
      </c>
      <c r="C3212" t="s">
        <v>6762</v>
      </c>
      <c r="E3212">
        <v>205950261</v>
      </c>
      <c r="F3212">
        <v>171255137</v>
      </c>
      <c r="P3212">
        <v>5</v>
      </c>
      <c r="Q3212" t="s">
        <v>6763</v>
      </c>
    </row>
    <row r="3213" spans="1:17" x14ac:dyDescent="0.3">
      <c r="A3213" t="s">
        <v>17</v>
      </c>
      <c r="B3213" t="str">
        <f>"603665"</f>
        <v>603665</v>
      </c>
      <c r="C3213" t="s">
        <v>6764</v>
      </c>
      <c r="D3213" t="s">
        <v>2921</v>
      </c>
      <c r="E3213">
        <v>205578035</v>
      </c>
      <c r="F3213">
        <v>240008062</v>
      </c>
      <c r="G3213">
        <v>164502125</v>
      </c>
      <c r="H3213">
        <v>235330131</v>
      </c>
      <c r="I3213">
        <v>219021252</v>
      </c>
      <c r="J3213">
        <v>155710721</v>
      </c>
      <c r="K3213">
        <v>140979194</v>
      </c>
      <c r="P3213">
        <v>89</v>
      </c>
      <c r="Q3213" t="s">
        <v>6765</v>
      </c>
    </row>
    <row r="3214" spans="1:17" x14ac:dyDescent="0.3">
      <c r="A3214" t="s">
        <v>75</v>
      </c>
      <c r="B3214" t="str">
        <f>"300552"</f>
        <v>300552</v>
      </c>
      <c r="C3214" t="s">
        <v>6766</v>
      </c>
      <c r="D3214" t="s">
        <v>508</v>
      </c>
      <c r="E3214">
        <v>205513413</v>
      </c>
      <c r="F3214">
        <v>290469869</v>
      </c>
      <c r="G3214">
        <v>352385663</v>
      </c>
      <c r="H3214">
        <v>155692865</v>
      </c>
      <c r="I3214">
        <v>105732543</v>
      </c>
      <c r="J3214">
        <v>103075170</v>
      </c>
      <c r="K3214">
        <v>110024812</v>
      </c>
      <c r="P3214">
        <v>327</v>
      </c>
      <c r="Q3214" t="s">
        <v>6767</v>
      </c>
    </row>
    <row r="3215" spans="1:17" x14ac:dyDescent="0.3">
      <c r="A3215" t="s">
        <v>75</v>
      </c>
      <c r="B3215" t="str">
        <f>"300227"</f>
        <v>300227</v>
      </c>
      <c r="C3215" t="s">
        <v>6768</v>
      </c>
      <c r="D3215" t="s">
        <v>1497</v>
      </c>
      <c r="E3215">
        <v>205283408</v>
      </c>
      <c r="F3215">
        <v>213348320</v>
      </c>
      <c r="G3215">
        <v>205004551</v>
      </c>
      <c r="H3215">
        <v>151498359</v>
      </c>
      <c r="I3215">
        <v>189421855</v>
      </c>
      <c r="J3215">
        <v>93314494</v>
      </c>
      <c r="K3215">
        <v>60871603</v>
      </c>
      <c r="L3215">
        <v>70530851</v>
      </c>
      <c r="M3215">
        <v>56577347</v>
      </c>
      <c r="N3215">
        <v>49750225</v>
      </c>
      <c r="O3215">
        <v>35053571</v>
      </c>
      <c r="P3215">
        <v>220</v>
      </c>
      <c r="Q3215" t="s">
        <v>6769</v>
      </c>
    </row>
    <row r="3216" spans="1:17" x14ac:dyDescent="0.3">
      <c r="A3216" t="s">
        <v>17</v>
      </c>
      <c r="B3216" t="str">
        <f>"600358"</f>
        <v>600358</v>
      </c>
      <c r="C3216" t="s">
        <v>6770</v>
      </c>
      <c r="D3216" t="s">
        <v>622</v>
      </c>
      <c r="E3216">
        <v>204512521</v>
      </c>
      <c r="F3216">
        <v>191308717</v>
      </c>
      <c r="G3216">
        <v>139034898</v>
      </c>
      <c r="H3216">
        <v>40171108</v>
      </c>
      <c r="I3216">
        <v>63243097</v>
      </c>
      <c r="J3216">
        <v>36607245</v>
      </c>
      <c r="K3216">
        <v>31668337</v>
      </c>
      <c r="L3216">
        <v>31337979</v>
      </c>
      <c r="M3216">
        <v>35456574</v>
      </c>
      <c r="N3216">
        <v>36420603</v>
      </c>
      <c r="O3216">
        <v>36118729</v>
      </c>
      <c r="P3216">
        <v>64</v>
      </c>
      <c r="Q3216" t="s">
        <v>6771</v>
      </c>
    </row>
    <row r="3217" spans="1:17" x14ac:dyDescent="0.3">
      <c r="A3217" t="s">
        <v>17</v>
      </c>
      <c r="B3217" t="str">
        <f>"688159"</f>
        <v>688159</v>
      </c>
      <c r="C3217" t="s">
        <v>6772</v>
      </c>
      <c r="D3217" t="s">
        <v>556</v>
      </c>
      <c r="E3217">
        <v>204489541</v>
      </c>
      <c r="F3217">
        <v>166103567</v>
      </c>
      <c r="G3217">
        <v>159460169</v>
      </c>
      <c r="H3217">
        <v>170693320</v>
      </c>
      <c r="P3217">
        <v>94</v>
      </c>
      <c r="Q3217" t="s">
        <v>6773</v>
      </c>
    </row>
    <row r="3218" spans="1:17" x14ac:dyDescent="0.3">
      <c r="A3218" t="s">
        <v>17</v>
      </c>
      <c r="B3218" t="str">
        <f>"603709"</f>
        <v>603709</v>
      </c>
      <c r="C3218" t="s">
        <v>6774</v>
      </c>
      <c r="D3218" t="s">
        <v>1123</v>
      </c>
      <c r="E3218">
        <v>204475918</v>
      </c>
      <c r="F3218">
        <v>262582847</v>
      </c>
      <c r="G3218">
        <v>229766655</v>
      </c>
      <c r="H3218">
        <v>206006708</v>
      </c>
      <c r="I3218">
        <v>171782764</v>
      </c>
      <c r="J3218">
        <v>159431284</v>
      </c>
      <c r="P3218">
        <v>99</v>
      </c>
      <c r="Q3218" t="s">
        <v>6775</v>
      </c>
    </row>
    <row r="3219" spans="1:17" x14ac:dyDescent="0.3">
      <c r="A3219" t="s">
        <v>75</v>
      </c>
      <c r="B3219" t="str">
        <f>"300542"</f>
        <v>300542</v>
      </c>
      <c r="C3219" t="s">
        <v>6776</v>
      </c>
      <c r="D3219" t="s">
        <v>116</v>
      </c>
      <c r="E3219">
        <v>204352554</v>
      </c>
      <c r="F3219">
        <v>214066205</v>
      </c>
      <c r="G3219">
        <v>125324319</v>
      </c>
      <c r="H3219">
        <v>155582051</v>
      </c>
      <c r="I3219">
        <v>55172794</v>
      </c>
      <c r="J3219">
        <v>46488432</v>
      </c>
      <c r="K3219">
        <v>33465014</v>
      </c>
      <c r="P3219">
        <v>143</v>
      </c>
      <c r="Q3219" t="s">
        <v>6777</v>
      </c>
    </row>
    <row r="3220" spans="1:17" x14ac:dyDescent="0.3">
      <c r="A3220" t="s">
        <v>75</v>
      </c>
      <c r="B3220" t="str">
        <f>"300514"</f>
        <v>300514</v>
      </c>
      <c r="C3220" t="s">
        <v>6778</v>
      </c>
      <c r="D3220" t="s">
        <v>2251</v>
      </c>
      <c r="E3220">
        <v>204299315</v>
      </c>
      <c r="F3220">
        <v>203696975</v>
      </c>
      <c r="G3220">
        <v>223125373</v>
      </c>
      <c r="H3220">
        <v>125322715</v>
      </c>
      <c r="I3220">
        <v>109630168</v>
      </c>
      <c r="J3220">
        <v>83189039</v>
      </c>
      <c r="K3220">
        <v>64914808</v>
      </c>
      <c r="P3220">
        <v>148</v>
      </c>
      <c r="Q3220" t="s">
        <v>6779</v>
      </c>
    </row>
    <row r="3221" spans="1:17" x14ac:dyDescent="0.3">
      <c r="A3221" t="s">
        <v>17</v>
      </c>
      <c r="B3221" t="str">
        <f>"688066"</f>
        <v>688066</v>
      </c>
      <c r="C3221" t="s">
        <v>6780</v>
      </c>
      <c r="D3221" t="s">
        <v>224</v>
      </c>
      <c r="E3221">
        <v>204258402</v>
      </c>
      <c r="F3221">
        <v>143723730</v>
      </c>
      <c r="G3221">
        <v>66587192</v>
      </c>
      <c r="H3221">
        <v>31470077</v>
      </c>
      <c r="I3221">
        <v>0</v>
      </c>
      <c r="P3221">
        <v>159</v>
      </c>
      <c r="Q3221" t="s">
        <v>6781</v>
      </c>
    </row>
    <row r="3222" spans="1:17" x14ac:dyDescent="0.3">
      <c r="A3222" t="s">
        <v>17</v>
      </c>
      <c r="B3222" t="str">
        <f>"605336"</f>
        <v>605336</v>
      </c>
      <c r="C3222" t="s">
        <v>6782</v>
      </c>
      <c r="D3222" t="s">
        <v>1680</v>
      </c>
      <c r="E3222">
        <v>204217615</v>
      </c>
      <c r="F3222">
        <v>183292208</v>
      </c>
      <c r="G3222">
        <v>48049936</v>
      </c>
      <c r="P3222">
        <v>141</v>
      </c>
      <c r="Q3222" t="s">
        <v>6783</v>
      </c>
    </row>
    <row r="3223" spans="1:17" x14ac:dyDescent="0.3">
      <c r="A3223" t="s">
        <v>17</v>
      </c>
      <c r="B3223" t="str">
        <f>"603121"</f>
        <v>603121</v>
      </c>
      <c r="C3223" t="s">
        <v>6784</v>
      </c>
      <c r="D3223" t="s">
        <v>172</v>
      </c>
      <c r="E3223">
        <v>204120259</v>
      </c>
      <c r="F3223">
        <v>202597702</v>
      </c>
      <c r="G3223">
        <v>165735119</v>
      </c>
      <c r="H3223">
        <v>150449450</v>
      </c>
      <c r="I3223">
        <v>131868213</v>
      </c>
      <c r="P3223">
        <v>77</v>
      </c>
      <c r="Q3223" t="s">
        <v>6785</v>
      </c>
    </row>
    <row r="3224" spans="1:17" x14ac:dyDescent="0.3">
      <c r="A3224" t="s">
        <v>75</v>
      </c>
      <c r="B3224" t="str">
        <f>"300626"</f>
        <v>300626</v>
      </c>
      <c r="C3224" t="s">
        <v>6786</v>
      </c>
      <c r="D3224" t="s">
        <v>1487</v>
      </c>
      <c r="E3224">
        <v>203990424</v>
      </c>
      <c r="F3224">
        <v>208810056</v>
      </c>
      <c r="G3224">
        <v>142936676</v>
      </c>
      <c r="H3224">
        <v>212441201</v>
      </c>
      <c r="I3224">
        <v>210139864</v>
      </c>
      <c r="J3224">
        <v>135526227</v>
      </c>
      <c r="K3224">
        <v>162816367</v>
      </c>
      <c r="P3224">
        <v>55</v>
      </c>
      <c r="Q3224" t="s">
        <v>6787</v>
      </c>
    </row>
    <row r="3225" spans="1:17" x14ac:dyDescent="0.3">
      <c r="A3225" t="s">
        <v>17</v>
      </c>
      <c r="B3225" t="str">
        <f>"600148"</f>
        <v>600148</v>
      </c>
      <c r="C3225" t="s">
        <v>6788</v>
      </c>
      <c r="D3225" t="s">
        <v>172</v>
      </c>
      <c r="E3225">
        <v>203611537</v>
      </c>
      <c r="F3225">
        <v>206031809</v>
      </c>
      <c r="G3225">
        <v>129612138</v>
      </c>
      <c r="H3225">
        <v>151454712</v>
      </c>
      <c r="I3225">
        <v>140373782</v>
      </c>
      <c r="J3225">
        <v>95866930</v>
      </c>
      <c r="K3225">
        <v>104832195</v>
      </c>
      <c r="L3225">
        <v>129623362</v>
      </c>
      <c r="M3225">
        <v>141512730</v>
      </c>
      <c r="N3225">
        <v>97547716</v>
      </c>
      <c r="O3225">
        <v>130157895</v>
      </c>
      <c r="P3225">
        <v>75</v>
      </c>
      <c r="Q3225" t="s">
        <v>6789</v>
      </c>
    </row>
    <row r="3226" spans="1:17" x14ac:dyDescent="0.3">
      <c r="A3226" t="s">
        <v>75</v>
      </c>
      <c r="B3226" t="str">
        <f>"002535"</f>
        <v>002535</v>
      </c>
      <c r="C3226" t="s">
        <v>6790</v>
      </c>
      <c r="D3226" t="s">
        <v>786</v>
      </c>
      <c r="E3226">
        <v>203597285</v>
      </c>
      <c r="F3226">
        <v>143011136</v>
      </c>
      <c r="G3226">
        <v>139454768</v>
      </c>
      <c r="H3226">
        <v>355736484</v>
      </c>
      <c r="I3226">
        <v>408160019</v>
      </c>
      <c r="J3226">
        <v>299067102</v>
      </c>
      <c r="K3226">
        <v>301593340</v>
      </c>
      <c r="L3226">
        <v>346309320</v>
      </c>
      <c r="M3226">
        <v>333363143</v>
      </c>
      <c r="N3226">
        <v>219064716</v>
      </c>
      <c r="O3226">
        <v>170539093</v>
      </c>
      <c r="P3226">
        <v>89</v>
      </c>
      <c r="Q3226" t="s">
        <v>6791</v>
      </c>
    </row>
    <row r="3227" spans="1:17" x14ac:dyDescent="0.3">
      <c r="A3227" t="s">
        <v>75</v>
      </c>
      <c r="B3227" t="str">
        <f>"300835"</f>
        <v>300835</v>
      </c>
      <c r="C3227" t="s">
        <v>6792</v>
      </c>
      <c r="D3227" t="s">
        <v>1096</v>
      </c>
      <c r="E3227">
        <v>203430633</v>
      </c>
      <c r="F3227">
        <v>136529643</v>
      </c>
      <c r="G3227">
        <v>115303270</v>
      </c>
      <c r="H3227">
        <v>105391503</v>
      </c>
      <c r="P3227">
        <v>67</v>
      </c>
      <c r="Q3227" t="s">
        <v>6793</v>
      </c>
    </row>
    <row r="3228" spans="1:17" x14ac:dyDescent="0.3">
      <c r="A3228" t="s">
        <v>75</v>
      </c>
      <c r="B3228" t="str">
        <f>"000925"</f>
        <v>000925</v>
      </c>
      <c r="C3228" t="s">
        <v>6794</v>
      </c>
      <c r="D3228" t="s">
        <v>156</v>
      </c>
      <c r="E3228">
        <v>203404932</v>
      </c>
      <c r="F3228">
        <v>295426364</v>
      </c>
      <c r="G3228">
        <v>382930077</v>
      </c>
      <c r="H3228">
        <v>376915086</v>
      </c>
      <c r="I3228">
        <v>381745328</v>
      </c>
      <c r="J3228">
        <v>243223136</v>
      </c>
      <c r="K3228">
        <v>226953562</v>
      </c>
      <c r="L3228">
        <v>266959402</v>
      </c>
      <c r="M3228">
        <v>352781035</v>
      </c>
      <c r="N3228">
        <v>402765917</v>
      </c>
      <c r="O3228">
        <v>269106892</v>
      </c>
      <c r="P3228">
        <v>188</v>
      </c>
      <c r="Q3228" t="s">
        <v>6795</v>
      </c>
    </row>
    <row r="3229" spans="1:17" x14ac:dyDescent="0.3">
      <c r="A3229" t="s">
        <v>75</v>
      </c>
      <c r="B3229" t="str">
        <f>"002730"</f>
        <v>002730</v>
      </c>
      <c r="C3229" t="s">
        <v>6796</v>
      </c>
      <c r="D3229" t="s">
        <v>786</v>
      </c>
      <c r="E3229">
        <v>203219187</v>
      </c>
      <c r="F3229">
        <v>156088165</v>
      </c>
      <c r="G3229">
        <v>123427942</v>
      </c>
      <c r="H3229">
        <v>181948938</v>
      </c>
      <c r="I3229">
        <v>138926229</v>
      </c>
      <c r="J3229">
        <v>190681610</v>
      </c>
      <c r="K3229">
        <v>161176833</v>
      </c>
      <c r="L3229">
        <v>128663246</v>
      </c>
      <c r="M3229">
        <v>96473069</v>
      </c>
      <c r="P3229">
        <v>82</v>
      </c>
      <c r="Q3229" t="s">
        <v>6797</v>
      </c>
    </row>
    <row r="3230" spans="1:17" x14ac:dyDescent="0.3">
      <c r="A3230" t="s">
        <v>17</v>
      </c>
      <c r="B3230" t="str">
        <f>"603829"</f>
        <v>603829</v>
      </c>
      <c r="C3230" t="s">
        <v>6798</v>
      </c>
      <c r="D3230" t="s">
        <v>546</v>
      </c>
      <c r="E3230">
        <v>202995913</v>
      </c>
      <c r="F3230">
        <v>211494720</v>
      </c>
      <c r="G3230">
        <v>79666784</v>
      </c>
      <c r="H3230">
        <v>87361508</v>
      </c>
      <c r="I3230">
        <v>69353942</v>
      </c>
      <c r="J3230">
        <v>93190159</v>
      </c>
      <c r="P3230">
        <v>50</v>
      </c>
      <c r="Q3230" t="s">
        <v>6799</v>
      </c>
    </row>
    <row r="3231" spans="1:17" x14ac:dyDescent="0.3">
      <c r="A3231" t="s">
        <v>75</v>
      </c>
      <c r="B3231" t="str">
        <f>"002063"</f>
        <v>002063</v>
      </c>
      <c r="C3231" t="s">
        <v>6800</v>
      </c>
      <c r="D3231" t="s">
        <v>116</v>
      </c>
      <c r="E3231">
        <v>202940151</v>
      </c>
      <c r="F3231">
        <v>151721693</v>
      </c>
      <c r="G3231">
        <v>86973760</v>
      </c>
      <c r="H3231">
        <v>96269452</v>
      </c>
      <c r="I3231">
        <v>133106661</v>
      </c>
      <c r="J3231">
        <v>86453015</v>
      </c>
      <c r="K3231">
        <v>57358600</v>
      </c>
      <c r="L3231">
        <v>71588415</v>
      </c>
      <c r="M3231">
        <v>112510625</v>
      </c>
      <c r="N3231">
        <v>67946377</v>
      </c>
      <c r="O3231">
        <v>55952038</v>
      </c>
      <c r="P3231">
        <v>489</v>
      </c>
      <c r="Q3231" t="s">
        <v>6801</v>
      </c>
    </row>
    <row r="3232" spans="1:17" x14ac:dyDescent="0.3">
      <c r="A3232" t="s">
        <v>75</v>
      </c>
      <c r="B3232" t="str">
        <f>"300430"</f>
        <v>300430</v>
      </c>
      <c r="C3232" t="s">
        <v>6802</v>
      </c>
      <c r="D3232" t="s">
        <v>1424</v>
      </c>
      <c r="E3232">
        <v>202867795</v>
      </c>
      <c r="F3232">
        <v>173394654</v>
      </c>
      <c r="G3232">
        <v>123186024</v>
      </c>
      <c r="H3232">
        <v>196890178</v>
      </c>
      <c r="I3232">
        <v>144267002</v>
      </c>
      <c r="J3232">
        <v>75813944</v>
      </c>
      <c r="K3232">
        <v>49185463</v>
      </c>
      <c r="L3232">
        <v>57255078</v>
      </c>
      <c r="M3232">
        <v>49842297</v>
      </c>
      <c r="P3232">
        <v>95</v>
      </c>
      <c r="Q3232" t="s">
        <v>6803</v>
      </c>
    </row>
    <row r="3233" spans="1:17" x14ac:dyDescent="0.3">
      <c r="A3233" t="s">
        <v>75</v>
      </c>
      <c r="B3233" t="str">
        <f>"300437"</f>
        <v>300437</v>
      </c>
      <c r="C3233" t="s">
        <v>6804</v>
      </c>
      <c r="D3233" t="s">
        <v>1107</v>
      </c>
      <c r="E3233">
        <v>202756652</v>
      </c>
      <c r="F3233">
        <v>340431177</v>
      </c>
      <c r="G3233">
        <v>267241014</v>
      </c>
      <c r="H3233">
        <v>270763081</v>
      </c>
      <c r="I3233">
        <v>262031326</v>
      </c>
      <c r="J3233">
        <v>84074333</v>
      </c>
      <c r="K3233">
        <v>79581622</v>
      </c>
      <c r="L3233">
        <v>80568480</v>
      </c>
      <c r="M3233">
        <v>71060804</v>
      </c>
      <c r="P3233">
        <v>143</v>
      </c>
      <c r="Q3233" t="s">
        <v>6805</v>
      </c>
    </row>
    <row r="3234" spans="1:17" x14ac:dyDescent="0.3">
      <c r="A3234" t="s">
        <v>75</v>
      </c>
      <c r="B3234" t="str">
        <f>"000815"</f>
        <v>000815</v>
      </c>
      <c r="C3234" t="s">
        <v>6806</v>
      </c>
      <c r="D3234" t="s">
        <v>540</v>
      </c>
      <c r="E3234">
        <v>202628347</v>
      </c>
      <c r="F3234">
        <v>194287596</v>
      </c>
      <c r="G3234">
        <v>87528025</v>
      </c>
      <c r="H3234">
        <v>117566971</v>
      </c>
      <c r="I3234">
        <v>121091886</v>
      </c>
      <c r="J3234">
        <v>74659514</v>
      </c>
      <c r="K3234">
        <v>105626490</v>
      </c>
      <c r="L3234">
        <v>174158319</v>
      </c>
      <c r="M3234">
        <v>141212315</v>
      </c>
      <c r="N3234">
        <v>81999139</v>
      </c>
      <c r="O3234">
        <v>233846970</v>
      </c>
      <c r="P3234">
        <v>125</v>
      </c>
      <c r="Q3234" t="s">
        <v>6807</v>
      </c>
    </row>
    <row r="3235" spans="1:17" x14ac:dyDescent="0.3">
      <c r="A3235" t="s">
        <v>75</v>
      </c>
      <c r="B3235" t="str">
        <f>"200992"</f>
        <v>200992</v>
      </c>
      <c r="C3235" t="s">
        <v>6808</v>
      </c>
      <c r="E3235">
        <v>202526396.21799999</v>
      </c>
      <c r="F3235">
        <v>175309931.35550001</v>
      </c>
      <c r="G3235">
        <v>159307101.83520001</v>
      </c>
      <c r="H3235">
        <v>311927357.05470002</v>
      </c>
      <c r="I3235">
        <v>197412185.801</v>
      </c>
      <c r="J3235">
        <v>221431139.3364</v>
      </c>
      <c r="K3235">
        <v>239227936.7414</v>
      </c>
      <c r="L3235">
        <v>183247071.25</v>
      </c>
      <c r="M3235">
        <v>137700534.91760001</v>
      </c>
      <c r="N3235">
        <v>138210020.35800001</v>
      </c>
      <c r="O3235">
        <v>140928516.648</v>
      </c>
      <c r="P3235">
        <v>22</v>
      </c>
      <c r="Q3235" t="s">
        <v>6809</v>
      </c>
    </row>
    <row r="3236" spans="1:17" x14ac:dyDescent="0.3">
      <c r="A3236" t="s">
        <v>17</v>
      </c>
      <c r="B3236" t="str">
        <f>"605376"</f>
        <v>605376</v>
      </c>
      <c r="C3236" t="s">
        <v>6810</v>
      </c>
      <c r="D3236" t="s">
        <v>364</v>
      </c>
      <c r="E3236">
        <v>202139820</v>
      </c>
      <c r="F3236">
        <v>176417281</v>
      </c>
      <c r="G3236">
        <v>138595770</v>
      </c>
      <c r="P3236">
        <v>110</v>
      </c>
      <c r="Q3236" t="s">
        <v>6811</v>
      </c>
    </row>
    <row r="3237" spans="1:17" x14ac:dyDescent="0.3">
      <c r="A3237" t="s">
        <v>75</v>
      </c>
      <c r="B3237" t="str">
        <f>"300064"</f>
        <v>300064</v>
      </c>
      <c r="C3237" t="s">
        <v>6812</v>
      </c>
      <c r="D3237" t="s">
        <v>3587</v>
      </c>
      <c r="E3237">
        <v>201919650</v>
      </c>
      <c r="F3237">
        <v>105992934</v>
      </c>
      <c r="G3237">
        <v>88342319</v>
      </c>
      <c r="H3237">
        <v>137152991</v>
      </c>
      <c r="I3237">
        <v>260421719</v>
      </c>
      <c r="J3237">
        <v>110248927</v>
      </c>
      <c r="K3237">
        <v>146800989</v>
      </c>
      <c r="L3237">
        <v>102129455</v>
      </c>
      <c r="M3237">
        <v>39474710</v>
      </c>
      <c r="N3237">
        <v>26623893</v>
      </c>
      <c r="O3237">
        <v>107924178</v>
      </c>
      <c r="P3237">
        <v>77</v>
      </c>
      <c r="Q3237" t="s">
        <v>6813</v>
      </c>
    </row>
    <row r="3238" spans="1:17" x14ac:dyDescent="0.3">
      <c r="A3238" t="s">
        <v>17</v>
      </c>
      <c r="B3238" t="str">
        <f>"688556"</f>
        <v>688556</v>
      </c>
      <c r="C3238" t="s">
        <v>6814</v>
      </c>
      <c r="D3238" t="s">
        <v>2212</v>
      </c>
      <c r="E3238">
        <v>201903088</v>
      </c>
      <c r="F3238">
        <v>182720033</v>
      </c>
      <c r="G3238">
        <v>175272443</v>
      </c>
      <c r="H3238">
        <v>48258195</v>
      </c>
      <c r="P3238">
        <v>69</v>
      </c>
      <c r="Q3238" t="s">
        <v>6815</v>
      </c>
    </row>
    <row r="3239" spans="1:17" x14ac:dyDescent="0.3">
      <c r="A3239" t="s">
        <v>75</v>
      </c>
      <c r="B3239" t="str">
        <f>"300114"</f>
        <v>300114</v>
      </c>
      <c r="C3239" t="s">
        <v>6816</v>
      </c>
      <c r="D3239" t="s">
        <v>1572</v>
      </c>
      <c r="E3239">
        <v>201872575</v>
      </c>
      <c r="F3239">
        <v>262244573</v>
      </c>
      <c r="G3239">
        <v>133397309</v>
      </c>
      <c r="H3239">
        <v>237727882</v>
      </c>
      <c r="I3239">
        <v>182250574</v>
      </c>
      <c r="J3239">
        <v>199712371</v>
      </c>
      <c r="K3239">
        <v>190223774</v>
      </c>
      <c r="L3239">
        <v>139016129</v>
      </c>
      <c r="M3239">
        <v>121378664</v>
      </c>
      <c r="N3239">
        <v>104948300</v>
      </c>
      <c r="O3239">
        <v>79431648</v>
      </c>
      <c r="P3239">
        <v>258</v>
      </c>
      <c r="Q3239" t="s">
        <v>6817</v>
      </c>
    </row>
    <row r="3240" spans="1:17" x14ac:dyDescent="0.3">
      <c r="A3240" t="s">
        <v>75</v>
      </c>
      <c r="B3240" t="str">
        <f>"300816"</f>
        <v>300816</v>
      </c>
      <c r="C3240" t="s">
        <v>6818</v>
      </c>
      <c r="D3240" t="s">
        <v>1321</v>
      </c>
      <c r="E3240">
        <v>201285683</v>
      </c>
      <c r="F3240">
        <v>177091619</v>
      </c>
      <c r="G3240">
        <v>77422290</v>
      </c>
      <c r="H3240">
        <v>72963273</v>
      </c>
      <c r="P3240">
        <v>150</v>
      </c>
      <c r="Q3240" t="s">
        <v>6819</v>
      </c>
    </row>
    <row r="3241" spans="1:17" x14ac:dyDescent="0.3">
      <c r="A3241" t="s">
        <v>75</v>
      </c>
      <c r="B3241" t="str">
        <f>"300898"</f>
        <v>300898</v>
      </c>
      <c r="C3241" t="s">
        <v>6820</v>
      </c>
      <c r="D3241" t="s">
        <v>215</v>
      </c>
      <c r="E3241">
        <v>201282528</v>
      </c>
      <c r="F3241">
        <v>232171028</v>
      </c>
      <c r="G3241">
        <v>149672633</v>
      </c>
      <c r="H3241">
        <v>110476240</v>
      </c>
      <c r="I3241">
        <v>142668395</v>
      </c>
      <c r="P3241">
        <v>73</v>
      </c>
      <c r="Q3241" t="s">
        <v>6821</v>
      </c>
    </row>
    <row r="3242" spans="1:17" x14ac:dyDescent="0.3">
      <c r="A3242" t="s">
        <v>75</v>
      </c>
      <c r="B3242" t="str">
        <f>"002358"</f>
        <v>002358</v>
      </c>
      <c r="C3242" t="s">
        <v>6822</v>
      </c>
      <c r="D3242" t="s">
        <v>347</v>
      </c>
      <c r="E3242">
        <v>201194355</v>
      </c>
      <c r="F3242">
        <v>239342818</v>
      </c>
      <c r="G3242">
        <v>179406612</v>
      </c>
      <c r="H3242">
        <v>1081472804</v>
      </c>
      <c r="I3242">
        <v>166840295</v>
      </c>
      <c r="J3242">
        <v>144881273</v>
      </c>
      <c r="K3242">
        <v>97476949</v>
      </c>
      <c r="L3242">
        <v>215614693</v>
      </c>
      <c r="M3242">
        <v>143004755</v>
      </c>
      <c r="N3242">
        <v>193605188</v>
      </c>
      <c r="O3242">
        <v>133422919</v>
      </c>
      <c r="P3242">
        <v>142</v>
      </c>
      <c r="Q3242" t="s">
        <v>6823</v>
      </c>
    </row>
    <row r="3243" spans="1:17" x14ac:dyDescent="0.3">
      <c r="A3243" t="s">
        <v>17</v>
      </c>
      <c r="B3243" t="str">
        <f>"688090"</f>
        <v>688090</v>
      </c>
      <c r="C3243" t="s">
        <v>6824</v>
      </c>
      <c r="D3243" t="s">
        <v>3105</v>
      </c>
      <c r="E3243">
        <v>200967604</v>
      </c>
      <c r="F3243">
        <v>141809682</v>
      </c>
      <c r="G3243">
        <v>164363251</v>
      </c>
      <c r="H3243">
        <v>165978419</v>
      </c>
      <c r="P3243">
        <v>63</v>
      </c>
      <c r="Q3243" t="s">
        <v>6825</v>
      </c>
    </row>
    <row r="3244" spans="1:17" x14ac:dyDescent="0.3">
      <c r="A3244" t="s">
        <v>17</v>
      </c>
      <c r="B3244" t="str">
        <f>"600055"</f>
        <v>600055</v>
      </c>
      <c r="C3244" t="s">
        <v>6826</v>
      </c>
      <c r="D3244" t="s">
        <v>334</v>
      </c>
      <c r="E3244">
        <v>200958849</v>
      </c>
      <c r="F3244">
        <v>246152537</v>
      </c>
      <c r="G3244">
        <v>387083948</v>
      </c>
      <c r="H3244">
        <v>186515136</v>
      </c>
      <c r="I3244">
        <v>163628613</v>
      </c>
      <c r="J3244">
        <v>144678650</v>
      </c>
      <c r="K3244">
        <v>173066162</v>
      </c>
      <c r="L3244">
        <v>125924713</v>
      </c>
      <c r="M3244">
        <v>118818024</v>
      </c>
      <c r="N3244">
        <v>135677739</v>
      </c>
      <c r="O3244">
        <v>101375200</v>
      </c>
      <c r="P3244">
        <v>358</v>
      </c>
      <c r="Q3244" t="s">
        <v>6827</v>
      </c>
    </row>
    <row r="3245" spans="1:17" x14ac:dyDescent="0.3">
      <c r="A3245" t="s">
        <v>75</v>
      </c>
      <c r="B3245" t="str">
        <f>"000813"</f>
        <v>000813</v>
      </c>
      <c r="C3245" t="s">
        <v>6828</v>
      </c>
      <c r="D3245" t="s">
        <v>543</v>
      </c>
      <c r="E3245">
        <v>200768418</v>
      </c>
      <c r="F3245">
        <v>410866106</v>
      </c>
      <c r="G3245">
        <v>679122809</v>
      </c>
      <c r="H3245">
        <v>946946287</v>
      </c>
      <c r="I3245">
        <v>657725610</v>
      </c>
      <c r="J3245">
        <v>223756769</v>
      </c>
      <c r="K3245">
        <v>101043832</v>
      </c>
      <c r="L3245">
        <v>136544484</v>
      </c>
      <c r="M3245">
        <v>113718025</v>
      </c>
      <c r="N3245">
        <v>51734874</v>
      </c>
      <c r="O3245">
        <v>63766743</v>
      </c>
      <c r="P3245">
        <v>281</v>
      </c>
      <c r="Q3245" t="s">
        <v>6829</v>
      </c>
    </row>
    <row r="3246" spans="1:17" x14ac:dyDescent="0.3">
      <c r="A3246" t="s">
        <v>75</v>
      </c>
      <c r="B3246" t="str">
        <f>"002657"</f>
        <v>002657</v>
      </c>
      <c r="C3246" t="s">
        <v>6830</v>
      </c>
      <c r="D3246" t="s">
        <v>224</v>
      </c>
      <c r="E3246">
        <v>200643305</v>
      </c>
      <c r="F3246">
        <v>371503691</v>
      </c>
      <c r="G3246">
        <v>199092536</v>
      </c>
      <c r="H3246">
        <v>261476089</v>
      </c>
      <c r="I3246">
        <v>173771760</v>
      </c>
      <c r="J3246">
        <v>177810087</v>
      </c>
      <c r="K3246">
        <v>221684863</v>
      </c>
      <c r="L3246">
        <v>215367357</v>
      </c>
      <c r="M3246">
        <v>185294695</v>
      </c>
      <c r="N3246">
        <v>112255778</v>
      </c>
      <c r="O3246">
        <v>94204986</v>
      </c>
      <c r="P3246">
        <v>154</v>
      </c>
      <c r="Q3246" t="s">
        <v>6831</v>
      </c>
    </row>
    <row r="3247" spans="1:17" x14ac:dyDescent="0.3">
      <c r="A3247" t="s">
        <v>75</v>
      </c>
      <c r="B3247" t="str">
        <f>"002201"</f>
        <v>002201</v>
      </c>
      <c r="C3247" t="s">
        <v>6832</v>
      </c>
      <c r="D3247" t="s">
        <v>980</v>
      </c>
      <c r="E3247">
        <v>200635515</v>
      </c>
      <c r="F3247">
        <v>203382723</v>
      </c>
      <c r="G3247">
        <v>222444268</v>
      </c>
      <c r="H3247">
        <v>267118482</v>
      </c>
      <c r="I3247">
        <v>262246558</v>
      </c>
      <c r="J3247">
        <v>213425826</v>
      </c>
      <c r="K3247">
        <v>217831304</v>
      </c>
      <c r="L3247">
        <v>209744085</v>
      </c>
      <c r="M3247">
        <v>152462239</v>
      </c>
      <c r="N3247">
        <v>135282700</v>
      </c>
      <c r="O3247">
        <v>146172357</v>
      </c>
      <c r="P3247">
        <v>132</v>
      </c>
      <c r="Q3247" t="s">
        <v>6833</v>
      </c>
    </row>
    <row r="3248" spans="1:17" x14ac:dyDescent="0.3">
      <c r="A3248" t="s">
        <v>75</v>
      </c>
      <c r="B3248" t="str">
        <f>"002638"</f>
        <v>002638</v>
      </c>
      <c r="C3248" t="s">
        <v>6834</v>
      </c>
      <c r="D3248" t="s">
        <v>1739</v>
      </c>
      <c r="E3248">
        <v>200514877</v>
      </c>
      <c r="F3248">
        <v>219499639</v>
      </c>
      <c r="G3248">
        <v>251389686</v>
      </c>
      <c r="H3248">
        <v>339553130</v>
      </c>
      <c r="I3248">
        <v>263464234</v>
      </c>
      <c r="J3248">
        <v>361367933</v>
      </c>
      <c r="K3248">
        <v>284001879</v>
      </c>
      <c r="L3248">
        <v>251843595</v>
      </c>
      <c r="M3248">
        <v>165866572</v>
      </c>
      <c r="N3248">
        <v>177805853</v>
      </c>
      <c r="O3248">
        <v>131816861</v>
      </c>
      <c r="P3248">
        <v>83</v>
      </c>
      <c r="Q3248" t="s">
        <v>6835</v>
      </c>
    </row>
    <row r="3249" spans="1:17" x14ac:dyDescent="0.3">
      <c r="A3249" t="s">
        <v>75</v>
      </c>
      <c r="B3249" t="str">
        <f>"300249"</f>
        <v>300249</v>
      </c>
      <c r="C3249" t="s">
        <v>6836</v>
      </c>
      <c r="D3249" t="s">
        <v>508</v>
      </c>
      <c r="E3249">
        <v>200372982</v>
      </c>
      <c r="F3249">
        <v>350953892</v>
      </c>
      <c r="G3249">
        <v>182426161</v>
      </c>
      <c r="H3249">
        <v>248982678</v>
      </c>
      <c r="I3249">
        <v>297985501</v>
      </c>
      <c r="J3249">
        <v>149409857</v>
      </c>
      <c r="K3249">
        <v>185519686</v>
      </c>
      <c r="L3249">
        <v>125885350</v>
      </c>
      <c r="M3249">
        <v>97460834</v>
      </c>
      <c r="N3249">
        <v>70229129</v>
      </c>
      <c r="O3249">
        <v>26964913</v>
      </c>
      <c r="P3249">
        <v>195</v>
      </c>
      <c r="Q3249" t="s">
        <v>6837</v>
      </c>
    </row>
    <row r="3250" spans="1:17" x14ac:dyDescent="0.3">
      <c r="A3250" t="s">
        <v>17</v>
      </c>
      <c r="B3250" t="str">
        <f>"688339"</f>
        <v>688339</v>
      </c>
      <c r="C3250" t="s">
        <v>6838</v>
      </c>
      <c r="D3250" t="s">
        <v>6839</v>
      </c>
      <c r="E3250">
        <v>200212543</v>
      </c>
      <c r="F3250">
        <v>49759668</v>
      </c>
      <c r="G3250">
        <v>0</v>
      </c>
      <c r="H3250">
        <v>22956388</v>
      </c>
      <c r="P3250">
        <v>153</v>
      </c>
      <c r="Q3250" t="s">
        <v>6840</v>
      </c>
    </row>
    <row r="3251" spans="1:17" x14ac:dyDescent="0.3">
      <c r="A3251" t="s">
        <v>75</v>
      </c>
      <c r="B3251" t="str">
        <f>"300387"</f>
        <v>300387</v>
      </c>
      <c r="C3251" t="s">
        <v>6841</v>
      </c>
      <c r="D3251" t="s">
        <v>1047</v>
      </c>
      <c r="E3251">
        <v>199829783</v>
      </c>
      <c r="F3251">
        <v>188423583</v>
      </c>
      <c r="G3251">
        <v>123091100</v>
      </c>
      <c r="H3251">
        <v>124507573</v>
      </c>
      <c r="I3251">
        <v>176471041</v>
      </c>
      <c r="J3251">
        <v>121529136</v>
      </c>
      <c r="K3251">
        <v>145633912</v>
      </c>
      <c r="L3251">
        <v>80719760</v>
      </c>
      <c r="M3251">
        <v>58554846</v>
      </c>
      <c r="P3251">
        <v>89</v>
      </c>
      <c r="Q3251" t="s">
        <v>6842</v>
      </c>
    </row>
    <row r="3252" spans="1:17" x14ac:dyDescent="0.3">
      <c r="A3252" t="s">
        <v>75</v>
      </c>
      <c r="B3252" t="str">
        <f>"000520"</f>
        <v>000520</v>
      </c>
      <c r="C3252" t="s">
        <v>6843</v>
      </c>
      <c r="D3252" t="s">
        <v>62</v>
      </c>
      <c r="E3252">
        <v>199769817</v>
      </c>
      <c r="F3252">
        <v>191963082</v>
      </c>
      <c r="G3252">
        <v>139565114</v>
      </c>
      <c r="H3252">
        <v>145098520</v>
      </c>
      <c r="I3252">
        <v>181309576</v>
      </c>
      <c r="J3252">
        <v>152640332</v>
      </c>
      <c r="K3252">
        <v>118988543</v>
      </c>
      <c r="L3252">
        <v>111654552</v>
      </c>
      <c r="M3252">
        <v>153934259</v>
      </c>
      <c r="N3252">
        <v>219784052</v>
      </c>
      <c r="O3252">
        <v>320147157</v>
      </c>
      <c r="P3252">
        <v>110</v>
      </c>
      <c r="Q3252" t="s">
        <v>6844</v>
      </c>
    </row>
    <row r="3253" spans="1:17" x14ac:dyDescent="0.3">
      <c r="A3253" t="s">
        <v>75</v>
      </c>
      <c r="B3253" t="str">
        <f>"300510"</f>
        <v>300510</v>
      </c>
      <c r="C3253" t="s">
        <v>6845</v>
      </c>
      <c r="D3253" t="s">
        <v>682</v>
      </c>
      <c r="E3253">
        <v>199530193</v>
      </c>
      <c r="F3253">
        <v>153408242</v>
      </c>
      <c r="G3253">
        <v>104781653</v>
      </c>
      <c r="H3253">
        <v>181595873</v>
      </c>
      <c r="I3253">
        <v>211852221</v>
      </c>
      <c r="J3253">
        <v>46704168</v>
      </c>
      <c r="K3253">
        <v>56769522</v>
      </c>
      <c r="L3253">
        <v>41227794</v>
      </c>
      <c r="P3253">
        <v>115</v>
      </c>
      <c r="Q3253" t="s">
        <v>6846</v>
      </c>
    </row>
    <row r="3254" spans="1:17" x14ac:dyDescent="0.3">
      <c r="A3254" t="s">
        <v>17</v>
      </c>
      <c r="B3254" t="str">
        <f>"605060"</f>
        <v>605060</v>
      </c>
      <c r="C3254" t="s">
        <v>6847</v>
      </c>
      <c r="D3254" t="s">
        <v>1424</v>
      </c>
      <c r="E3254">
        <v>199504178</v>
      </c>
      <c r="F3254">
        <v>147361121</v>
      </c>
      <c r="G3254">
        <v>122742457</v>
      </c>
      <c r="P3254">
        <v>43</v>
      </c>
      <c r="Q3254" t="s">
        <v>6848</v>
      </c>
    </row>
    <row r="3255" spans="1:17" x14ac:dyDescent="0.3">
      <c r="A3255" t="s">
        <v>75</v>
      </c>
      <c r="B3255" t="str">
        <f>"300489"</f>
        <v>300489</v>
      </c>
      <c r="C3255" t="s">
        <v>6849</v>
      </c>
      <c r="D3255" t="s">
        <v>96</v>
      </c>
      <c r="E3255">
        <v>199463163</v>
      </c>
      <c r="F3255">
        <v>119841895</v>
      </c>
      <c r="G3255">
        <v>26694373</v>
      </c>
      <c r="H3255">
        <v>28389306</v>
      </c>
      <c r="I3255">
        <v>10535956</v>
      </c>
      <c r="J3255">
        <v>19188543</v>
      </c>
      <c r="K3255">
        <v>7517320</v>
      </c>
      <c r="L3255">
        <v>18335594</v>
      </c>
      <c r="M3255">
        <v>7515889</v>
      </c>
      <c r="P3255">
        <v>71</v>
      </c>
      <c r="Q3255" t="s">
        <v>6850</v>
      </c>
    </row>
    <row r="3256" spans="1:17" x14ac:dyDescent="0.3">
      <c r="A3256" t="s">
        <v>75</v>
      </c>
      <c r="B3256" t="str">
        <f>"300580"</f>
        <v>300580</v>
      </c>
      <c r="C3256" t="s">
        <v>6851</v>
      </c>
      <c r="D3256" t="s">
        <v>172</v>
      </c>
      <c r="E3256">
        <v>199132467</v>
      </c>
      <c r="F3256">
        <v>164922139</v>
      </c>
      <c r="G3256">
        <v>145866781</v>
      </c>
      <c r="H3256">
        <v>164582183</v>
      </c>
      <c r="I3256">
        <v>110618329</v>
      </c>
      <c r="J3256">
        <v>117967372</v>
      </c>
      <c r="K3256">
        <v>123545050</v>
      </c>
      <c r="P3256">
        <v>148</v>
      </c>
      <c r="Q3256" t="s">
        <v>6852</v>
      </c>
    </row>
    <row r="3257" spans="1:17" x14ac:dyDescent="0.3">
      <c r="A3257" t="s">
        <v>75</v>
      </c>
      <c r="B3257" t="str">
        <f>"002935"</f>
        <v>002935</v>
      </c>
      <c r="C3257" t="s">
        <v>6853</v>
      </c>
      <c r="D3257" t="s">
        <v>1572</v>
      </c>
      <c r="E3257">
        <v>198924078</v>
      </c>
      <c r="F3257">
        <v>60790877</v>
      </c>
      <c r="G3257">
        <v>61999286</v>
      </c>
      <c r="H3257">
        <v>57360762</v>
      </c>
      <c r="I3257">
        <v>72115832</v>
      </c>
      <c r="P3257">
        <v>203</v>
      </c>
      <c r="Q3257" t="s">
        <v>6854</v>
      </c>
    </row>
    <row r="3258" spans="1:17" x14ac:dyDescent="0.3">
      <c r="A3258" t="s">
        <v>75</v>
      </c>
      <c r="B3258" t="str">
        <f>"300259"</f>
        <v>300259</v>
      </c>
      <c r="C3258" t="s">
        <v>6855</v>
      </c>
      <c r="D3258" t="s">
        <v>2549</v>
      </c>
      <c r="E3258">
        <v>198770815</v>
      </c>
      <c r="F3258">
        <v>191665874</v>
      </c>
      <c r="G3258">
        <v>158771489</v>
      </c>
      <c r="H3258">
        <v>169673842</v>
      </c>
      <c r="I3258">
        <v>126464778</v>
      </c>
      <c r="J3258">
        <v>118196928</v>
      </c>
      <c r="K3258">
        <v>79962658</v>
      </c>
      <c r="L3258">
        <v>53046973</v>
      </c>
      <c r="M3258">
        <v>54968725</v>
      </c>
      <c r="N3258">
        <v>47890929</v>
      </c>
      <c r="O3258">
        <v>31392829</v>
      </c>
      <c r="P3258">
        <v>360</v>
      </c>
      <c r="Q3258" t="s">
        <v>6856</v>
      </c>
    </row>
    <row r="3259" spans="1:17" x14ac:dyDescent="0.3">
      <c r="A3259" t="s">
        <v>75</v>
      </c>
      <c r="B3259" t="str">
        <f>"002393"</f>
        <v>002393</v>
      </c>
      <c r="C3259" t="s">
        <v>6857</v>
      </c>
      <c r="D3259" t="s">
        <v>543</v>
      </c>
      <c r="E3259">
        <v>198672099</v>
      </c>
      <c r="F3259">
        <v>237903750</v>
      </c>
      <c r="G3259">
        <v>313807350</v>
      </c>
      <c r="H3259">
        <v>364669409</v>
      </c>
      <c r="I3259">
        <v>279733384</v>
      </c>
      <c r="J3259">
        <v>183468834</v>
      </c>
      <c r="K3259">
        <v>176938887</v>
      </c>
      <c r="L3259">
        <v>204942564</v>
      </c>
      <c r="M3259">
        <v>185907040</v>
      </c>
      <c r="N3259">
        <v>238081744</v>
      </c>
      <c r="O3259">
        <v>151521615</v>
      </c>
      <c r="P3259">
        <v>153</v>
      </c>
      <c r="Q3259" t="s">
        <v>6858</v>
      </c>
    </row>
    <row r="3260" spans="1:17" x14ac:dyDescent="0.3">
      <c r="A3260" t="s">
        <v>75</v>
      </c>
      <c r="B3260" t="str">
        <f>"002374"</f>
        <v>002374</v>
      </c>
      <c r="C3260" t="s">
        <v>6859</v>
      </c>
      <c r="D3260" t="s">
        <v>1347</v>
      </c>
      <c r="E3260">
        <v>198626986</v>
      </c>
      <c r="F3260">
        <v>638184683</v>
      </c>
      <c r="G3260">
        <v>181536562</v>
      </c>
      <c r="H3260">
        <v>246742288</v>
      </c>
      <c r="I3260">
        <v>216898202</v>
      </c>
      <c r="J3260">
        <v>269215984</v>
      </c>
      <c r="K3260">
        <v>318145074</v>
      </c>
      <c r="L3260">
        <v>265852320</v>
      </c>
      <c r="M3260">
        <v>137960189</v>
      </c>
      <c r="N3260">
        <v>130181690</v>
      </c>
      <c r="O3260">
        <v>122971880</v>
      </c>
      <c r="P3260">
        <v>92</v>
      </c>
      <c r="Q3260" t="s">
        <v>6860</v>
      </c>
    </row>
    <row r="3261" spans="1:17" x14ac:dyDescent="0.3">
      <c r="A3261" t="s">
        <v>17</v>
      </c>
      <c r="B3261" t="str">
        <f>"600862"</f>
        <v>600862</v>
      </c>
      <c r="C3261" t="s">
        <v>6861</v>
      </c>
      <c r="D3261" t="s">
        <v>1551</v>
      </c>
      <c r="E3261">
        <v>198551219</v>
      </c>
      <c r="F3261">
        <v>151085650</v>
      </c>
      <c r="G3261">
        <v>203401372</v>
      </c>
      <c r="H3261">
        <v>563696418</v>
      </c>
      <c r="I3261">
        <v>514748519</v>
      </c>
      <c r="J3261">
        <v>842954752</v>
      </c>
      <c r="K3261">
        <v>909535718</v>
      </c>
      <c r="L3261">
        <v>276426654</v>
      </c>
      <c r="M3261">
        <v>150444488</v>
      </c>
      <c r="N3261">
        <v>361664464</v>
      </c>
      <c r="O3261">
        <v>151688765</v>
      </c>
      <c r="P3261">
        <v>457</v>
      </c>
      <c r="Q3261" t="s">
        <v>6862</v>
      </c>
    </row>
    <row r="3262" spans="1:17" x14ac:dyDescent="0.3">
      <c r="A3262" t="s">
        <v>75</v>
      </c>
      <c r="B3262" t="str">
        <f>"300396"</f>
        <v>300396</v>
      </c>
      <c r="C3262" t="s">
        <v>6863</v>
      </c>
      <c r="D3262" t="s">
        <v>967</v>
      </c>
      <c r="E3262">
        <v>198453196</v>
      </c>
      <c r="F3262">
        <v>194271402</v>
      </c>
      <c r="G3262">
        <v>229858285</v>
      </c>
      <c r="H3262">
        <v>273307188</v>
      </c>
      <c r="I3262">
        <v>253362856</v>
      </c>
      <c r="J3262">
        <v>214036284</v>
      </c>
      <c r="K3262">
        <v>191733107</v>
      </c>
      <c r="L3262">
        <v>119212979</v>
      </c>
      <c r="M3262">
        <v>108189184</v>
      </c>
      <c r="P3262">
        <v>360</v>
      </c>
      <c r="Q3262" t="s">
        <v>6864</v>
      </c>
    </row>
    <row r="3263" spans="1:17" x14ac:dyDescent="0.3">
      <c r="A3263" t="s">
        <v>75</v>
      </c>
      <c r="B3263" t="str">
        <f>"300590"</f>
        <v>300590</v>
      </c>
      <c r="C3263" t="s">
        <v>6865</v>
      </c>
      <c r="D3263" t="s">
        <v>556</v>
      </c>
      <c r="E3263">
        <v>198416161</v>
      </c>
      <c r="F3263">
        <v>165244318</v>
      </c>
      <c r="G3263">
        <v>154089560</v>
      </c>
      <c r="H3263">
        <v>138223361</v>
      </c>
      <c r="I3263">
        <v>88844586</v>
      </c>
      <c r="J3263">
        <v>63990010</v>
      </c>
      <c r="K3263">
        <v>68681963</v>
      </c>
      <c r="P3263">
        <v>410</v>
      </c>
      <c r="Q3263" t="s">
        <v>6866</v>
      </c>
    </row>
    <row r="3264" spans="1:17" x14ac:dyDescent="0.3">
      <c r="A3264" t="s">
        <v>17</v>
      </c>
      <c r="B3264" t="str">
        <f>"688668"</f>
        <v>688668</v>
      </c>
      <c r="C3264" t="s">
        <v>6867</v>
      </c>
      <c r="D3264" t="s">
        <v>169</v>
      </c>
      <c r="E3264">
        <v>198302315</v>
      </c>
      <c r="F3264">
        <v>77228444</v>
      </c>
      <c r="G3264">
        <v>38328133</v>
      </c>
      <c r="P3264">
        <v>44</v>
      </c>
      <c r="Q3264" t="s">
        <v>6868</v>
      </c>
    </row>
    <row r="3265" spans="1:17" x14ac:dyDescent="0.3">
      <c r="A3265" t="s">
        <v>75</v>
      </c>
      <c r="B3265" t="str">
        <f>"300871"</f>
        <v>300871</v>
      </c>
      <c r="C3265" t="s">
        <v>6869</v>
      </c>
      <c r="D3265" t="s">
        <v>3609</v>
      </c>
      <c r="E3265">
        <v>198051564</v>
      </c>
      <c r="F3265">
        <v>293196682</v>
      </c>
      <c r="P3265">
        <v>83</v>
      </c>
      <c r="Q3265" t="s">
        <v>6870</v>
      </c>
    </row>
    <row r="3266" spans="1:17" x14ac:dyDescent="0.3">
      <c r="A3266" t="s">
        <v>75</v>
      </c>
      <c r="B3266" t="str">
        <f>"300395"</f>
        <v>300395</v>
      </c>
      <c r="C3266" t="s">
        <v>6871</v>
      </c>
      <c r="D3266" t="s">
        <v>1551</v>
      </c>
      <c r="E3266">
        <v>197849155</v>
      </c>
      <c r="F3266">
        <v>178474812</v>
      </c>
      <c r="G3266">
        <v>118537061</v>
      </c>
      <c r="H3266">
        <v>191234759</v>
      </c>
      <c r="I3266">
        <v>123004643</v>
      </c>
      <c r="J3266">
        <v>85857020</v>
      </c>
      <c r="K3266">
        <v>61540441</v>
      </c>
      <c r="L3266">
        <v>52265454</v>
      </c>
      <c r="M3266">
        <v>32959286</v>
      </c>
      <c r="P3266">
        <v>553</v>
      </c>
      <c r="Q3266" t="s">
        <v>6872</v>
      </c>
    </row>
    <row r="3267" spans="1:17" x14ac:dyDescent="0.3">
      <c r="A3267" t="s">
        <v>17</v>
      </c>
      <c r="B3267" t="str">
        <f>"688280"</f>
        <v>688280</v>
      </c>
      <c r="C3267" t="s">
        <v>6873</v>
      </c>
      <c r="D3267" t="s">
        <v>172</v>
      </c>
      <c r="E3267">
        <v>197686186</v>
      </c>
      <c r="F3267">
        <v>151816408</v>
      </c>
      <c r="P3267">
        <v>22</v>
      </c>
      <c r="Q3267" t="s">
        <v>6874</v>
      </c>
    </row>
    <row r="3268" spans="1:17" x14ac:dyDescent="0.3">
      <c r="A3268" t="s">
        <v>75</v>
      </c>
      <c r="B3268" t="str">
        <f>"000955"</f>
        <v>000955</v>
      </c>
      <c r="C3268" t="s">
        <v>6875</v>
      </c>
      <c r="D3268" t="s">
        <v>2832</v>
      </c>
      <c r="E3268">
        <v>197335606</v>
      </c>
      <c r="F3268">
        <v>241807877</v>
      </c>
      <c r="G3268">
        <v>340144780</v>
      </c>
      <c r="H3268">
        <v>170477416</v>
      </c>
      <c r="I3268">
        <v>154825574</v>
      </c>
      <c r="J3268">
        <v>129128494</v>
      </c>
      <c r="K3268">
        <v>86842230</v>
      </c>
      <c r="L3268">
        <v>46098775</v>
      </c>
      <c r="M3268">
        <v>60724062</v>
      </c>
      <c r="N3268">
        <v>54569882</v>
      </c>
      <c r="O3268">
        <v>51671741</v>
      </c>
      <c r="P3268">
        <v>241</v>
      </c>
      <c r="Q3268" t="s">
        <v>6876</v>
      </c>
    </row>
    <row r="3269" spans="1:17" x14ac:dyDescent="0.3">
      <c r="A3269" t="s">
        <v>75</v>
      </c>
      <c r="B3269" t="str">
        <f>"200020"</f>
        <v>200020</v>
      </c>
      <c r="C3269" t="s">
        <v>6877</v>
      </c>
      <c r="E3269">
        <v>197025474.72</v>
      </c>
      <c r="F3269">
        <v>140775028.3955</v>
      </c>
      <c r="G3269">
        <v>94628232.836999997</v>
      </c>
      <c r="H3269">
        <v>153614647.40040001</v>
      </c>
      <c r="I3269">
        <v>162028660.55000001</v>
      </c>
      <c r="J3269">
        <v>132315747.28</v>
      </c>
      <c r="K3269">
        <v>57377054.0097</v>
      </c>
      <c r="L3269">
        <v>92300887.5</v>
      </c>
      <c r="M3269">
        <v>120894232.05599999</v>
      </c>
      <c r="N3269">
        <v>122992459.3074</v>
      </c>
      <c r="O3269">
        <v>224166601.95300001</v>
      </c>
      <c r="P3269">
        <v>6</v>
      </c>
      <c r="Q3269" t="s">
        <v>6878</v>
      </c>
    </row>
    <row r="3270" spans="1:17" x14ac:dyDescent="0.3">
      <c r="A3270" t="s">
        <v>75</v>
      </c>
      <c r="B3270" t="str">
        <f>"002549"</f>
        <v>002549</v>
      </c>
      <c r="C3270" t="s">
        <v>6879</v>
      </c>
      <c r="D3270" t="s">
        <v>292</v>
      </c>
      <c r="E3270">
        <v>196872314</v>
      </c>
      <c r="F3270">
        <v>140829408</v>
      </c>
      <c r="G3270">
        <v>94993760</v>
      </c>
      <c r="H3270">
        <v>108815415</v>
      </c>
      <c r="I3270">
        <v>123334881</v>
      </c>
      <c r="J3270">
        <v>89861579</v>
      </c>
      <c r="K3270">
        <v>45436267</v>
      </c>
      <c r="L3270">
        <v>57046530</v>
      </c>
      <c r="M3270">
        <v>42489526</v>
      </c>
      <c r="N3270">
        <v>29227839</v>
      </c>
      <c r="O3270">
        <v>27647067</v>
      </c>
      <c r="P3270">
        <v>172</v>
      </c>
      <c r="Q3270" t="s">
        <v>6880</v>
      </c>
    </row>
    <row r="3271" spans="1:17" x14ac:dyDescent="0.3">
      <c r="A3271" t="s">
        <v>75</v>
      </c>
      <c r="B3271" t="str">
        <f>"002222"</f>
        <v>002222</v>
      </c>
      <c r="C3271" t="s">
        <v>6881</v>
      </c>
      <c r="D3271" t="s">
        <v>975</v>
      </c>
      <c r="E3271">
        <v>196480136</v>
      </c>
      <c r="F3271">
        <v>139647312</v>
      </c>
      <c r="G3271">
        <v>111528778</v>
      </c>
      <c r="H3271">
        <v>112549582</v>
      </c>
      <c r="I3271">
        <v>119564846</v>
      </c>
      <c r="J3271">
        <v>90477832</v>
      </c>
      <c r="K3271">
        <v>60918364</v>
      </c>
      <c r="L3271">
        <v>50368697</v>
      </c>
      <c r="M3271">
        <v>40485224</v>
      </c>
      <c r="N3271">
        <v>45271130</v>
      </c>
      <c r="O3271">
        <v>38596874</v>
      </c>
      <c r="P3271">
        <v>517</v>
      </c>
      <c r="Q3271" t="s">
        <v>6882</v>
      </c>
    </row>
    <row r="3272" spans="1:17" x14ac:dyDescent="0.3">
      <c r="A3272" t="s">
        <v>75</v>
      </c>
      <c r="B3272" t="str">
        <f>"300685"</f>
        <v>300685</v>
      </c>
      <c r="C3272" t="s">
        <v>6883</v>
      </c>
      <c r="D3272" t="s">
        <v>967</v>
      </c>
      <c r="E3272">
        <v>196299201</v>
      </c>
      <c r="F3272">
        <v>185779238</v>
      </c>
      <c r="G3272">
        <v>120089242</v>
      </c>
      <c r="H3272">
        <v>113119279</v>
      </c>
      <c r="I3272">
        <v>85310716</v>
      </c>
      <c r="J3272">
        <v>59754615</v>
      </c>
      <c r="P3272">
        <v>974</v>
      </c>
      <c r="Q3272" t="s">
        <v>6884</v>
      </c>
    </row>
    <row r="3273" spans="1:17" x14ac:dyDescent="0.3">
      <c r="A3273" t="s">
        <v>75</v>
      </c>
      <c r="B3273" t="str">
        <f>"300942"</f>
        <v>300942</v>
      </c>
      <c r="C3273" t="s">
        <v>6885</v>
      </c>
      <c r="D3273" t="s">
        <v>967</v>
      </c>
      <c r="E3273">
        <v>196263227</v>
      </c>
      <c r="F3273">
        <v>168141233</v>
      </c>
      <c r="G3273">
        <v>68922746</v>
      </c>
      <c r="H3273">
        <v>37675946</v>
      </c>
      <c r="P3273">
        <v>98</v>
      </c>
      <c r="Q3273" t="s">
        <v>6886</v>
      </c>
    </row>
    <row r="3274" spans="1:17" x14ac:dyDescent="0.3">
      <c r="A3274" t="s">
        <v>75</v>
      </c>
      <c r="B3274" t="str">
        <f>"301027"</f>
        <v>301027</v>
      </c>
      <c r="C3274" t="s">
        <v>6887</v>
      </c>
      <c r="D3274" t="s">
        <v>2118</v>
      </c>
      <c r="E3274">
        <v>195790674</v>
      </c>
      <c r="F3274">
        <v>249356818</v>
      </c>
      <c r="G3274">
        <v>178851016</v>
      </c>
      <c r="P3274">
        <v>25</v>
      </c>
      <c r="Q3274" t="s">
        <v>6888</v>
      </c>
    </row>
    <row r="3275" spans="1:17" x14ac:dyDescent="0.3">
      <c r="A3275" t="s">
        <v>17</v>
      </c>
      <c r="B3275" t="str">
        <f>"688003"</f>
        <v>688003</v>
      </c>
      <c r="C3275" t="s">
        <v>6889</v>
      </c>
      <c r="D3275" t="s">
        <v>2910</v>
      </c>
      <c r="E3275">
        <v>195788458</v>
      </c>
      <c r="F3275">
        <v>252192567</v>
      </c>
      <c r="G3275">
        <v>103765825</v>
      </c>
      <c r="H3275">
        <v>0</v>
      </c>
      <c r="I3275">
        <v>0</v>
      </c>
      <c r="P3275">
        <v>141</v>
      </c>
      <c r="Q3275" t="s">
        <v>6890</v>
      </c>
    </row>
    <row r="3276" spans="1:17" x14ac:dyDescent="0.3">
      <c r="A3276" t="s">
        <v>75</v>
      </c>
      <c r="B3276" t="str">
        <f>"002059"</f>
        <v>002059</v>
      </c>
      <c r="C3276" t="s">
        <v>6891</v>
      </c>
      <c r="D3276" t="s">
        <v>2078</v>
      </c>
      <c r="E3276">
        <v>195498522</v>
      </c>
      <c r="F3276">
        <v>256106104</v>
      </c>
      <c r="G3276">
        <v>397881183</v>
      </c>
      <c r="H3276">
        <v>460904103</v>
      </c>
      <c r="I3276">
        <v>403975930</v>
      </c>
      <c r="J3276">
        <v>380967493</v>
      </c>
      <c r="K3276">
        <v>217013452</v>
      </c>
      <c r="L3276">
        <v>311472965</v>
      </c>
      <c r="M3276">
        <v>139220826</v>
      </c>
      <c r="N3276">
        <v>68998363</v>
      </c>
      <c r="O3276">
        <v>134056513</v>
      </c>
      <c r="P3276">
        <v>160</v>
      </c>
      <c r="Q3276" t="s">
        <v>6892</v>
      </c>
    </row>
    <row r="3277" spans="1:17" x14ac:dyDescent="0.3">
      <c r="A3277" t="s">
        <v>75</v>
      </c>
      <c r="B3277" t="str">
        <f>"300097"</f>
        <v>300097</v>
      </c>
      <c r="C3277" t="s">
        <v>6893</v>
      </c>
      <c r="D3277" t="s">
        <v>2910</v>
      </c>
      <c r="E3277">
        <v>195326232</v>
      </c>
      <c r="F3277">
        <v>219498825</v>
      </c>
      <c r="G3277">
        <v>229230493</v>
      </c>
      <c r="H3277">
        <v>189755730</v>
      </c>
      <c r="I3277">
        <v>270015154</v>
      </c>
      <c r="J3277">
        <v>224918407</v>
      </c>
      <c r="K3277">
        <v>167803528</v>
      </c>
      <c r="L3277">
        <v>43930344</v>
      </c>
      <c r="M3277">
        <v>32402592</v>
      </c>
      <c r="N3277">
        <v>39323012</v>
      </c>
      <c r="O3277">
        <v>54782841</v>
      </c>
      <c r="P3277">
        <v>203</v>
      </c>
      <c r="Q3277" t="s">
        <v>6894</v>
      </c>
    </row>
    <row r="3278" spans="1:17" x14ac:dyDescent="0.3">
      <c r="A3278" t="s">
        <v>75</v>
      </c>
      <c r="B3278" t="str">
        <f>"300817"</f>
        <v>300817</v>
      </c>
      <c r="C3278" t="s">
        <v>6895</v>
      </c>
      <c r="D3278" t="s">
        <v>153</v>
      </c>
      <c r="E3278">
        <v>195115764</v>
      </c>
      <c r="F3278">
        <v>164079395</v>
      </c>
      <c r="G3278">
        <v>73651136</v>
      </c>
      <c r="H3278">
        <v>82481130</v>
      </c>
      <c r="P3278">
        <v>63</v>
      </c>
      <c r="Q3278" t="s">
        <v>6896</v>
      </c>
    </row>
    <row r="3279" spans="1:17" x14ac:dyDescent="0.3">
      <c r="A3279" t="s">
        <v>75</v>
      </c>
      <c r="B3279" t="str">
        <f>"300199"</f>
        <v>300199</v>
      </c>
      <c r="C3279" t="s">
        <v>6897</v>
      </c>
      <c r="D3279" t="s">
        <v>543</v>
      </c>
      <c r="E3279">
        <v>195065288</v>
      </c>
      <c r="F3279">
        <v>201372687</v>
      </c>
      <c r="G3279">
        <v>182262715</v>
      </c>
      <c r="H3279">
        <v>220537808</v>
      </c>
      <c r="I3279">
        <v>284733564</v>
      </c>
      <c r="J3279">
        <v>151526607</v>
      </c>
      <c r="K3279">
        <v>92067055</v>
      </c>
      <c r="L3279">
        <v>134875605</v>
      </c>
      <c r="M3279">
        <v>66996515</v>
      </c>
      <c r="N3279">
        <v>40267330</v>
      </c>
      <c r="O3279">
        <v>32851486</v>
      </c>
      <c r="P3279">
        <v>242</v>
      </c>
      <c r="Q3279" t="s">
        <v>6898</v>
      </c>
    </row>
    <row r="3280" spans="1:17" x14ac:dyDescent="0.3">
      <c r="A3280" t="s">
        <v>75</v>
      </c>
      <c r="B3280" t="str">
        <f>"300112"</f>
        <v>300112</v>
      </c>
      <c r="C3280" t="s">
        <v>6899</v>
      </c>
      <c r="D3280" t="s">
        <v>2549</v>
      </c>
      <c r="E3280">
        <v>194945062</v>
      </c>
      <c r="F3280">
        <v>154877625</v>
      </c>
      <c r="G3280">
        <v>112173600</v>
      </c>
      <c r="H3280">
        <v>142380575</v>
      </c>
      <c r="I3280">
        <v>117612300</v>
      </c>
      <c r="J3280">
        <v>120655469</v>
      </c>
      <c r="K3280">
        <v>97180068</v>
      </c>
      <c r="L3280">
        <v>61374562</v>
      </c>
      <c r="M3280">
        <v>75879972</v>
      </c>
      <c r="N3280">
        <v>64932351</v>
      </c>
      <c r="O3280">
        <v>46224296</v>
      </c>
      <c r="P3280">
        <v>123</v>
      </c>
      <c r="Q3280" t="s">
        <v>6900</v>
      </c>
    </row>
    <row r="3281" spans="1:17" x14ac:dyDescent="0.3">
      <c r="A3281" t="s">
        <v>17</v>
      </c>
      <c r="B3281" t="str">
        <f>"603519"</f>
        <v>603519</v>
      </c>
      <c r="C3281" t="s">
        <v>6901</v>
      </c>
      <c r="D3281" t="s">
        <v>1063</v>
      </c>
      <c r="E3281">
        <v>194944312</v>
      </c>
      <c r="F3281">
        <v>217984234</v>
      </c>
      <c r="G3281">
        <v>158332514</v>
      </c>
      <c r="H3281">
        <v>152018550</v>
      </c>
      <c r="I3281">
        <v>141143018</v>
      </c>
      <c r="J3281">
        <v>134277593</v>
      </c>
      <c r="K3281">
        <v>89525985</v>
      </c>
      <c r="L3281">
        <v>95142442</v>
      </c>
      <c r="M3281">
        <v>89320440</v>
      </c>
      <c r="P3281">
        <v>148</v>
      </c>
      <c r="Q3281" t="s">
        <v>6902</v>
      </c>
    </row>
    <row r="3282" spans="1:17" x14ac:dyDescent="0.3">
      <c r="A3282" t="s">
        <v>75</v>
      </c>
      <c r="B3282" t="str">
        <f>"300883"</f>
        <v>300883</v>
      </c>
      <c r="C3282" t="s">
        <v>6903</v>
      </c>
      <c r="D3282" t="s">
        <v>1176</v>
      </c>
      <c r="E3282">
        <v>194408368</v>
      </c>
      <c r="F3282">
        <v>175820850</v>
      </c>
      <c r="G3282">
        <v>157793931</v>
      </c>
      <c r="P3282">
        <v>37</v>
      </c>
      <c r="Q3282" t="s">
        <v>6904</v>
      </c>
    </row>
    <row r="3283" spans="1:17" x14ac:dyDescent="0.3">
      <c r="A3283" t="s">
        <v>75</v>
      </c>
      <c r="B3283" t="str">
        <f>"002016"</f>
        <v>002016</v>
      </c>
      <c r="C3283" t="s">
        <v>6905</v>
      </c>
      <c r="D3283" t="s">
        <v>65</v>
      </c>
      <c r="E3283">
        <v>194362667</v>
      </c>
      <c r="F3283">
        <v>389579844</v>
      </c>
      <c r="G3283">
        <v>832637846</v>
      </c>
      <c r="H3283">
        <v>778067432</v>
      </c>
      <c r="I3283">
        <v>372912460</v>
      </c>
      <c r="J3283">
        <v>297832686</v>
      </c>
      <c r="K3283">
        <v>464547596</v>
      </c>
      <c r="L3283">
        <v>256390228</v>
      </c>
      <c r="M3283">
        <v>271884196</v>
      </c>
      <c r="N3283">
        <v>314268159</v>
      </c>
      <c r="O3283">
        <v>57771413</v>
      </c>
      <c r="P3283">
        <v>457</v>
      </c>
      <c r="Q3283" t="s">
        <v>6906</v>
      </c>
    </row>
    <row r="3284" spans="1:17" x14ac:dyDescent="0.3">
      <c r="A3284" t="s">
        <v>17</v>
      </c>
      <c r="B3284" t="str">
        <f>"605580"</f>
        <v>605580</v>
      </c>
      <c r="C3284" t="s">
        <v>6907</v>
      </c>
      <c r="D3284" t="s">
        <v>446</v>
      </c>
      <c r="E3284">
        <v>194116588</v>
      </c>
      <c r="F3284">
        <v>124047049</v>
      </c>
      <c r="G3284">
        <v>75339547</v>
      </c>
      <c r="P3284">
        <v>30</v>
      </c>
      <c r="Q3284" t="s">
        <v>6908</v>
      </c>
    </row>
    <row r="3285" spans="1:17" x14ac:dyDescent="0.3">
      <c r="A3285" t="s">
        <v>17</v>
      </c>
      <c r="B3285" t="str">
        <f>"603319"</f>
        <v>603319</v>
      </c>
      <c r="C3285" t="s">
        <v>6909</v>
      </c>
      <c r="D3285" t="s">
        <v>172</v>
      </c>
      <c r="E3285">
        <v>193850822</v>
      </c>
      <c r="F3285">
        <v>277745477</v>
      </c>
      <c r="G3285">
        <v>189999143</v>
      </c>
      <c r="H3285">
        <v>168101218</v>
      </c>
      <c r="I3285">
        <v>122192990</v>
      </c>
      <c r="J3285">
        <v>101523848</v>
      </c>
      <c r="K3285">
        <v>95712158</v>
      </c>
      <c r="P3285">
        <v>171</v>
      </c>
      <c r="Q3285" t="s">
        <v>6910</v>
      </c>
    </row>
    <row r="3286" spans="1:17" x14ac:dyDescent="0.3">
      <c r="A3286" t="s">
        <v>17</v>
      </c>
      <c r="B3286" t="str">
        <f>"603869"</f>
        <v>603869</v>
      </c>
      <c r="C3286" t="s">
        <v>6911</v>
      </c>
      <c r="D3286" t="s">
        <v>224</v>
      </c>
      <c r="E3286">
        <v>193776096</v>
      </c>
      <c r="F3286">
        <v>114018084</v>
      </c>
      <c r="G3286">
        <v>162822306</v>
      </c>
      <c r="H3286">
        <v>732900386</v>
      </c>
      <c r="I3286">
        <v>592561079</v>
      </c>
      <c r="J3286">
        <v>269336687</v>
      </c>
      <c r="K3286">
        <v>68800710</v>
      </c>
      <c r="L3286">
        <v>70866039</v>
      </c>
      <c r="M3286">
        <v>52816390</v>
      </c>
      <c r="P3286">
        <v>143</v>
      </c>
      <c r="Q3286" t="s">
        <v>6912</v>
      </c>
    </row>
    <row r="3287" spans="1:17" x14ac:dyDescent="0.3">
      <c r="A3287" t="s">
        <v>17</v>
      </c>
      <c r="B3287" t="str">
        <f>"688057"</f>
        <v>688057</v>
      </c>
      <c r="C3287" t="s">
        <v>6913</v>
      </c>
      <c r="D3287" t="s">
        <v>1107</v>
      </c>
      <c r="E3287">
        <v>193547874</v>
      </c>
      <c r="F3287">
        <v>142886080</v>
      </c>
      <c r="H3287">
        <v>148539155</v>
      </c>
      <c r="I3287">
        <v>189546016</v>
      </c>
      <c r="P3287">
        <v>116</v>
      </c>
      <c r="Q3287" t="s">
        <v>6914</v>
      </c>
    </row>
    <row r="3288" spans="1:17" x14ac:dyDescent="0.3">
      <c r="A3288" t="s">
        <v>75</v>
      </c>
      <c r="B3288" t="str">
        <f>"300200"</f>
        <v>300200</v>
      </c>
      <c r="C3288" t="s">
        <v>6915</v>
      </c>
      <c r="D3288" t="s">
        <v>134</v>
      </c>
      <c r="E3288">
        <v>193516501</v>
      </c>
      <c r="F3288">
        <v>227144328</v>
      </c>
      <c r="G3288">
        <v>140848729</v>
      </c>
      <c r="H3288">
        <v>198636324</v>
      </c>
      <c r="I3288">
        <v>151240951</v>
      </c>
      <c r="J3288">
        <v>57276056</v>
      </c>
      <c r="K3288">
        <v>149267045</v>
      </c>
      <c r="L3288">
        <v>127623371</v>
      </c>
      <c r="M3288">
        <v>129861206</v>
      </c>
      <c r="N3288">
        <v>120113927</v>
      </c>
      <c r="O3288">
        <v>88974826</v>
      </c>
      <c r="P3288">
        <v>160</v>
      </c>
      <c r="Q3288" t="s">
        <v>6916</v>
      </c>
    </row>
    <row r="3289" spans="1:17" x14ac:dyDescent="0.3">
      <c r="A3289" t="s">
        <v>75</v>
      </c>
      <c r="B3289" t="str">
        <f>"301002"</f>
        <v>301002</v>
      </c>
      <c r="C3289" t="s">
        <v>6917</v>
      </c>
      <c r="D3289" t="s">
        <v>347</v>
      </c>
      <c r="E3289">
        <v>193364036</v>
      </c>
      <c r="F3289">
        <v>154361989</v>
      </c>
      <c r="G3289">
        <v>106459217</v>
      </c>
      <c r="P3289">
        <v>43</v>
      </c>
      <c r="Q3289" t="s">
        <v>6918</v>
      </c>
    </row>
    <row r="3290" spans="1:17" x14ac:dyDescent="0.3">
      <c r="A3290" t="s">
        <v>17</v>
      </c>
      <c r="B3290" t="str">
        <f>"603703"</f>
        <v>603703</v>
      </c>
      <c r="C3290" t="s">
        <v>6919</v>
      </c>
      <c r="D3290" t="s">
        <v>1044</v>
      </c>
      <c r="E3290">
        <v>193304862</v>
      </c>
      <c r="F3290">
        <v>191754083</v>
      </c>
      <c r="G3290">
        <v>172655180</v>
      </c>
      <c r="H3290">
        <v>201220175</v>
      </c>
      <c r="I3290">
        <v>222273107</v>
      </c>
      <c r="J3290">
        <v>156047650</v>
      </c>
      <c r="K3290">
        <v>119446690</v>
      </c>
      <c r="L3290">
        <v>94282403</v>
      </c>
      <c r="P3290">
        <v>78</v>
      </c>
      <c r="Q3290" t="s">
        <v>6920</v>
      </c>
    </row>
    <row r="3291" spans="1:17" x14ac:dyDescent="0.3">
      <c r="A3291" t="s">
        <v>17</v>
      </c>
      <c r="B3291" t="str">
        <f>"603297"</f>
        <v>603297</v>
      </c>
      <c r="C3291" t="s">
        <v>6921</v>
      </c>
      <c r="D3291" t="s">
        <v>975</v>
      </c>
      <c r="E3291">
        <v>193180419</v>
      </c>
      <c r="F3291">
        <v>167202524</v>
      </c>
      <c r="G3291">
        <v>144041277</v>
      </c>
      <c r="H3291">
        <v>133277409</v>
      </c>
      <c r="I3291">
        <v>127922098</v>
      </c>
      <c r="P3291">
        <v>238</v>
      </c>
      <c r="Q3291" t="s">
        <v>6922</v>
      </c>
    </row>
    <row r="3292" spans="1:17" x14ac:dyDescent="0.3">
      <c r="A3292" t="s">
        <v>75</v>
      </c>
      <c r="B3292" t="str">
        <f>"002519"</f>
        <v>002519</v>
      </c>
      <c r="C3292" t="s">
        <v>6923</v>
      </c>
      <c r="D3292" t="s">
        <v>1413</v>
      </c>
      <c r="E3292">
        <v>193016841</v>
      </c>
      <c r="F3292">
        <v>335832160</v>
      </c>
      <c r="G3292">
        <v>393130830</v>
      </c>
      <c r="H3292">
        <v>310710441</v>
      </c>
      <c r="I3292">
        <v>312765662</v>
      </c>
      <c r="J3292">
        <v>308490572</v>
      </c>
      <c r="K3292">
        <v>389740579</v>
      </c>
      <c r="L3292">
        <v>300949266</v>
      </c>
      <c r="M3292">
        <v>241145182</v>
      </c>
      <c r="N3292">
        <v>220571901</v>
      </c>
      <c r="O3292">
        <v>227372028</v>
      </c>
      <c r="P3292">
        <v>160</v>
      </c>
      <c r="Q3292" t="s">
        <v>6924</v>
      </c>
    </row>
    <row r="3293" spans="1:17" x14ac:dyDescent="0.3">
      <c r="A3293" t="s">
        <v>75</v>
      </c>
      <c r="B3293" t="str">
        <f>"000532"</f>
        <v>000532</v>
      </c>
      <c r="C3293" t="s">
        <v>6925</v>
      </c>
      <c r="D3293" t="s">
        <v>5895</v>
      </c>
      <c r="E3293">
        <v>192997383</v>
      </c>
      <c r="F3293">
        <v>194870798</v>
      </c>
      <c r="G3293">
        <v>196324912</v>
      </c>
      <c r="H3293">
        <v>129632068</v>
      </c>
      <c r="I3293">
        <v>128173295</v>
      </c>
      <c r="J3293">
        <v>78886764</v>
      </c>
      <c r="K3293">
        <v>63341923</v>
      </c>
      <c r="L3293">
        <v>51246573</v>
      </c>
      <c r="M3293">
        <v>46233113</v>
      </c>
      <c r="N3293">
        <v>37868138</v>
      </c>
      <c r="O3293">
        <v>70881922</v>
      </c>
      <c r="P3293">
        <v>140</v>
      </c>
      <c r="Q3293" t="s">
        <v>6926</v>
      </c>
    </row>
    <row r="3294" spans="1:17" x14ac:dyDescent="0.3">
      <c r="A3294" t="s">
        <v>17</v>
      </c>
      <c r="B3294" t="str">
        <f>"688355"</f>
        <v>688355</v>
      </c>
      <c r="C3294" t="s">
        <v>6927</v>
      </c>
      <c r="D3294" t="s">
        <v>153</v>
      </c>
      <c r="E3294">
        <v>192770349</v>
      </c>
      <c r="F3294">
        <v>159699010</v>
      </c>
      <c r="G3294">
        <v>144558762</v>
      </c>
      <c r="P3294">
        <v>21</v>
      </c>
      <c r="Q3294" t="s">
        <v>6928</v>
      </c>
    </row>
    <row r="3295" spans="1:17" x14ac:dyDescent="0.3">
      <c r="A3295" t="s">
        <v>75</v>
      </c>
      <c r="B3295" t="str">
        <f>"002134"</f>
        <v>002134</v>
      </c>
      <c r="C3295" t="s">
        <v>6929</v>
      </c>
      <c r="D3295" t="s">
        <v>567</v>
      </c>
      <c r="E3295">
        <v>192704666</v>
      </c>
      <c r="F3295">
        <v>145845889</v>
      </c>
      <c r="G3295">
        <v>112952422</v>
      </c>
      <c r="H3295">
        <v>88468903</v>
      </c>
      <c r="I3295">
        <v>112046263</v>
      </c>
      <c r="J3295">
        <v>98907024</v>
      </c>
      <c r="K3295">
        <v>85800814</v>
      </c>
      <c r="L3295">
        <v>128472675</v>
      </c>
      <c r="M3295">
        <v>79904652</v>
      </c>
      <c r="N3295">
        <v>109353630</v>
      </c>
      <c r="O3295">
        <v>94883212</v>
      </c>
      <c r="P3295">
        <v>119</v>
      </c>
      <c r="Q3295" t="s">
        <v>6930</v>
      </c>
    </row>
    <row r="3296" spans="1:17" x14ac:dyDescent="0.3">
      <c r="A3296" t="s">
        <v>75</v>
      </c>
      <c r="B3296" t="str">
        <f>"002990"</f>
        <v>002990</v>
      </c>
      <c r="C3296" t="s">
        <v>6931</v>
      </c>
      <c r="D3296" t="s">
        <v>508</v>
      </c>
      <c r="E3296">
        <v>192694158</v>
      </c>
      <c r="F3296">
        <v>210918378</v>
      </c>
      <c r="G3296">
        <v>67979945</v>
      </c>
      <c r="H3296">
        <v>90941889</v>
      </c>
      <c r="P3296">
        <v>109</v>
      </c>
      <c r="Q3296" t="s">
        <v>6932</v>
      </c>
    </row>
    <row r="3297" spans="1:17" x14ac:dyDescent="0.3">
      <c r="A3297" t="s">
        <v>17</v>
      </c>
      <c r="B3297" t="str">
        <f>"688335"</f>
        <v>688335</v>
      </c>
      <c r="C3297" t="s">
        <v>6933</v>
      </c>
      <c r="D3297" t="s">
        <v>1107</v>
      </c>
      <c r="E3297">
        <v>192311299</v>
      </c>
      <c r="F3297">
        <v>48088079</v>
      </c>
      <c r="G3297">
        <v>37318317</v>
      </c>
      <c r="H3297">
        <v>44566365</v>
      </c>
      <c r="I3297">
        <v>99259369</v>
      </c>
      <c r="P3297">
        <v>61</v>
      </c>
      <c r="Q3297" t="s">
        <v>6934</v>
      </c>
    </row>
    <row r="3298" spans="1:17" x14ac:dyDescent="0.3">
      <c r="A3298" t="s">
        <v>75</v>
      </c>
      <c r="B3298" t="str">
        <f>"301010"</f>
        <v>301010</v>
      </c>
      <c r="C3298" t="s">
        <v>6935</v>
      </c>
      <c r="D3298" t="s">
        <v>1257</v>
      </c>
      <c r="E3298">
        <v>192216252</v>
      </c>
      <c r="F3298">
        <v>196992923</v>
      </c>
      <c r="G3298">
        <v>120289432</v>
      </c>
      <c r="P3298">
        <v>33</v>
      </c>
      <c r="Q3298" t="s">
        <v>6936</v>
      </c>
    </row>
    <row r="3299" spans="1:17" x14ac:dyDescent="0.3">
      <c r="A3299" t="s">
        <v>75</v>
      </c>
      <c r="B3299" t="str">
        <f>"300926"</f>
        <v>300926</v>
      </c>
      <c r="C3299" t="s">
        <v>6937</v>
      </c>
      <c r="D3299" t="s">
        <v>1321</v>
      </c>
      <c r="E3299">
        <v>192068340</v>
      </c>
      <c r="F3299">
        <v>145991565</v>
      </c>
      <c r="G3299">
        <v>109549397</v>
      </c>
      <c r="P3299">
        <v>45</v>
      </c>
      <c r="Q3299" t="s">
        <v>6938</v>
      </c>
    </row>
    <row r="3300" spans="1:17" x14ac:dyDescent="0.3">
      <c r="A3300" t="s">
        <v>17</v>
      </c>
      <c r="B3300" t="str">
        <f>"688655"</f>
        <v>688655</v>
      </c>
      <c r="C3300" t="s">
        <v>6939</v>
      </c>
      <c r="D3300" t="s">
        <v>567</v>
      </c>
      <c r="E3300">
        <v>191804741</v>
      </c>
      <c r="F3300">
        <v>102684250</v>
      </c>
      <c r="G3300">
        <v>74369136</v>
      </c>
      <c r="P3300">
        <v>21</v>
      </c>
      <c r="Q3300" t="s">
        <v>6940</v>
      </c>
    </row>
    <row r="3301" spans="1:17" x14ac:dyDescent="0.3">
      <c r="A3301" t="s">
        <v>17</v>
      </c>
      <c r="B3301" t="str">
        <f>"600359"</f>
        <v>600359</v>
      </c>
      <c r="C3301" t="s">
        <v>6941</v>
      </c>
      <c r="D3301" t="s">
        <v>1334</v>
      </c>
      <c r="E3301">
        <v>191764149</v>
      </c>
      <c r="F3301">
        <v>94082126</v>
      </c>
      <c r="G3301">
        <v>108787114</v>
      </c>
      <c r="H3301">
        <v>66835467</v>
      </c>
      <c r="I3301">
        <v>121698121</v>
      </c>
      <c r="J3301">
        <v>143390425</v>
      </c>
      <c r="K3301">
        <v>120948875</v>
      </c>
      <c r="L3301">
        <v>72277734</v>
      </c>
      <c r="M3301">
        <v>123816803</v>
      </c>
      <c r="N3301">
        <v>124665459</v>
      </c>
      <c r="O3301">
        <v>279346619</v>
      </c>
      <c r="P3301">
        <v>111</v>
      </c>
      <c r="Q3301" t="s">
        <v>6942</v>
      </c>
    </row>
    <row r="3302" spans="1:17" x14ac:dyDescent="0.3">
      <c r="A3302" t="s">
        <v>75</v>
      </c>
      <c r="B3302" t="str">
        <f>"301179"</f>
        <v>301179</v>
      </c>
      <c r="C3302" t="s">
        <v>6943</v>
      </c>
      <c r="D3302" t="s">
        <v>682</v>
      </c>
      <c r="E3302">
        <v>191761328</v>
      </c>
      <c r="P3302">
        <v>17</v>
      </c>
      <c r="Q3302" t="s">
        <v>6944</v>
      </c>
    </row>
    <row r="3303" spans="1:17" x14ac:dyDescent="0.3">
      <c r="A3303" t="s">
        <v>17</v>
      </c>
      <c r="B3303" t="str">
        <f>"600467"</f>
        <v>600467</v>
      </c>
      <c r="C3303" t="s">
        <v>6945</v>
      </c>
      <c r="D3303" t="s">
        <v>2597</v>
      </c>
      <c r="E3303">
        <v>191624270</v>
      </c>
      <c r="F3303">
        <v>226787417</v>
      </c>
      <c r="G3303">
        <v>214863033</v>
      </c>
      <c r="H3303">
        <v>369439665</v>
      </c>
      <c r="I3303">
        <v>318177755</v>
      </c>
      <c r="J3303">
        <v>213332910</v>
      </c>
      <c r="K3303">
        <v>265072704</v>
      </c>
      <c r="L3303">
        <v>207069414</v>
      </c>
      <c r="M3303">
        <v>134809428</v>
      </c>
      <c r="N3303">
        <v>202391648</v>
      </c>
      <c r="O3303">
        <v>138368525</v>
      </c>
      <c r="P3303">
        <v>119</v>
      </c>
      <c r="Q3303" t="s">
        <v>6946</v>
      </c>
    </row>
    <row r="3304" spans="1:17" x14ac:dyDescent="0.3">
      <c r="A3304" t="s">
        <v>75</v>
      </c>
      <c r="B3304" t="str">
        <f>"300642"</f>
        <v>300642</v>
      </c>
      <c r="C3304" t="s">
        <v>6947</v>
      </c>
      <c r="D3304" t="s">
        <v>967</v>
      </c>
      <c r="E3304">
        <v>191573138</v>
      </c>
      <c r="F3304">
        <v>147156381</v>
      </c>
      <c r="G3304">
        <v>40545504</v>
      </c>
      <c r="H3304">
        <v>86835762</v>
      </c>
      <c r="I3304">
        <v>71125139</v>
      </c>
      <c r="J3304">
        <v>52343284</v>
      </c>
      <c r="K3304">
        <v>43585013</v>
      </c>
      <c r="P3304">
        <v>417</v>
      </c>
      <c r="Q3304" t="s">
        <v>6948</v>
      </c>
    </row>
    <row r="3305" spans="1:17" x14ac:dyDescent="0.3">
      <c r="A3305" t="s">
        <v>17</v>
      </c>
      <c r="B3305" t="str">
        <f>"603429"</f>
        <v>603429</v>
      </c>
      <c r="C3305" t="s">
        <v>6949</v>
      </c>
      <c r="D3305" t="s">
        <v>1176</v>
      </c>
      <c r="E3305">
        <v>191217856</v>
      </c>
      <c r="F3305">
        <v>170948177</v>
      </c>
      <c r="G3305">
        <v>146458815</v>
      </c>
      <c r="H3305">
        <v>191122425</v>
      </c>
      <c r="I3305">
        <v>78802107</v>
      </c>
      <c r="J3305">
        <v>44711429</v>
      </c>
      <c r="K3305">
        <v>62641955</v>
      </c>
      <c r="P3305">
        <v>368</v>
      </c>
      <c r="Q3305" t="s">
        <v>6950</v>
      </c>
    </row>
    <row r="3306" spans="1:17" x14ac:dyDescent="0.3">
      <c r="A3306" t="s">
        <v>17</v>
      </c>
      <c r="B3306" t="str">
        <f>"688191"</f>
        <v>688191</v>
      </c>
      <c r="C3306" t="s">
        <v>6951</v>
      </c>
      <c r="D3306" t="s">
        <v>682</v>
      </c>
      <c r="E3306">
        <v>190922413</v>
      </c>
      <c r="F3306">
        <v>112348193</v>
      </c>
      <c r="G3306">
        <v>92863711</v>
      </c>
      <c r="P3306">
        <v>56</v>
      </c>
      <c r="Q3306" t="s">
        <v>6952</v>
      </c>
    </row>
    <row r="3307" spans="1:17" x14ac:dyDescent="0.3">
      <c r="A3307" t="s">
        <v>75</v>
      </c>
      <c r="B3307" t="str">
        <f>"300193"</f>
        <v>300193</v>
      </c>
      <c r="C3307" t="s">
        <v>6953</v>
      </c>
      <c r="D3307" t="s">
        <v>1424</v>
      </c>
      <c r="E3307">
        <v>190682293</v>
      </c>
      <c r="F3307">
        <v>242891763</v>
      </c>
      <c r="G3307">
        <v>153868503</v>
      </c>
      <c r="H3307">
        <v>195059182</v>
      </c>
      <c r="I3307">
        <v>185056278</v>
      </c>
      <c r="J3307">
        <v>166515896</v>
      </c>
      <c r="K3307">
        <v>141883017</v>
      </c>
      <c r="L3307">
        <v>116097254</v>
      </c>
      <c r="M3307">
        <v>134967363</v>
      </c>
      <c r="N3307">
        <v>96549580</v>
      </c>
      <c r="O3307">
        <v>108733927</v>
      </c>
      <c r="P3307">
        <v>154</v>
      </c>
      <c r="Q3307" t="s">
        <v>6954</v>
      </c>
    </row>
    <row r="3308" spans="1:17" x14ac:dyDescent="0.3">
      <c r="A3308" t="s">
        <v>17</v>
      </c>
      <c r="B3308" t="str">
        <f>"688107"</f>
        <v>688107</v>
      </c>
      <c r="C3308" t="s">
        <v>6955</v>
      </c>
      <c r="D3308" t="s">
        <v>883</v>
      </c>
      <c r="E3308">
        <v>190610618</v>
      </c>
      <c r="P3308">
        <v>31</v>
      </c>
      <c r="Q3308" t="s">
        <v>6956</v>
      </c>
    </row>
    <row r="3309" spans="1:17" x14ac:dyDescent="0.3">
      <c r="A3309" t="s">
        <v>17</v>
      </c>
      <c r="B3309" t="str">
        <f>"603615"</f>
        <v>603615</v>
      </c>
      <c r="C3309" t="s">
        <v>6957</v>
      </c>
      <c r="D3309" t="s">
        <v>1192</v>
      </c>
      <c r="E3309">
        <v>190557440</v>
      </c>
      <c r="F3309">
        <v>224441485</v>
      </c>
      <c r="G3309">
        <v>124055225</v>
      </c>
      <c r="H3309">
        <v>212915807</v>
      </c>
      <c r="I3309">
        <v>208341663</v>
      </c>
      <c r="J3309">
        <v>181991020</v>
      </c>
      <c r="K3309">
        <v>164169938</v>
      </c>
      <c r="P3309">
        <v>107</v>
      </c>
      <c r="Q3309" t="s">
        <v>6958</v>
      </c>
    </row>
    <row r="3310" spans="1:17" x14ac:dyDescent="0.3">
      <c r="A3310" t="s">
        <v>75</v>
      </c>
      <c r="B3310" t="str">
        <f>"002665"</f>
        <v>002665</v>
      </c>
      <c r="C3310" t="s">
        <v>6959</v>
      </c>
      <c r="D3310" t="s">
        <v>2692</v>
      </c>
      <c r="E3310">
        <v>190481886</v>
      </c>
      <c r="F3310">
        <v>127603937</v>
      </c>
      <c r="G3310">
        <v>52390606</v>
      </c>
      <c r="H3310">
        <v>107591054</v>
      </c>
      <c r="I3310">
        <v>114601854</v>
      </c>
      <c r="J3310">
        <v>188734143</v>
      </c>
      <c r="K3310">
        <v>245909458</v>
      </c>
      <c r="L3310">
        <v>137474156</v>
      </c>
      <c r="M3310">
        <v>67725107</v>
      </c>
      <c r="N3310">
        <v>128080863</v>
      </c>
      <c r="O3310">
        <v>116055834</v>
      </c>
      <c r="P3310">
        <v>208</v>
      </c>
      <c r="Q3310" t="s">
        <v>6960</v>
      </c>
    </row>
    <row r="3311" spans="1:17" x14ac:dyDescent="0.3">
      <c r="A3311" t="s">
        <v>75</v>
      </c>
      <c r="B3311" t="str">
        <f>"300187"</f>
        <v>300187</v>
      </c>
      <c r="C3311" t="s">
        <v>6961</v>
      </c>
      <c r="D3311" t="s">
        <v>1187</v>
      </c>
      <c r="E3311">
        <v>190215526</v>
      </c>
      <c r="F3311">
        <v>210135789</v>
      </c>
      <c r="G3311">
        <v>119312245</v>
      </c>
      <c r="H3311">
        <v>229684649</v>
      </c>
      <c r="I3311">
        <v>311397389</v>
      </c>
      <c r="J3311">
        <v>201856791</v>
      </c>
      <c r="K3311">
        <v>143858397</v>
      </c>
      <c r="L3311">
        <v>123041191</v>
      </c>
      <c r="M3311">
        <v>101172343</v>
      </c>
      <c r="N3311">
        <v>77987351</v>
      </c>
      <c r="O3311">
        <v>75319460</v>
      </c>
      <c r="P3311">
        <v>110</v>
      </c>
      <c r="Q3311" t="s">
        <v>6962</v>
      </c>
    </row>
    <row r="3312" spans="1:17" x14ac:dyDescent="0.3">
      <c r="A3312" t="s">
        <v>75</v>
      </c>
      <c r="B3312" t="str">
        <f>"300733"</f>
        <v>300733</v>
      </c>
      <c r="C3312" t="s">
        <v>6963</v>
      </c>
      <c r="D3312" t="s">
        <v>172</v>
      </c>
      <c r="E3312">
        <v>190155406</v>
      </c>
      <c r="F3312">
        <v>155748435</v>
      </c>
      <c r="G3312">
        <v>113363406</v>
      </c>
      <c r="H3312">
        <v>129087593</v>
      </c>
      <c r="I3312">
        <v>137028401</v>
      </c>
      <c r="J3312">
        <v>174062072</v>
      </c>
      <c r="P3312">
        <v>60</v>
      </c>
      <c r="Q3312" t="s">
        <v>6964</v>
      </c>
    </row>
    <row r="3313" spans="1:17" x14ac:dyDescent="0.3">
      <c r="A3313" t="s">
        <v>17</v>
      </c>
      <c r="B3313" t="str">
        <f>"688505"</f>
        <v>688505</v>
      </c>
      <c r="C3313" t="s">
        <v>6965</v>
      </c>
      <c r="D3313" t="s">
        <v>543</v>
      </c>
      <c r="E3313">
        <v>189937704</v>
      </c>
      <c r="F3313">
        <v>210980416</v>
      </c>
      <c r="G3313">
        <v>215231869</v>
      </c>
      <c r="H3313">
        <v>217216864</v>
      </c>
      <c r="P3313">
        <v>69</v>
      </c>
      <c r="Q3313" t="s">
        <v>6966</v>
      </c>
    </row>
    <row r="3314" spans="1:17" x14ac:dyDescent="0.3">
      <c r="A3314" t="s">
        <v>17</v>
      </c>
      <c r="B3314" t="str">
        <f>"603633"</f>
        <v>603633</v>
      </c>
      <c r="C3314" t="s">
        <v>6967</v>
      </c>
      <c r="D3314" t="s">
        <v>55</v>
      </c>
      <c r="E3314">
        <v>189924804</v>
      </c>
      <c r="F3314">
        <v>170653354</v>
      </c>
      <c r="G3314">
        <v>134910936</v>
      </c>
      <c r="H3314">
        <v>114400093</v>
      </c>
      <c r="I3314">
        <v>109337234</v>
      </c>
      <c r="J3314">
        <v>78655870</v>
      </c>
      <c r="K3314">
        <v>69198755</v>
      </c>
      <c r="P3314">
        <v>90</v>
      </c>
      <c r="Q3314" t="s">
        <v>6968</v>
      </c>
    </row>
    <row r="3315" spans="1:17" x14ac:dyDescent="0.3">
      <c r="A3315" t="s">
        <v>75</v>
      </c>
      <c r="B3315" t="str">
        <f>"000890"</f>
        <v>000890</v>
      </c>
      <c r="C3315" t="s">
        <v>6969</v>
      </c>
      <c r="D3315" t="s">
        <v>153</v>
      </c>
      <c r="E3315">
        <v>189868808</v>
      </c>
      <c r="F3315">
        <v>134711801</v>
      </c>
      <c r="G3315">
        <v>264993908</v>
      </c>
      <c r="H3315">
        <v>387138618</v>
      </c>
      <c r="I3315">
        <v>447089219</v>
      </c>
      <c r="J3315">
        <v>540481036</v>
      </c>
      <c r="K3315">
        <v>597581102</v>
      </c>
      <c r="L3315">
        <v>469290185</v>
      </c>
      <c r="M3315">
        <v>476376175</v>
      </c>
      <c r="N3315">
        <v>485143496</v>
      </c>
      <c r="O3315">
        <v>566021037</v>
      </c>
      <c r="P3315">
        <v>133</v>
      </c>
      <c r="Q3315" t="s">
        <v>6970</v>
      </c>
    </row>
    <row r="3316" spans="1:17" x14ac:dyDescent="0.3">
      <c r="A3316" t="s">
        <v>75</v>
      </c>
      <c r="B3316" t="str">
        <f>"002644"</f>
        <v>002644</v>
      </c>
      <c r="C3316" t="s">
        <v>6971</v>
      </c>
      <c r="D3316" t="s">
        <v>321</v>
      </c>
      <c r="E3316">
        <v>189856469</v>
      </c>
      <c r="F3316">
        <v>157817521</v>
      </c>
      <c r="G3316">
        <v>159472457</v>
      </c>
      <c r="H3316">
        <v>128957518</v>
      </c>
      <c r="I3316">
        <v>127089886</v>
      </c>
      <c r="J3316">
        <v>110531998</v>
      </c>
      <c r="K3316">
        <v>100511499</v>
      </c>
      <c r="L3316">
        <v>84900524</v>
      </c>
      <c r="M3316">
        <v>119190127</v>
      </c>
      <c r="N3316">
        <v>58676731</v>
      </c>
      <c r="O3316">
        <v>52448620</v>
      </c>
      <c r="P3316">
        <v>163</v>
      </c>
      <c r="Q3316" t="s">
        <v>6972</v>
      </c>
    </row>
    <row r="3317" spans="1:17" x14ac:dyDescent="0.3">
      <c r="A3317" t="s">
        <v>17</v>
      </c>
      <c r="B3317" t="str">
        <f>"688789"</f>
        <v>688789</v>
      </c>
      <c r="C3317" t="s">
        <v>6973</v>
      </c>
      <c r="D3317" t="s">
        <v>2265</v>
      </c>
      <c r="E3317">
        <v>189648678</v>
      </c>
      <c r="F3317">
        <v>162018517</v>
      </c>
      <c r="G3317">
        <v>102901270</v>
      </c>
      <c r="P3317">
        <v>43</v>
      </c>
      <c r="Q3317" t="s">
        <v>6974</v>
      </c>
    </row>
    <row r="3318" spans="1:17" x14ac:dyDescent="0.3">
      <c r="A3318" t="s">
        <v>17</v>
      </c>
      <c r="B3318" t="str">
        <f>"603022"</f>
        <v>603022</v>
      </c>
      <c r="C3318" t="s">
        <v>6975</v>
      </c>
      <c r="D3318" t="s">
        <v>5086</v>
      </c>
      <c r="E3318">
        <v>189336719</v>
      </c>
      <c r="F3318">
        <v>207335389</v>
      </c>
      <c r="G3318">
        <v>195619025</v>
      </c>
      <c r="H3318">
        <v>210402719</v>
      </c>
      <c r="I3318">
        <v>199595755</v>
      </c>
      <c r="J3318">
        <v>119689021</v>
      </c>
      <c r="K3318">
        <v>137303583</v>
      </c>
      <c r="L3318">
        <v>0</v>
      </c>
      <c r="M3318">
        <v>0</v>
      </c>
      <c r="P3318">
        <v>51</v>
      </c>
      <c r="Q3318" t="s">
        <v>6976</v>
      </c>
    </row>
    <row r="3319" spans="1:17" x14ac:dyDescent="0.3">
      <c r="A3319" t="s">
        <v>75</v>
      </c>
      <c r="B3319" t="str">
        <f>"300150"</f>
        <v>300150</v>
      </c>
      <c r="C3319" t="s">
        <v>6977</v>
      </c>
      <c r="D3319" t="s">
        <v>224</v>
      </c>
      <c r="E3319">
        <v>189269569</v>
      </c>
      <c r="F3319">
        <v>154003317</v>
      </c>
      <c r="G3319">
        <v>83432645</v>
      </c>
      <c r="H3319">
        <v>167890678</v>
      </c>
      <c r="I3319">
        <v>157286193</v>
      </c>
      <c r="J3319">
        <v>133232796</v>
      </c>
      <c r="K3319">
        <v>89208164</v>
      </c>
      <c r="L3319">
        <v>75280076</v>
      </c>
      <c r="M3319">
        <v>76341424</v>
      </c>
      <c r="N3319">
        <v>45242883</v>
      </c>
      <c r="O3319">
        <v>59411139</v>
      </c>
      <c r="P3319">
        <v>121</v>
      </c>
      <c r="Q3319" t="s">
        <v>6978</v>
      </c>
    </row>
    <row r="3320" spans="1:17" x14ac:dyDescent="0.3">
      <c r="A3320" t="s">
        <v>17</v>
      </c>
      <c r="B3320" t="str">
        <f>"688379"</f>
        <v>688379</v>
      </c>
      <c r="C3320" t="s">
        <v>6979</v>
      </c>
      <c r="D3320" t="s">
        <v>153</v>
      </c>
      <c r="E3320">
        <v>189231834</v>
      </c>
      <c r="F3320">
        <v>191060584</v>
      </c>
      <c r="G3320">
        <v>136184825</v>
      </c>
      <c r="H3320">
        <v>112801032</v>
      </c>
      <c r="P3320">
        <v>36</v>
      </c>
      <c r="Q3320" t="s">
        <v>6980</v>
      </c>
    </row>
    <row r="3321" spans="1:17" x14ac:dyDescent="0.3">
      <c r="A3321" t="s">
        <v>75</v>
      </c>
      <c r="B3321" t="str">
        <f>"300236"</f>
        <v>300236</v>
      </c>
      <c r="C3321" t="s">
        <v>6981</v>
      </c>
      <c r="D3321" t="s">
        <v>1853</v>
      </c>
      <c r="E3321">
        <v>189221915</v>
      </c>
      <c r="F3321">
        <v>161048942</v>
      </c>
      <c r="G3321">
        <v>117812882</v>
      </c>
      <c r="H3321">
        <v>109294040</v>
      </c>
      <c r="I3321">
        <v>116298688</v>
      </c>
      <c r="J3321">
        <v>93852224</v>
      </c>
      <c r="K3321">
        <v>83443623</v>
      </c>
      <c r="L3321">
        <v>68812642</v>
      </c>
      <c r="M3321">
        <v>73931982</v>
      </c>
      <c r="N3321">
        <v>42060003</v>
      </c>
      <c r="O3321">
        <v>33868301</v>
      </c>
      <c r="P3321">
        <v>414</v>
      </c>
      <c r="Q3321" t="s">
        <v>6982</v>
      </c>
    </row>
    <row r="3322" spans="1:17" x14ac:dyDescent="0.3">
      <c r="A3322" t="s">
        <v>17</v>
      </c>
      <c r="B3322" t="str">
        <f>"603729"</f>
        <v>603729</v>
      </c>
      <c r="C3322" t="s">
        <v>6983</v>
      </c>
      <c r="D3322" t="s">
        <v>622</v>
      </c>
      <c r="E3322">
        <v>189082152</v>
      </c>
      <c r="F3322">
        <v>217396681</v>
      </c>
      <c r="G3322">
        <v>131722399</v>
      </c>
      <c r="H3322">
        <v>242239842</v>
      </c>
      <c r="I3322">
        <v>310600199</v>
      </c>
      <c r="J3322">
        <v>188429689</v>
      </c>
      <c r="K3322">
        <v>294446585</v>
      </c>
      <c r="L3322">
        <v>268725874</v>
      </c>
      <c r="M3322">
        <v>244725464</v>
      </c>
      <c r="P3322">
        <v>51</v>
      </c>
      <c r="Q3322" t="s">
        <v>6984</v>
      </c>
    </row>
    <row r="3323" spans="1:17" x14ac:dyDescent="0.3">
      <c r="A3323" t="s">
        <v>75</v>
      </c>
      <c r="B3323" t="str">
        <f>"000088"</f>
        <v>000088</v>
      </c>
      <c r="C3323" t="s">
        <v>6985</v>
      </c>
      <c r="D3323" t="s">
        <v>383</v>
      </c>
      <c r="E3323">
        <v>188668748</v>
      </c>
      <c r="F3323">
        <v>162247026</v>
      </c>
      <c r="G3323">
        <v>86283048</v>
      </c>
      <c r="H3323">
        <v>140274639</v>
      </c>
      <c r="I3323">
        <v>95786422</v>
      </c>
      <c r="J3323">
        <v>83498715</v>
      </c>
      <c r="K3323">
        <v>74698839</v>
      </c>
      <c r="L3323">
        <v>61812495</v>
      </c>
      <c r="M3323">
        <v>70485543</v>
      </c>
      <c r="N3323">
        <v>68634818</v>
      </c>
      <c r="O3323">
        <v>88322113</v>
      </c>
      <c r="P3323">
        <v>170</v>
      </c>
      <c r="Q3323" t="s">
        <v>6986</v>
      </c>
    </row>
    <row r="3324" spans="1:17" x14ac:dyDescent="0.3">
      <c r="A3324" t="s">
        <v>75</v>
      </c>
      <c r="B3324" t="str">
        <f>"300025"</f>
        <v>300025</v>
      </c>
      <c r="C3324" t="s">
        <v>6987</v>
      </c>
      <c r="D3324" t="s">
        <v>1647</v>
      </c>
      <c r="E3324">
        <v>188600797</v>
      </c>
      <c r="F3324">
        <v>193531997</v>
      </c>
      <c r="G3324">
        <v>241447974</v>
      </c>
      <c r="H3324">
        <v>272775221</v>
      </c>
      <c r="I3324">
        <v>390444011</v>
      </c>
      <c r="J3324">
        <v>348566261</v>
      </c>
      <c r="K3324">
        <v>250237073</v>
      </c>
      <c r="L3324">
        <v>224721598</v>
      </c>
      <c r="M3324">
        <v>136430842</v>
      </c>
      <c r="N3324">
        <v>113793896</v>
      </c>
      <c r="O3324">
        <v>83912261</v>
      </c>
      <c r="P3324">
        <v>223</v>
      </c>
      <c r="Q3324" t="s">
        <v>6988</v>
      </c>
    </row>
    <row r="3325" spans="1:17" x14ac:dyDescent="0.3">
      <c r="A3325" t="s">
        <v>75</v>
      </c>
      <c r="B3325" t="str">
        <f>"300172"</f>
        <v>300172</v>
      </c>
      <c r="C3325" t="s">
        <v>6989</v>
      </c>
      <c r="D3325" t="s">
        <v>1107</v>
      </c>
      <c r="E3325">
        <v>187960299</v>
      </c>
      <c r="F3325">
        <v>160530436</v>
      </c>
      <c r="G3325">
        <v>114605905</v>
      </c>
      <c r="H3325">
        <v>106275490</v>
      </c>
      <c r="I3325">
        <v>110486957</v>
      </c>
      <c r="J3325">
        <v>66237201</v>
      </c>
      <c r="K3325">
        <v>84383917</v>
      </c>
      <c r="L3325">
        <v>76539324</v>
      </c>
      <c r="M3325">
        <v>92543871</v>
      </c>
      <c r="N3325">
        <v>79397009</v>
      </c>
      <c r="O3325">
        <v>31103374</v>
      </c>
      <c r="P3325">
        <v>110</v>
      </c>
      <c r="Q3325" t="s">
        <v>6990</v>
      </c>
    </row>
    <row r="3326" spans="1:17" x14ac:dyDescent="0.3">
      <c r="A3326" t="s">
        <v>75</v>
      </c>
      <c r="B3326" t="str">
        <f>"301003"</f>
        <v>301003</v>
      </c>
      <c r="C3326" t="s">
        <v>6991</v>
      </c>
      <c r="D3326" t="s">
        <v>639</v>
      </c>
      <c r="E3326">
        <v>187896359</v>
      </c>
      <c r="F3326">
        <v>139559622</v>
      </c>
      <c r="G3326">
        <v>88408689</v>
      </c>
      <c r="P3326">
        <v>31</v>
      </c>
      <c r="Q3326" t="s">
        <v>6992</v>
      </c>
    </row>
    <row r="3327" spans="1:17" x14ac:dyDescent="0.3">
      <c r="A3327" t="s">
        <v>75</v>
      </c>
      <c r="B3327" t="str">
        <f>"301109"</f>
        <v>301109</v>
      </c>
      <c r="C3327" t="s">
        <v>6993</v>
      </c>
      <c r="E3327">
        <v>187885597</v>
      </c>
      <c r="F3327">
        <v>272019574</v>
      </c>
      <c r="P3327">
        <v>3</v>
      </c>
      <c r="Q3327" t="s">
        <v>6994</v>
      </c>
    </row>
    <row r="3328" spans="1:17" x14ac:dyDescent="0.3">
      <c r="A3328" t="s">
        <v>75</v>
      </c>
      <c r="B3328" t="str">
        <f>"300855"</f>
        <v>300855</v>
      </c>
      <c r="C3328" t="s">
        <v>6995</v>
      </c>
      <c r="D3328" t="s">
        <v>1526</v>
      </c>
      <c r="E3328">
        <v>187840692</v>
      </c>
      <c r="F3328">
        <v>122923441</v>
      </c>
      <c r="G3328">
        <v>71579976</v>
      </c>
      <c r="H3328">
        <v>86452174</v>
      </c>
      <c r="P3328">
        <v>139</v>
      </c>
      <c r="Q3328" t="s">
        <v>6996</v>
      </c>
    </row>
    <row r="3329" spans="1:17" x14ac:dyDescent="0.3">
      <c r="A3329" t="s">
        <v>75</v>
      </c>
      <c r="B3329" t="str">
        <f>"300637"</f>
        <v>300637</v>
      </c>
      <c r="C3329" t="s">
        <v>6997</v>
      </c>
      <c r="D3329" t="s">
        <v>1853</v>
      </c>
      <c r="E3329">
        <v>187553033</v>
      </c>
      <c r="F3329">
        <v>192446391</v>
      </c>
      <c r="G3329">
        <v>95588158</v>
      </c>
      <c r="H3329">
        <v>133641081</v>
      </c>
      <c r="I3329">
        <v>131675893</v>
      </c>
      <c r="J3329">
        <v>76855679</v>
      </c>
      <c r="K3329">
        <v>94650142</v>
      </c>
      <c r="P3329">
        <v>117</v>
      </c>
      <c r="Q3329" t="s">
        <v>6998</v>
      </c>
    </row>
    <row r="3330" spans="1:17" x14ac:dyDescent="0.3">
      <c r="A3330" t="s">
        <v>17</v>
      </c>
      <c r="B3330" t="str">
        <f>"688026"</f>
        <v>688026</v>
      </c>
      <c r="C3330" t="s">
        <v>6999</v>
      </c>
      <c r="D3330" t="s">
        <v>3251</v>
      </c>
      <c r="E3330">
        <v>187269990</v>
      </c>
      <c r="F3330">
        <v>138148919</v>
      </c>
      <c r="G3330">
        <v>117145217</v>
      </c>
      <c r="H3330">
        <v>53982187</v>
      </c>
      <c r="P3330">
        <v>211</v>
      </c>
      <c r="Q3330" t="s">
        <v>7000</v>
      </c>
    </row>
    <row r="3331" spans="1:17" x14ac:dyDescent="0.3">
      <c r="A3331" t="s">
        <v>75</v>
      </c>
      <c r="B3331" t="str">
        <f>"002689"</f>
        <v>002689</v>
      </c>
      <c r="C3331" t="s">
        <v>7001</v>
      </c>
      <c r="D3331" t="s">
        <v>892</v>
      </c>
      <c r="E3331">
        <v>187138755</v>
      </c>
      <c r="F3331">
        <v>245317975</v>
      </c>
      <c r="G3331">
        <v>202381570</v>
      </c>
      <c r="H3331">
        <v>292750161</v>
      </c>
      <c r="I3331">
        <v>259660178</v>
      </c>
      <c r="J3331">
        <v>274401741</v>
      </c>
      <c r="K3331">
        <v>270817550</v>
      </c>
      <c r="L3331">
        <v>348812153</v>
      </c>
      <c r="M3331">
        <v>283519986</v>
      </c>
      <c r="N3331">
        <v>284592893</v>
      </c>
      <c r="O3331">
        <v>270137100</v>
      </c>
      <c r="P3331">
        <v>87</v>
      </c>
      <c r="Q3331" t="s">
        <v>7002</v>
      </c>
    </row>
    <row r="3332" spans="1:17" x14ac:dyDescent="0.3">
      <c r="A3332" t="s">
        <v>75</v>
      </c>
      <c r="B3332" t="str">
        <f>"300872"</f>
        <v>300872</v>
      </c>
      <c r="C3332" t="s">
        <v>7003</v>
      </c>
      <c r="D3332" t="s">
        <v>224</v>
      </c>
      <c r="E3332">
        <v>186983306</v>
      </c>
      <c r="F3332">
        <v>118626176</v>
      </c>
      <c r="G3332">
        <v>71571354</v>
      </c>
      <c r="P3332">
        <v>74</v>
      </c>
      <c r="Q3332" t="s">
        <v>7004</v>
      </c>
    </row>
    <row r="3333" spans="1:17" x14ac:dyDescent="0.3">
      <c r="A3333" t="s">
        <v>75</v>
      </c>
      <c r="B3333" t="str">
        <f>"300036"</f>
        <v>300036</v>
      </c>
      <c r="C3333" t="s">
        <v>7005</v>
      </c>
      <c r="D3333" t="s">
        <v>989</v>
      </c>
      <c r="E3333">
        <v>186702872</v>
      </c>
      <c r="F3333">
        <v>188131081</v>
      </c>
      <c r="G3333">
        <v>140913395</v>
      </c>
      <c r="H3333">
        <v>196410611</v>
      </c>
      <c r="I3333">
        <v>140083075</v>
      </c>
      <c r="J3333">
        <v>119138406</v>
      </c>
      <c r="K3333">
        <v>52538162</v>
      </c>
      <c r="L3333">
        <v>47065327</v>
      </c>
      <c r="M3333">
        <v>29989956</v>
      </c>
      <c r="N3333">
        <v>20362875</v>
      </c>
      <c r="O3333">
        <v>25614365</v>
      </c>
      <c r="P3333">
        <v>545</v>
      </c>
      <c r="Q3333" t="s">
        <v>7006</v>
      </c>
    </row>
    <row r="3334" spans="1:17" x14ac:dyDescent="0.3">
      <c r="A3334" t="s">
        <v>75</v>
      </c>
      <c r="B3334" t="str">
        <f>"000908"</f>
        <v>000908</v>
      </c>
      <c r="C3334" t="s">
        <v>7007</v>
      </c>
      <c r="D3334" t="s">
        <v>543</v>
      </c>
      <c r="E3334">
        <v>186693030</v>
      </c>
      <c r="F3334">
        <v>179296523</v>
      </c>
      <c r="G3334">
        <v>235692961</v>
      </c>
      <c r="H3334">
        <v>471477038</v>
      </c>
      <c r="I3334">
        <v>836186515</v>
      </c>
      <c r="J3334">
        <v>368281768</v>
      </c>
      <c r="K3334">
        <v>448503226</v>
      </c>
      <c r="L3334">
        <v>495271005</v>
      </c>
      <c r="M3334">
        <v>32619359</v>
      </c>
      <c r="N3334">
        <v>36239459</v>
      </c>
      <c r="O3334">
        <v>26874786</v>
      </c>
      <c r="P3334">
        <v>186</v>
      </c>
      <c r="Q3334" t="s">
        <v>7008</v>
      </c>
    </row>
    <row r="3335" spans="1:17" x14ac:dyDescent="0.3">
      <c r="A3335" t="s">
        <v>75</v>
      </c>
      <c r="B3335" t="str">
        <f>"300209"</f>
        <v>300209</v>
      </c>
      <c r="C3335" t="s">
        <v>7009</v>
      </c>
      <c r="D3335" t="s">
        <v>116</v>
      </c>
      <c r="E3335">
        <v>186678324</v>
      </c>
      <c r="F3335">
        <v>1138098305</v>
      </c>
      <c r="G3335">
        <v>1767279657</v>
      </c>
      <c r="H3335">
        <v>223453542</v>
      </c>
      <c r="I3335">
        <v>161938055</v>
      </c>
      <c r="J3335">
        <v>172414164</v>
      </c>
      <c r="K3335">
        <v>88904503</v>
      </c>
      <c r="L3335">
        <v>43158247</v>
      </c>
      <c r="M3335">
        <v>41577098</v>
      </c>
      <c r="N3335">
        <v>25316548</v>
      </c>
      <c r="O3335">
        <v>29007533</v>
      </c>
      <c r="P3335">
        <v>143</v>
      </c>
      <c r="Q3335" t="s">
        <v>7010</v>
      </c>
    </row>
    <row r="3336" spans="1:17" x14ac:dyDescent="0.3">
      <c r="A3336" t="s">
        <v>75</v>
      </c>
      <c r="B3336" t="str">
        <f>"300698"</f>
        <v>300698</v>
      </c>
      <c r="C3336" t="s">
        <v>7011</v>
      </c>
      <c r="D3336" t="s">
        <v>169</v>
      </c>
      <c r="E3336">
        <v>186529813</v>
      </c>
      <c r="F3336">
        <v>104056282</v>
      </c>
      <c r="G3336">
        <v>65061044</v>
      </c>
      <c r="H3336">
        <v>99207562</v>
      </c>
      <c r="I3336">
        <v>55034750</v>
      </c>
      <c r="J3336">
        <v>71997289</v>
      </c>
      <c r="P3336">
        <v>121</v>
      </c>
      <c r="Q3336" t="s">
        <v>7012</v>
      </c>
    </row>
    <row r="3337" spans="1:17" x14ac:dyDescent="0.3">
      <c r="A3337" t="s">
        <v>75</v>
      </c>
      <c r="B3337" t="str">
        <f>"300344"</f>
        <v>300344</v>
      </c>
      <c r="C3337" t="s">
        <v>7013</v>
      </c>
      <c r="D3337" t="s">
        <v>116</v>
      </c>
      <c r="E3337">
        <v>186398671</v>
      </c>
      <c r="F3337">
        <v>58905768</v>
      </c>
      <c r="G3337">
        <v>66689163</v>
      </c>
      <c r="H3337">
        <v>126236431</v>
      </c>
      <c r="I3337">
        <v>111724756</v>
      </c>
      <c r="J3337">
        <v>139108320</v>
      </c>
      <c r="K3337">
        <v>30391382</v>
      </c>
      <c r="L3337">
        <v>50968261</v>
      </c>
      <c r="M3337">
        <v>33399484</v>
      </c>
      <c r="N3337">
        <v>33030281</v>
      </c>
      <c r="O3337">
        <v>16694554</v>
      </c>
      <c r="P3337">
        <v>64</v>
      </c>
      <c r="Q3337" t="s">
        <v>7014</v>
      </c>
    </row>
    <row r="3338" spans="1:17" x14ac:dyDescent="0.3">
      <c r="A3338" t="s">
        <v>17</v>
      </c>
      <c r="B3338" t="str">
        <f>"603917"</f>
        <v>603917</v>
      </c>
      <c r="C3338" t="s">
        <v>7015</v>
      </c>
      <c r="D3338" t="s">
        <v>1321</v>
      </c>
      <c r="E3338">
        <v>186341130</v>
      </c>
      <c r="F3338">
        <v>120687187</v>
      </c>
      <c r="G3338">
        <v>116918112</v>
      </c>
      <c r="H3338">
        <v>107839357</v>
      </c>
      <c r="I3338">
        <v>101999894</v>
      </c>
      <c r="J3338">
        <v>82926560</v>
      </c>
      <c r="P3338">
        <v>73</v>
      </c>
      <c r="Q3338" t="s">
        <v>7016</v>
      </c>
    </row>
    <row r="3339" spans="1:17" x14ac:dyDescent="0.3">
      <c r="A3339" t="s">
        <v>75</v>
      </c>
      <c r="B3339" t="str">
        <f>"300539"</f>
        <v>300539</v>
      </c>
      <c r="C3339" t="s">
        <v>7017</v>
      </c>
      <c r="D3339" t="s">
        <v>3251</v>
      </c>
      <c r="E3339">
        <v>186266133</v>
      </c>
      <c r="F3339">
        <v>152156416</v>
      </c>
      <c r="G3339">
        <v>132075678</v>
      </c>
      <c r="H3339">
        <v>173788818</v>
      </c>
      <c r="I3339">
        <v>133702325</v>
      </c>
      <c r="J3339">
        <v>112662597</v>
      </c>
      <c r="K3339">
        <v>94404851</v>
      </c>
      <c r="P3339">
        <v>84</v>
      </c>
      <c r="Q3339" t="s">
        <v>7018</v>
      </c>
    </row>
    <row r="3340" spans="1:17" x14ac:dyDescent="0.3">
      <c r="A3340" t="s">
        <v>17</v>
      </c>
      <c r="B3340" t="str">
        <f>"603960"</f>
        <v>603960</v>
      </c>
      <c r="C3340" t="s">
        <v>7019</v>
      </c>
      <c r="D3340" t="s">
        <v>2910</v>
      </c>
      <c r="E3340">
        <v>186220196</v>
      </c>
      <c r="F3340">
        <v>124101540</v>
      </c>
      <c r="G3340">
        <v>167622104</v>
      </c>
      <c r="H3340">
        <v>101409997</v>
      </c>
      <c r="I3340">
        <v>128194182</v>
      </c>
      <c r="J3340">
        <v>51321918</v>
      </c>
      <c r="K3340">
        <v>75944655</v>
      </c>
      <c r="P3340">
        <v>383</v>
      </c>
      <c r="Q3340" t="s">
        <v>7020</v>
      </c>
    </row>
    <row r="3341" spans="1:17" x14ac:dyDescent="0.3">
      <c r="A3341" t="s">
        <v>17</v>
      </c>
      <c r="B3341" t="str">
        <f>"603722"</f>
        <v>603722</v>
      </c>
      <c r="C3341" t="s">
        <v>7021</v>
      </c>
      <c r="D3341" t="s">
        <v>3251</v>
      </c>
      <c r="E3341">
        <v>186189998</v>
      </c>
      <c r="F3341">
        <v>125601884</v>
      </c>
      <c r="G3341">
        <v>96140720</v>
      </c>
      <c r="H3341">
        <v>113004222</v>
      </c>
      <c r="I3341">
        <v>68428397</v>
      </c>
      <c r="J3341">
        <v>40353155</v>
      </c>
      <c r="P3341">
        <v>83</v>
      </c>
      <c r="Q3341" t="s">
        <v>7022</v>
      </c>
    </row>
    <row r="3342" spans="1:17" x14ac:dyDescent="0.3">
      <c r="A3342" t="s">
        <v>75</v>
      </c>
      <c r="B3342" t="str">
        <f>"000793"</f>
        <v>000793</v>
      </c>
      <c r="C3342" t="s">
        <v>7023</v>
      </c>
      <c r="D3342" t="s">
        <v>1703</v>
      </c>
      <c r="E3342">
        <v>186103358</v>
      </c>
      <c r="F3342">
        <v>309023300</v>
      </c>
      <c r="G3342">
        <v>824057713</v>
      </c>
      <c r="H3342">
        <v>874575067</v>
      </c>
      <c r="I3342">
        <v>568166827</v>
      </c>
      <c r="J3342">
        <v>837406972</v>
      </c>
      <c r="K3342">
        <v>639767660</v>
      </c>
      <c r="L3342">
        <v>786914024</v>
      </c>
      <c r="M3342">
        <v>622187375</v>
      </c>
      <c r="N3342">
        <v>786032687</v>
      </c>
      <c r="O3342">
        <v>777017636</v>
      </c>
      <c r="P3342">
        <v>141</v>
      </c>
      <c r="Q3342" t="s">
        <v>7024</v>
      </c>
    </row>
    <row r="3343" spans="1:17" x14ac:dyDescent="0.3">
      <c r="A3343" t="s">
        <v>75</v>
      </c>
      <c r="B3343" t="str">
        <f>"003031"</f>
        <v>003031</v>
      </c>
      <c r="C3343" t="s">
        <v>7025</v>
      </c>
      <c r="D3343" t="s">
        <v>556</v>
      </c>
      <c r="E3343">
        <v>185441085</v>
      </c>
      <c r="F3343">
        <v>170861130</v>
      </c>
      <c r="G3343">
        <v>72620242</v>
      </c>
      <c r="H3343">
        <v>64908495</v>
      </c>
      <c r="P3343">
        <v>87</v>
      </c>
      <c r="Q3343" t="s">
        <v>7026</v>
      </c>
    </row>
    <row r="3344" spans="1:17" x14ac:dyDescent="0.3">
      <c r="A3344" t="s">
        <v>75</v>
      </c>
      <c r="B3344" t="str">
        <f>"300509"</f>
        <v>300509</v>
      </c>
      <c r="C3344" t="s">
        <v>7027</v>
      </c>
      <c r="D3344" t="s">
        <v>3158</v>
      </c>
      <c r="E3344">
        <v>185393011</v>
      </c>
      <c r="F3344">
        <v>166533075</v>
      </c>
      <c r="G3344">
        <v>158131463</v>
      </c>
      <c r="H3344">
        <v>117489100</v>
      </c>
      <c r="I3344">
        <v>200499525</v>
      </c>
      <c r="J3344">
        <v>136474905</v>
      </c>
      <c r="K3344">
        <v>102170727</v>
      </c>
      <c r="L3344">
        <v>109109225</v>
      </c>
      <c r="P3344">
        <v>64</v>
      </c>
      <c r="Q3344" t="s">
        <v>7028</v>
      </c>
    </row>
    <row r="3345" spans="1:17" x14ac:dyDescent="0.3">
      <c r="A3345" t="s">
        <v>75</v>
      </c>
      <c r="B3345" t="str">
        <f>"300838"</f>
        <v>300838</v>
      </c>
      <c r="C3345" t="s">
        <v>7029</v>
      </c>
      <c r="D3345" t="s">
        <v>153</v>
      </c>
      <c r="E3345">
        <v>185270768</v>
      </c>
      <c r="F3345">
        <v>153975550</v>
      </c>
      <c r="G3345">
        <v>92319423</v>
      </c>
      <c r="H3345">
        <v>94935075</v>
      </c>
      <c r="P3345">
        <v>39</v>
      </c>
      <c r="Q3345" t="s">
        <v>7030</v>
      </c>
    </row>
    <row r="3346" spans="1:17" x14ac:dyDescent="0.3">
      <c r="A3346" t="s">
        <v>75</v>
      </c>
      <c r="B3346" t="str">
        <f>"003041"</f>
        <v>003041</v>
      </c>
      <c r="C3346" t="s">
        <v>7031</v>
      </c>
      <c r="D3346" t="s">
        <v>2219</v>
      </c>
      <c r="E3346">
        <v>185266286</v>
      </c>
      <c r="F3346">
        <v>185543116</v>
      </c>
      <c r="G3346">
        <v>170908349</v>
      </c>
      <c r="P3346">
        <v>30</v>
      </c>
      <c r="Q3346" t="s">
        <v>7032</v>
      </c>
    </row>
    <row r="3347" spans="1:17" x14ac:dyDescent="0.3">
      <c r="A3347" t="s">
        <v>75</v>
      </c>
      <c r="B3347" t="str">
        <f>"300969"</f>
        <v>300969</v>
      </c>
      <c r="C3347" t="s">
        <v>7033</v>
      </c>
      <c r="D3347" t="s">
        <v>194</v>
      </c>
      <c r="E3347">
        <v>185155415</v>
      </c>
      <c r="F3347">
        <v>117470899</v>
      </c>
      <c r="G3347">
        <v>83477841</v>
      </c>
      <c r="P3347">
        <v>42</v>
      </c>
      <c r="Q3347" t="s">
        <v>7034</v>
      </c>
    </row>
    <row r="3348" spans="1:17" x14ac:dyDescent="0.3">
      <c r="A3348" t="s">
        <v>17</v>
      </c>
      <c r="B3348" t="str">
        <f>"603922"</f>
        <v>603922</v>
      </c>
      <c r="C3348" t="s">
        <v>7035</v>
      </c>
      <c r="D3348" t="s">
        <v>1321</v>
      </c>
      <c r="E3348">
        <v>185097152</v>
      </c>
      <c r="F3348">
        <v>137445091</v>
      </c>
      <c r="G3348">
        <v>179913017</v>
      </c>
      <c r="H3348">
        <v>183944036</v>
      </c>
      <c r="I3348">
        <v>349549366</v>
      </c>
      <c r="J3348">
        <v>254592781</v>
      </c>
      <c r="P3348">
        <v>54</v>
      </c>
      <c r="Q3348" t="s">
        <v>7036</v>
      </c>
    </row>
    <row r="3349" spans="1:17" x14ac:dyDescent="0.3">
      <c r="A3349" t="s">
        <v>75</v>
      </c>
      <c r="B3349" t="str">
        <f>"300776"</f>
        <v>300776</v>
      </c>
      <c r="C3349" t="s">
        <v>7037</v>
      </c>
      <c r="D3349" t="s">
        <v>2212</v>
      </c>
      <c r="E3349">
        <v>185070165</v>
      </c>
      <c r="F3349">
        <v>271320748</v>
      </c>
      <c r="G3349">
        <v>84736269</v>
      </c>
      <c r="H3349">
        <v>153635673</v>
      </c>
      <c r="I3349">
        <v>63062080</v>
      </c>
      <c r="P3349">
        <v>397</v>
      </c>
      <c r="Q3349" t="s">
        <v>7038</v>
      </c>
    </row>
    <row r="3350" spans="1:17" x14ac:dyDescent="0.3">
      <c r="A3350" t="s">
        <v>75</v>
      </c>
      <c r="B3350" t="str">
        <f>"300749"</f>
        <v>300749</v>
      </c>
      <c r="C3350" t="s">
        <v>7039</v>
      </c>
      <c r="D3350" t="s">
        <v>1004</v>
      </c>
      <c r="E3350">
        <v>184654854</v>
      </c>
      <c r="F3350">
        <v>169413040</v>
      </c>
      <c r="G3350">
        <v>64726287</v>
      </c>
      <c r="H3350">
        <v>114585951</v>
      </c>
      <c r="I3350">
        <v>140933907</v>
      </c>
      <c r="P3350">
        <v>97</v>
      </c>
      <c r="Q3350" t="s">
        <v>7040</v>
      </c>
    </row>
    <row r="3351" spans="1:17" x14ac:dyDescent="0.3">
      <c r="A3351" t="s">
        <v>17</v>
      </c>
      <c r="B3351" t="str">
        <f>"603566"</f>
        <v>603566</v>
      </c>
      <c r="C3351" t="s">
        <v>7041</v>
      </c>
      <c r="D3351" t="s">
        <v>3609</v>
      </c>
      <c r="E3351">
        <v>184493225</v>
      </c>
      <c r="F3351">
        <v>224823409</v>
      </c>
      <c r="G3351">
        <v>154487312</v>
      </c>
      <c r="H3351">
        <v>108394016</v>
      </c>
      <c r="I3351">
        <v>93733019</v>
      </c>
      <c r="J3351">
        <v>99998502</v>
      </c>
      <c r="K3351">
        <v>86932230</v>
      </c>
      <c r="L3351">
        <v>0</v>
      </c>
      <c r="M3351">
        <v>0</v>
      </c>
      <c r="P3351">
        <v>233</v>
      </c>
      <c r="Q3351" t="s">
        <v>7042</v>
      </c>
    </row>
    <row r="3352" spans="1:17" x14ac:dyDescent="0.3">
      <c r="A3352" t="s">
        <v>75</v>
      </c>
      <c r="B3352" t="str">
        <f>"002671"</f>
        <v>002671</v>
      </c>
      <c r="C3352" t="s">
        <v>7043</v>
      </c>
      <c r="D3352" t="s">
        <v>2242</v>
      </c>
      <c r="E3352">
        <v>184254265</v>
      </c>
      <c r="F3352">
        <v>126320963</v>
      </c>
      <c r="G3352">
        <v>121040488</v>
      </c>
      <c r="H3352">
        <v>153380749</v>
      </c>
      <c r="I3352">
        <v>325142540</v>
      </c>
      <c r="J3352">
        <v>297496333</v>
      </c>
      <c r="K3352">
        <v>88528960</v>
      </c>
      <c r="L3352">
        <v>70633077</v>
      </c>
      <c r="M3352">
        <v>103644471</v>
      </c>
      <c r="N3352">
        <v>132433768</v>
      </c>
      <c r="O3352">
        <v>117899835</v>
      </c>
      <c r="P3352">
        <v>68</v>
      </c>
      <c r="Q3352" t="s">
        <v>7044</v>
      </c>
    </row>
    <row r="3353" spans="1:17" x14ac:dyDescent="0.3">
      <c r="A3353" t="s">
        <v>75</v>
      </c>
      <c r="B3353" t="str">
        <f>"300318"</f>
        <v>300318</v>
      </c>
      <c r="C3353" t="s">
        <v>7045</v>
      </c>
      <c r="D3353" t="s">
        <v>967</v>
      </c>
      <c r="E3353">
        <v>183767004</v>
      </c>
      <c r="F3353">
        <v>187002594</v>
      </c>
      <c r="G3353">
        <v>155099312</v>
      </c>
      <c r="H3353">
        <v>149477336</v>
      </c>
      <c r="I3353">
        <v>116138931</v>
      </c>
      <c r="J3353">
        <v>91281782</v>
      </c>
      <c r="K3353">
        <v>59633059</v>
      </c>
      <c r="L3353">
        <v>20868424</v>
      </c>
      <c r="M3353">
        <v>20730731</v>
      </c>
      <c r="N3353">
        <v>20307097</v>
      </c>
      <c r="O3353">
        <v>18227071</v>
      </c>
      <c r="P3353">
        <v>144</v>
      </c>
      <c r="Q3353" t="s">
        <v>7046</v>
      </c>
    </row>
    <row r="3354" spans="1:17" x14ac:dyDescent="0.3">
      <c r="A3354" t="s">
        <v>75</v>
      </c>
      <c r="B3354" t="str">
        <f>"300311"</f>
        <v>300311</v>
      </c>
      <c r="C3354" t="s">
        <v>7047</v>
      </c>
      <c r="D3354" t="s">
        <v>989</v>
      </c>
      <c r="E3354">
        <v>183741256</v>
      </c>
      <c r="F3354">
        <v>233882312</v>
      </c>
      <c r="G3354">
        <v>149703567</v>
      </c>
      <c r="H3354">
        <v>202383205</v>
      </c>
      <c r="I3354">
        <v>249611480</v>
      </c>
      <c r="J3354">
        <v>199351321</v>
      </c>
      <c r="K3354">
        <v>83019109</v>
      </c>
      <c r="L3354">
        <v>22060143</v>
      </c>
      <c r="M3354">
        <v>21857934</v>
      </c>
      <c r="N3354">
        <v>50680614</v>
      </c>
      <c r="O3354">
        <v>20038660</v>
      </c>
      <c r="P3354">
        <v>161</v>
      </c>
      <c r="Q3354" t="s">
        <v>7048</v>
      </c>
    </row>
    <row r="3355" spans="1:17" x14ac:dyDescent="0.3">
      <c r="A3355" t="s">
        <v>75</v>
      </c>
      <c r="B3355" t="str">
        <f>"300048"</f>
        <v>300048</v>
      </c>
      <c r="C3355" t="s">
        <v>7049</v>
      </c>
      <c r="D3355" t="s">
        <v>1352</v>
      </c>
      <c r="E3355">
        <v>183633805</v>
      </c>
      <c r="F3355">
        <v>157916699</v>
      </c>
      <c r="G3355">
        <v>151183429</v>
      </c>
      <c r="H3355">
        <v>185859971</v>
      </c>
      <c r="I3355">
        <v>133254365</v>
      </c>
      <c r="J3355">
        <v>132835039</v>
      </c>
      <c r="K3355">
        <v>111566391</v>
      </c>
      <c r="L3355">
        <v>71376881</v>
      </c>
      <c r="M3355">
        <v>69809774</v>
      </c>
      <c r="N3355">
        <v>75869008</v>
      </c>
      <c r="O3355">
        <v>60827517</v>
      </c>
      <c r="P3355">
        <v>119</v>
      </c>
      <c r="Q3355" t="s">
        <v>7050</v>
      </c>
    </row>
    <row r="3356" spans="1:17" x14ac:dyDescent="0.3">
      <c r="A3356" t="s">
        <v>75</v>
      </c>
      <c r="B3356" t="str">
        <f>"300353"</f>
        <v>300353</v>
      </c>
      <c r="C3356" t="s">
        <v>7051</v>
      </c>
      <c r="D3356" t="s">
        <v>4225</v>
      </c>
      <c r="E3356">
        <v>183317000</v>
      </c>
      <c r="F3356">
        <v>217495348</v>
      </c>
      <c r="G3356">
        <v>162069683</v>
      </c>
      <c r="H3356">
        <v>238649749</v>
      </c>
      <c r="I3356">
        <v>174820802</v>
      </c>
      <c r="J3356">
        <v>147865604</v>
      </c>
      <c r="K3356">
        <v>109988607</v>
      </c>
      <c r="L3356">
        <v>57732548</v>
      </c>
      <c r="M3356">
        <v>39041623</v>
      </c>
      <c r="N3356">
        <v>27760433</v>
      </c>
      <c r="O3356">
        <v>31680230</v>
      </c>
      <c r="P3356">
        <v>3033</v>
      </c>
      <c r="Q3356" t="s">
        <v>7052</v>
      </c>
    </row>
    <row r="3357" spans="1:17" x14ac:dyDescent="0.3">
      <c r="A3357" t="s">
        <v>75</v>
      </c>
      <c r="B3357" t="str">
        <f>"300893"</f>
        <v>300893</v>
      </c>
      <c r="C3357" t="s">
        <v>7053</v>
      </c>
      <c r="D3357" t="s">
        <v>1321</v>
      </c>
      <c r="E3357">
        <v>183213013</v>
      </c>
      <c r="F3357">
        <v>152717024</v>
      </c>
      <c r="G3357">
        <v>106475778</v>
      </c>
      <c r="H3357">
        <v>72253711</v>
      </c>
      <c r="P3357">
        <v>48</v>
      </c>
      <c r="Q3357" t="s">
        <v>7054</v>
      </c>
    </row>
    <row r="3358" spans="1:17" x14ac:dyDescent="0.3">
      <c r="A3358" t="s">
        <v>75</v>
      </c>
      <c r="B3358" t="str">
        <f>"300183"</f>
        <v>300183</v>
      </c>
      <c r="C3358" t="s">
        <v>7055</v>
      </c>
      <c r="D3358" t="s">
        <v>4225</v>
      </c>
      <c r="E3358">
        <v>183105109</v>
      </c>
      <c r="F3358">
        <v>220178531</v>
      </c>
      <c r="G3358">
        <v>263641234</v>
      </c>
      <c r="H3358">
        <v>270561547</v>
      </c>
      <c r="I3358">
        <v>241956989</v>
      </c>
      <c r="J3358">
        <v>258584975</v>
      </c>
      <c r="K3358">
        <v>211376452</v>
      </c>
      <c r="L3358">
        <v>172999574</v>
      </c>
      <c r="M3358">
        <v>122216606</v>
      </c>
      <c r="N3358">
        <v>97804015</v>
      </c>
      <c r="O3358">
        <v>89346222</v>
      </c>
      <c r="P3358">
        <v>276</v>
      </c>
      <c r="Q3358" t="s">
        <v>7056</v>
      </c>
    </row>
    <row r="3359" spans="1:17" x14ac:dyDescent="0.3">
      <c r="A3359" t="s">
        <v>75</v>
      </c>
      <c r="B3359" t="str">
        <f>"300967"</f>
        <v>300967</v>
      </c>
      <c r="C3359" t="s">
        <v>7057</v>
      </c>
      <c r="D3359" t="s">
        <v>1200</v>
      </c>
      <c r="E3359">
        <v>182929330</v>
      </c>
      <c r="F3359">
        <v>154737012</v>
      </c>
      <c r="G3359">
        <v>132029464</v>
      </c>
      <c r="P3359">
        <v>34</v>
      </c>
      <c r="Q3359" t="s">
        <v>7058</v>
      </c>
    </row>
    <row r="3360" spans="1:17" x14ac:dyDescent="0.3">
      <c r="A3360" t="s">
        <v>17</v>
      </c>
      <c r="B3360" t="str">
        <f>"688102"</f>
        <v>688102</v>
      </c>
      <c r="C3360" t="s">
        <v>7059</v>
      </c>
      <c r="E3360">
        <v>182582140</v>
      </c>
      <c r="P3360">
        <v>3</v>
      </c>
      <c r="Q3360" t="s">
        <v>7060</v>
      </c>
    </row>
    <row r="3361" spans="1:17" x14ac:dyDescent="0.3">
      <c r="A3361" t="s">
        <v>75</v>
      </c>
      <c r="B3361" t="str">
        <f>"002195"</f>
        <v>002195</v>
      </c>
      <c r="C3361" t="s">
        <v>7061</v>
      </c>
      <c r="D3361" t="s">
        <v>224</v>
      </c>
      <c r="E3361">
        <v>182113520</v>
      </c>
      <c r="F3361">
        <v>267841792</v>
      </c>
      <c r="G3361">
        <v>359483958</v>
      </c>
      <c r="H3361">
        <v>1218767210</v>
      </c>
      <c r="I3361">
        <v>522338595</v>
      </c>
      <c r="J3361">
        <v>429757001</v>
      </c>
      <c r="K3361">
        <v>397425815</v>
      </c>
      <c r="L3361">
        <v>310495495</v>
      </c>
      <c r="M3361">
        <v>103194897</v>
      </c>
      <c r="N3361">
        <v>100986698</v>
      </c>
      <c r="O3361">
        <v>107769951</v>
      </c>
      <c r="P3361">
        <v>558</v>
      </c>
      <c r="Q3361" t="s">
        <v>7062</v>
      </c>
    </row>
    <row r="3362" spans="1:17" x14ac:dyDescent="0.3">
      <c r="A3362" t="s">
        <v>75</v>
      </c>
      <c r="B3362" t="str">
        <f>"300868"</f>
        <v>300868</v>
      </c>
      <c r="C3362" t="s">
        <v>7063</v>
      </c>
      <c r="D3362" t="s">
        <v>221</v>
      </c>
      <c r="E3362">
        <v>182054993</v>
      </c>
      <c r="F3362">
        <v>218562201</v>
      </c>
      <c r="G3362">
        <v>203487812</v>
      </c>
      <c r="H3362">
        <v>0</v>
      </c>
      <c r="P3362">
        <v>40</v>
      </c>
      <c r="Q3362" t="s">
        <v>7064</v>
      </c>
    </row>
    <row r="3363" spans="1:17" x14ac:dyDescent="0.3">
      <c r="A3363" t="s">
        <v>75</v>
      </c>
      <c r="B3363" t="str">
        <f>"002980"</f>
        <v>002980</v>
      </c>
      <c r="C3363" t="s">
        <v>7065</v>
      </c>
      <c r="D3363" t="s">
        <v>2251</v>
      </c>
      <c r="E3363">
        <v>182032067</v>
      </c>
      <c r="F3363">
        <v>191235612</v>
      </c>
      <c r="G3363">
        <v>307358133</v>
      </c>
      <c r="H3363">
        <v>114527008</v>
      </c>
      <c r="P3363">
        <v>154</v>
      </c>
      <c r="Q3363" t="s">
        <v>7066</v>
      </c>
    </row>
    <row r="3364" spans="1:17" x14ac:dyDescent="0.3">
      <c r="A3364" t="s">
        <v>75</v>
      </c>
      <c r="B3364" t="str">
        <f>"301086"</f>
        <v>301086</v>
      </c>
      <c r="C3364" t="s">
        <v>7067</v>
      </c>
      <c r="D3364" t="s">
        <v>55</v>
      </c>
      <c r="E3364">
        <v>181987760</v>
      </c>
      <c r="F3364">
        <v>188600802</v>
      </c>
      <c r="P3364">
        <v>28</v>
      </c>
      <c r="Q3364" t="s">
        <v>7068</v>
      </c>
    </row>
    <row r="3365" spans="1:17" x14ac:dyDescent="0.3">
      <c r="A3365" t="s">
        <v>75</v>
      </c>
      <c r="B3365" t="str">
        <f>"300706"</f>
        <v>300706</v>
      </c>
      <c r="C3365" t="s">
        <v>7069</v>
      </c>
      <c r="D3365" t="s">
        <v>489</v>
      </c>
      <c r="E3365">
        <v>181887414</v>
      </c>
      <c r="F3365">
        <v>111457434</v>
      </c>
      <c r="G3365">
        <v>53189445</v>
      </c>
      <c r="H3365">
        <v>46539762</v>
      </c>
      <c r="I3365">
        <v>48824099</v>
      </c>
      <c r="J3365">
        <v>31571299</v>
      </c>
      <c r="P3365">
        <v>178</v>
      </c>
      <c r="Q3365" t="s">
        <v>7070</v>
      </c>
    </row>
    <row r="3366" spans="1:17" x14ac:dyDescent="0.3">
      <c r="A3366" t="s">
        <v>17</v>
      </c>
      <c r="B3366" t="str">
        <f>"600571"</f>
        <v>600571</v>
      </c>
      <c r="C3366" t="s">
        <v>7071</v>
      </c>
      <c r="D3366" t="s">
        <v>224</v>
      </c>
      <c r="E3366">
        <v>181807021</v>
      </c>
      <c r="F3366">
        <v>168888251</v>
      </c>
      <c r="G3366">
        <v>101953616</v>
      </c>
      <c r="H3366">
        <v>156460134</v>
      </c>
      <c r="I3366">
        <v>144669321</v>
      </c>
      <c r="J3366">
        <v>134726057</v>
      </c>
      <c r="K3366">
        <v>153746857</v>
      </c>
      <c r="L3366">
        <v>92076280</v>
      </c>
      <c r="M3366">
        <v>139128272</v>
      </c>
      <c r="N3366">
        <v>118527230</v>
      </c>
      <c r="O3366">
        <v>76655978</v>
      </c>
      <c r="P3366">
        <v>155</v>
      </c>
      <c r="Q3366" t="s">
        <v>7072</v>
      </c>
    </row>
    <row r="3367" spans="1:17" x14ac:dyDescent="0.3">
      <c r="A3367" t="s">
        <v>17</v>
      </c>
      <c r="B3367" t="str">
        <f>"605178"</f>
        <v>605178</v>
      </c>
      <c r="C3367" t="s">
        <v>7073</v>
      </c>
      <c r="D3367" t="s">
        <v>707</v>
      </c>
      <c r="E3367">
        <v>181778193</v>
      </c>
      <c r="F3367">
        <v>98314943</v>
      </c>
      <c r="G3367">
        <v>120301079</v>
      </c>
      <c r="H3367">
        <v>166698540</v>
      </c>
      <c r="P3367">
        <v>49</v>
      </c>
      <c r="Q3367" t="s">
        <v>7074</v>
      </c>
    </row>
    <row r="3368" spans="1:17" x14ac:dyDescent="0.3">
      <c r="A3368" t="s">
        <v>75</v>
      </c>
      <c r="B3368" t="str">
        <f>"300869"</f>
        <v>300869</v>
      </c>
      <c r="C3368" t="s">
        <v>7075</v>
      </c>
      <c r="D3368" t="s">
        <v>334</v>
      </c>
      <c r="E3368">
        <v>181460133</v>
      </c>
      <c r="F3368">
        <v>246987416</v>
      </c>
      <c r="G3368">
        <v>221703237</v>
      </c>
      <c r="P3368">
        <v>174</v>
      </c>
      <c r="Q3368" t="s">
        <v>7076</v>
      </c>
    </row>
    <row r="3369" spans="1:17" x14ac:dyDescent="0.3">
      <c r="A3369" t="s">
        <v>75</v>
      </c>
      <c r="B3369" t="str">
        <f>"002591"</f>
        <v>002591</v>
      </c>
      <c r="C3369" t="s">
        <v>7077</v>
      </c>
      <c r="D3369" t="s">
        <v>622</v>
      </c>
      <c r="E3369">
        <v>181341692</v>
      </c>
      <c r="F3369">
        <v>218800473</v>
      </c>
      <c r="G3369">
        <v>128625774</v>
      </c>
      <c r="H3369">
        <v>145520099</v>
      </c>
      <c r="I3369">
        <v>74479174</v>
      </c>
      <c r="J3369">
        <v>34715936</v>
      </c>
      <c r="K3369">
        <v>33850805</v>
      </c>
      <c r="L3369">
        <v>54912931</v>
      </c>
      <c r="M3369">
        <v>41451525</v>
      </c>
      <c r="N3369">
        <v>44912914</v>
      </c>
      <c r="O3369">
        <v>55779876</v>
      </c>
      <c r="P3369">
        <v>113</v>
      </c>
      <c r="Q3369" t="s">
        <v>7078</v>
      </c>
    </row>
    <row r="3370" spans="1:17" x14ac:dyDescent="0.3">
      <c r="A3370" t="s">
        <v>75</v>
      </c>
      <c r="B3370" t="str">
        <f>"002213"</f>
        <v>002213</v>
      </c>
      <c r="C3370" t="s">
        <v>7079</v>
      </c>
      <c r="D3370" t="s">
        <v>172</v>
      </c>
      <c r="E3370">
        <v>181278215</v>
      </c>
      <c r="F3370">
        <v>141423154</v>
      </c>
      <c r="G3370">
        <v>73855680</v>
      </c>
      <c r="H3370">
        <v>25810473</v>
      </c>
      <c r="I3370">
        <v>38167555</v>
      </c>
      <c r="J3370">
        <v>32780574</v>
      </c>
      <c r="K3370">
        <v>47678284</v>
      </c>
      <c r="L3370">
        <v>60112346</v>
      </c>
      <c r="M3370">
        <v>15139537</v>
      </c>
      <c r="N3370">
        <v>71033439</v>
      </c>
      <c r="O3370">
        <v>77049460</v>
      </c>
      <c r="P3370">
        <v>90</v>
      </c>
      <c r="Q3370" t="s">
        <v>7080</v>
      </c>
    </row>
    <row r="3371" spans="1:17" x14ac:dyDescent="0.3">
      <c r="A3371" t="s">
        <v>75</v>
      </c>
      <c r="B3371" t="str">
        <f>"002915"</f>
        <v>002915</v>
      </c>
      <c r="C3371" t="s">
        <v>7081</v>
      </c>
      <c r="D3371" t="s">
        <v>946</v>
      </c>
      <c r="E3371">
        <v>180890069</v>
      </c>
      <c r="F3371">
        <v>130687419</v>
      </c>
      <c r="G3371">
        <v>172274898</v>
      </c>
      <c r="H3371">
        <v>29364938</v>
      </c>
      <c r="I3371">
        <v>17145996</v>
      </c>
      <c r="J3371">
        <v>5210617</v>
      </c>
      <c r="P3371">
        <v>90</v>
      </c>
      <c r="Q3371" t="s">
        <v>7082</v>
      </c>
    </row>
    <row r="3372" spans="1:17" x14ac:dyDescent="0.3">
      <c r="A3372" t="s">
        <v>75</v>
      </c>
      <c r="B3372" t="str">
        <f>"300578"</f>
        <v>300578</v>
      </c>
      <c r="C3372" t="s">
        <v>7083</v>
      </c>
      <c r="D3372" t="s">
        <v>3310</v>
      </c>
      <c r="E3372">
        <v>180790863</v>
      </c>
      <c r="F3372">
        <v>200179910</v>
      </c>
      <c r="G3372">
        <v>119024821</v>
      </c>
      <c r="H3372">
        <v>110005759</v>
      </c>
      <c r="I3372">
        <v>73567691</v>
      </c>
      <c r="J3372">
        <v>58970863</v>
      </c>
      <c r="K3372">
        <v>59174200</v>
      </c>
      <c r="P3372">
        <v>305</v>
      </c>
      <c r="Q3372" t="s">
        <v>7084</v>
      </c>
    </row>
    <row r="3373" spans="1:17" x14ac:dyDescent="0.3">
      <c r="A3373" t="s">
        <v>75</v>
      </c>
      <c r="B3373" t="str">
        <f>"300631"</f>
        <v>300631</v>
      </c>
      <c r="C3373" t="s">
        <v>7085</v>
      </c>
      <c r="D3373" t="s">
        <v>1642</v>
      </c>
      <c r="E3373">
        <v>180709958</v>
      </c>
      <c r="F3373">
        <v>158560577</v>
      </c>
      <c r="G3373">
        <v>101609962</v>
      </c>
      <c r="H3373">
        <v>71756666</v>
      </c>
      <c r="I3373">
        <v>77430001</v>
      </c>
      <c r="J3373">
        <v>22370871</v>
      </c>
      <c r="K3373">
        <v>46338034</v>
      </c>
      <c r="P3373">
        <v>135</v>
      </c>
      <c r="Q3373" t="s">
        <v>7086</v>
      </c>
    </row>
    <row r="3374" spans="1:17" x14ac:dyDescent="0.3">
      <c r="A3374" t="s">
        <v>17</v>
      </c>
      <c r="B3374" t="str">
        <f>"688678"</f>
        <v>688678</v>
      </c>
      <c r="C3374" t="s">
        <v>7087</v>
      </c>
      <c r="D3374" t="s">
        <v>55</v>
      </c>
      <c r="E3374">
        <v>180592542</v>
      </c>
      <c r="F3374">
        <v>144253432</v>
      </c>
      <c r="G3374">
        <v>139262677</v>
      </c>
      <c r="H3374">
        <v>0</v>
      </c>
      <c r="P3374">
        <v>29</v>
      </c>
      <c r="Q3374" t="s">
        <v>7088</v>
      </c>
    </row>
    <row r="3375" spans="1:17" x14ac:dyDescent="0.3">
      <c r="A3375" t="s">
        <v>75</v>
      </c>
      <c r="B3375" t="str">
        <f>"000962"</f>
        <v>000962</v>
      </c>
      <c r="C3375" t="s">
        <v>7089</v>
      </c>
      <c r="D3375" t="s">
        <v>364</v>
      </c>
      <c r="E3375">
        <v>180346841</v>
      </c>
      <c r="F3375">
        <v>127763535</v>
      </c>
      <c r="G3375">
        <v>128790185</v>
      </c>
      <c r="H3375">
        <v>178996607</v>
      </c>
      <c r="I3375">
        <v>164471655</v>
      </c>
      <c r="J3375">
        <v>244321462</v>
      </c>
      <c r="K3375">
        <v>172462787</v>
      </c>
      <c r="L3375">
        <v>253563978</v>
      </c>
      <c r="M3375">
        <v>453262158</v>
      </c>
      <c r="N3375">
        <v>378147795</v>
      </c>
      <c r="O3375">
        <v>294551817</v>
      </c>
      <c r="P3375">
        <v>131</v>
      </c>
      <c r="Q3375" t="s">
        <v>7090</v>
      </c>
    </row>
    <row r="3376" spans="1:17" x14ac:dyDescent="0.3">
      <c r="A3376" t="s">
        <v>17</v>
      </c>
      <c r="B3376" t="str">
        <f>"600818"</f>
        <v>600818</v>
      </c>
      <c r="C3376" t="s">
        <v>7091</v>
      </c>
      <c r="D3376" t="s">
        <v>1457</v>
      </c>
      <c r="E3376">
        <v>180111336</v>
      </c>
      <c r="F3376">
        <v>136357016</v>
      </c>
      <c r="G3376">
        <v>100368538</v>
      </c>
      <c r="H3376">
        <v>126330602</v>
      </c>
      <c r="I3376">
        <v>103633939</v>
      </c>
      <c r="J3376">
        <v>115315623</v>
      </c>
      <c r="K3376">
        <v>126067618</v>
      </c>
      <c r="L3376">
        <v>127102601</v>
      </c>
      <c r="M3376">
        <v>142286576</v>
      </c>
      <c r="N3376">
        <v>123650623</v>
      </c>
      <c r="O3376">
        <v>123116784</v>
      </c>
      <c r="P3376">
        <v>82</v>
      </c>
      <c r="Q3376" t="s">
        <v>7092</v>
      </c>
    </row>
    <row r="3377" spans="1:17" x14ac:dyDescent="0.3">
      <c r="A3377" t="s">
        <v>75</v>
      </c>
      <c r="B3377" t="str">
        <f>"001207"</f>
        <v>001207</v>
      </c>
      <c r="C3377" t="s">
        <v>7093</v>
      </c>
      <c r="D3377" t="s">
        <v>4065</v>
      </c>
      <c r="E3377">
        <v>179978976</v>
      </c>
      <c r="F3377">
        <v>190139593</v>
      </c>
      <c r="G3377">
        <v>145297421</v>
      </c>
      <c r="P3377">
        <v>25</v>
      </c>
      <c r="Q3377" t="s">
        <v>7094</v>
      </c>
    </row>
    <row r="3378" spans="1:17" x14ac:dyDescent="0.3">
      <c r="A3378" t="s">
        <v>75</v>
      </c>
      <c r="B3378" t="str">
        <f>"002224"</f>
        <v>002224</v>
      </c>
      <c r="C3378" t="s">
        <v>7095</v>
      </c>
      <c r="D3378" t="s">
        <v>3349</v>
      </c>
      <c r="E3378">
        <v>179783138</v>
      </c>
      <c r="F3378">
        <v>164291952</v>
      </c>
      <c r="G3378">
        <v>57860426</v>
      </c>
      <c r="H3378">
        <v>127643764</v>
      </c>
      <c r="I3378">
        <v>173703375</v>
      </c>
      <c r="J3378">
        <v>150660531</v>
      </c>
      <c r="K3378">
        <v>133833464</v>
      </c>
      <c r="L3378">
        <v>179531709</v>
      </c>
      <c r="M3378">
        <v>182998485</v>
      </c>
      <c r="N3378">
        <v>153976747</v>
      </c>
      <c r="O3378">
        <v>150872007</v>
      </c>
      <c r="P3378">
        <v>186</v>
      </c>
      <c r="Q3378" t="s">
        <v>7096</v>
      </c>
    </row>
    <row r="3379" spans="1:17" x14ac:dyDescent="0.3">
      <c r="A3379" t="s">
        <v>17</v>
      </c>
      <c r="B3379" t="str">
        <f>"688032"</f>
        <v>688032</v>
      </c>
      <c r="C3379" t="s">
        <v>7097</v>
      </c>
      <c r="D3379" t="s">
        <v>862</v>
      </c>
      <c r="E3379">
        <v>179704707</v>
      </c>
      <c r="P3379">
        <v>31</v>
      </c>
      <c r="Q3379" t="s">
        <v>7098</v>
      </c>
    </row>
    <row r="3380" spans="1:17" x14ac:dyDescent="0.3">
      <c r="A3380" t="s">
        <v>75</v>
      </c>
      <c r="B3380" t="str">
        <f>"000777"</f>
        <v>000777</v>
      </c>
      <c r="C3380" t="s">
        <v>7099</v>
      </c>
      <c r="D3380" t="s">
        <v>153</v>
      </c>
      <c r="E3380">
        <v>179575746</v>
      </c>
      <c r="F3380">
        <v>278242284</v>
      </c>
      <c r="G3380">
        <v>185778450</v>
      </c>
      <c r="H3380">
        <v>170987186</v>
      </c>
      <c r="I3380">
        <v>109573003</v>
      </c>
      <c r="J3380">
        <v>181200068</v>
      </c>
      <c r="K3380">
        <v>157588006</v>
      </c>
      <c r="L3380">
        <v>150811757</v>
      </c>
      <c r="M3380">
        <v>142259201</v>
      </c>
      <c r="N3380">
        <v>183521218</v>
      </c>
      <c r="O3380">
        <v>108336446</v>
      </c>
      <c r="P3380">
        <v>131</v>
      </c>
      <c r="Q3380" t="s">
        <v>7100</v>
      </c>
    </row>
    <row r="3381" spans="1:17" x14ac:dyDescent="0.3">
      <c r="A3381" t="s">
        <v>17</v>
      </c>
      <c r="B3381" t="str">
        <f>"605566"</f>
        <v>605566</v>
      </c>
      <c r="C3381" t="s">
        <v>7101</v>
      </c>
      <c r="D3381" t="s">
        <v>1160</v>
      </c>
      <c r="E3381">
        <v>179187232</v>
      </c>
      <c r="P3381">
        <v>22</v>
      </c>
      <c r="Q3381" t="s">
        <v>7102</v>
      </c>
    </row>
    <row r="3382" spans="1:17" x14ac:dyDescent="0.3">
      <c r="A3382" t="s">
        <v>75</v>
      </c>
      <c r="B3382" t="str">
        <f>"300617"</f>
        <v>300617</v>
      </c>
      <c r="C3382" t="s">
        <v>7103</v>
      </c>
      <c r="D3382" t="s">
        <v>562</v>
      </c>
      <c r="E3382">
        <v>179153697</v>
      </c>
      <c r="F3382">
        <v>142583634</v>
      </c>
      <c r="G3382">
        <v>107713597</v>
      </c>
      <c r="H3382">
        <v>109939466</v>
      </c>
      <c r="I3382">
        <v>69287333</v>
      </c>
      <c r="J3382">
        <v>74287607</v>
      </c>
      <c r="K3382">
        <v>93296341</v>
      </c>
      <c r="P3382">
        <v>148</v>
      </c>
      <c r="Q3382" t="s">
        <v>7104</v>
      </c>
    </row>
    <row r="3383" spans="1:17" x14ac:dyDescent="0.3">
      <c r="A3383" t="s">
        <v>75</v>
      </c>
      <c r="B3383" t="str">
        <f>"301008"</f>
        <v>301008</v>
      </c>
      <c r="C3383" t="s">
        <v>7105</v>
      </c>
      <c r="D3383" t="s">
        <v>1063</v>
      </c>
      <c r="E3383">
        <v>179099001</v>
      </c>
      <c r="F3383">
        <v>131755571</v>
      </c>
      <c r="G3383">
        <v>103885256</v>
      </c>
      <c r="P3383">
        <v>36</v>
      </c>
      <c r="Q3383" t="s">
        <v>7106</v>
      </c>
    </row>
    <row r="3384" spans="1:17" x14ac:dyDescent="0.3">
      <c r="A3384" t="s">
        <v>75</v>
      </c>
      <c r="B3384" t="str">
        <f>"300517"</f>
        <v>300517</v>
      </c>
      <c r="C3384" t="s">
        <v>7107</v>
      </c>
      <c r="D3384" t="s">
        <v>1028</v>
      </c>
      <c r="E3384">
        <v>178978133</v>
      </c>
      <c r="F3384">
        <v>204677325</v>
      </c>
      <c r="G3384">
        <v>199334446</v>
      </c>
      <c r="H3384">
        <v>185057391</v>
      </c>
      <c r="I3384">
        <v>89297153</v>
      </c>
      <c r="J3384">
        <v>67411508</v>
      </c>
      <c r="K3384">
        <v>86646051</v>
      </c>
      <c r="L3384">
        <v>104502605</v>
      </c>
      <c r="P3384">
        <v>76</v>
      </c>
      <c r="Q3384" t="s">
        <v>7108</v>
      </c>
    </row>
    <row r="3385" spans="1:17" x14ac:dyDescent="0.3">
      <c r="A3385" t="s">
        <v>75</v>
      </c>
      <c r="B3385" t="str">
        <f>"300927"</f>
        <v>300927</v>
      </c>
      <c r="C3385" t="s">
        <v>7109</v>
      </c>
      <c r="D3385" t="s">
        <v>1759</v>
      </c>
      <c r="E3385">
        <v>178927228</v>
      </c>
      <c r="F3385">
        <v>119612477</v>
      </c>
      <c r="G3385">
        <v>98062114</v>
      </c>
      <c r="P3385">
        <v>44</v>
      </c>
      <c r="Q3385" t="s">
        <v>7110</v>
      </c>
    </row>
    <row r="3386" spans="1:17" x14ac:dyDescent="0.3">
      <c r="A3386" t="s">
        <v>75</v>
      </c>
      <c r="B3386" t="str">
        <f>"300440"</f>
        <v>300440</v>
      </c>
      <c r="C3386" t="s">
        <v>7111</v>
      </c>
      <c r="D3386" t="s">
        <v>224</v>
      </c>
      <c r="E3386">
        <v>178662911</v>
      </c>
      <c r="F3386">
        <v>122345949</v>
      </c>
      <c r="G3386">
        <v>265900012</v>
      </c>
      <c r="H3386">
        <v>128767160</v>
      </c>
      <c r="I3386">
        <v>94561837</v>
      </c>
      <c r="J3386">
        <v>115534413</v>
      </c>
      <c r="K3386">
        <v>149386687</v>
      </c>
      <c r="L3386">
        <v>87974251</v>
      </c>
      <c r="M3386">
        <v>91559191</v>
      </c>
      <c r="P3386">
        <v>151</v>
      </c>
      <c r="Q3386" t="s">
        <v>7112</v>
      </c>
    </row>
    <row r="3387" spans="1:17" x14ac:dyDescent="0.3">
      <c r="A3387" t="s">
        <v>75</v>
      </c>
      <c r="B3387" t="str">
        <f>"002880"</f>
        <v>002880</v>
      </c>
      <c r="C3387" t="s">
        <v>7113</v>
      </c>
      <c r="D3387" t="s">
        <v>2314</v>
      </c>
      <c r="E3387">
        <v>178617594</v>
      </c>
      <c r="F3387">
        <v>199996374</v>
      </c>
      <c r="G3387">
        <v>199357599</v>
      </c>
      <c r="H3387">
        <v>156652391</v>
      </c>
      <c r="I3387">
        <v>107440407</v>
      </c>
      <c r="J3387">
        <v>138040702</v>
      </c>
      <c r="P3387">
        <v>214</v>
      </c>
      <c r="Q3387" t="s">
        <v>7114</v>
      </c>
    </row>
    <row r="3388" spans="1:17" x14ac:dyDescent="0.3">
      <c r="A3388" t="s">
        <v>17</v>
      </c>
      <c r="B3388" t="str">
        <f>"600861"</f>
        <v>600861</v>
      </c>
      <c r="C3388" t="s">
        <v>7115</v>
      </c>
      <c r="D3388" t="s">
        <v>359</v>
      </c>
      <c r="E3388">
        <v>178467865</v>
      </c>
      <c r="F3388">
        <v>219818484</v>
      </c>
      <c r="G3388">
        <v>343410294</v>
      </c>
      <c r="H3388">
        <v>572330650</v>
      </c>
      <c r="I3388">
        <v>547019389</v>
      </c>
      <c r="J3388">
        <v>687453198</v>
      </c>
      <c r="K3388">
        <v>603149398</v>
      </c>
      <c r="L3388">
        <v>653028330</v>
      </c>
      <c r="M3388">
        <v>1054827725</v>
      </c>
      <c r="N3388">
        <v>834884729</v>
      </c>
      <c r="O3388">
        <v>719233977</v>
      </c>
      <c r="P3388">
        <v>72</v>
      </c>
      <c r="Q3388" t="s">
        <v>7116</v>
      </c>
    </row>
    <row r="3389" spans="1:17" x14ac:dyDescent="0.3">
      <c r="A3389" t="s">
        <v>17</v>
      </c>
      <c r="B3389" t="str">
        <f>"688700"</f>
        <v>688700</v>
      </c>
      <c r="C3389" t="s">
        <v>7117</v>
      </c>
      <c r="D3389" t="s">
        <v>1624</v>
      </c>
      <c r="E3389">
        <v>178332575</v>
      </c>
      <c r="F3389">
        <v>121549135</v>
      </c>
      <c r="G3389">
        <v>59029678</v>
      </c>
      <c r="P3389">
        <v>34</v>
      </c>
      <c r="Q3389" t="s">
        <v>7118</v>
      </c>
    </row>
    <row r="3390" spans="1:17" x14ac:dyDescent="0.3">
      <c r="A3390" t="s">
        <v>75</v>
      </c>
      <c r="B3390" t="str">
        <f>"300970"</f>
        <v>300970</v>
      </c>
      <c r="C3390" t="s">
        <v>7119</v>
      </c>
      <c r="D3390" t="s">
        <v>4334</v>
      </c>
      <c r="E3390">
        <v>178158392</v>
      </c>
      <c r="F3390">
        <v>125743321</v>
      </c>
      <c r="G3390">
        <v>164250850</v>
      </c>
      <c r="P3390">
        <v>25</v>
      </c>
      <c r="Q3390" t="s">
        <v>7120</v>
      </c>
    </row>
    <row r="3391" spans="1:17" x14ac:dyDescent="0.3">
      <c r="A3391" t="s">
        <v>75</v>
      </c>
      <c r="B3391" t="str">
        <f>"300570"</f>
        <v>300570</v>
      </c>
      <c r="C3391" t="s">
        <v>7121</v>
      </c>
      <c r="D3391" t="s">
        <v>169</v>
      </c>
      <c r="E3391">
        <v>177949793</v>
      </c>
      <c r="F3391">
        <v>171698385</v>
      </c>
      <c r="G3391">
        <v>85385205</v>
      </c>
      <c r="H3391">
        <v>314499090</v>
      </c>
      <c r="I3391">
        <v>113867392</v>
      </c>
      <c r="J3391">
        <v>93595721</v>
      </c>
      <c r="K3391">
        <v>82314998</v>
      </c>
      <c r="P3391">
        <v>229</v>
      </c>
      <c r="Q3391" t="s">
        <v>7122</v>
      </c>
    </row>
    <row r="3392" spans="1:17" x14ac:dyDescent="0.3">
      <c r="A3392" t="s">
        <v>75</v>
      </c>
      <c r="B3392" t="str">
        <f>"301256"</f>
        <v>301256</v>
      </c>
      <c r="C3392" t="s">
        <v>7123</v>
      </c>
      <c r="E3392">
        <v>177831756</v>
      </c>
      <c r="P3392">
        <v>3</v>
      </c>
      <c r="Q3392" t="s">
        <v>7124</v>
      </c>
    </row>
    <row r="3393" spans="1:17" x14ac:dyDescent="0.3">
      <c r="A3393" t="s">
        <v>17</v>
      </c>
      <c r="B3393" t="str">
        <f>"600076"</f>
        <v>600076</v>
      </c>
      <c r="C3393" t="s">
        <v>7125</v>
      </c>
      <c r="D3393" t="s">
        <v>2153</v>
      </c>
      <c r="E3393">
        <v>177795501</v>
      </c>
      <c r="F3393">
        <v>410187529</v>
      </c>
      <c r="G3393">
        <v>177152872</v>
      </c>
      <c r="H3393">
        <v>505498230</v>
      </c>
      <c r="I3393">
        <v>641801141</v>
      </c>
      <c r="J3393">
        <v>415265142</v>
      </c>
      <c r="K3393">
        <v>269298540</v>
      </c>
      <c r="L3393">
        <v>20865642</v>
      </c>
      <c r="M3393">
        <v>7952615</v>
      </c>
      <c r="N3393">
        <v>2124266</v>
      </c>
      <c r="O3393">
        <v>1035110</v>
      </c>
      <c r="P3393">
        <v>200</v>
      </c>
      <c r="Q3393" t="s">
        <v>7126</v>
      </c>
    </row>
    <row r="3394" spans="1:17" x14ac:dyDescent="0.3">
      <c r="A3394" t="s">
        <v>75</v>
      </c>
      <c r="B3394" t="str">
        <f>"002630"</f>
        <v>002630</v>
      </c>
      <c r="C3394" t="s">
        <v>7127</v>
      </c>
      <c r="D3394" t="s">
        <v>3011</v>
      </c>
      <c r="E3394">
        <v>177680390</v>
      </c>
      <c r="F3394">
        <v>515482799</v>
      </c>
      <c r="G3394">
        <v>779386195</v>
      </c>
      <c r="H3394">
        <v>779386195</v>
      </c>
      <c r="I3394">
        <v>467916585</v>
      </c>
      <c r="J3394">
        <v>427340969</v>
      </c>
      <c r="K3394">
        <v>708547858</v>
      </c>
      <c r="L3394">
        <v>773053008</v>
      </c>
      <c r="M3394">
        <v>402699700</v>
      </c>
      <c r="N3394">
        <v>377239701</v>
      </c>
      <c r="O3394">
        <v>207736765</v>
      </c>
      <c r="P3394">
        <v>109</v>
      </c>
      <c r="Q3394" t="s">
        <v>7128</v>
      </c>
    </row>
    <row r="3395" spans="1:17" x14ac:dyDescent="0.3">
      <c r="A3395" t="s">
        <v>17</v>
      </c>
      <c r="B3395" t="str">
        <f>"600202"</f>
        <v>600202</v>
      </c>
      <c r="C3395" t="s">
        <v>7129</v>
      </c>
      <c r="D3395" t="s">
        <v>3011</v>
      </c>
      <c r="E3395">
        <v>177535599</v>
      </c>
      <c r="F3395">
        <v>101262361</v>
      </c>
      <c r="G3395">
        <v>111555462</v>
      </c>
      <c r="H3395">
        <v>268613493</v>
      </c>
      <c r="I3395">
        <v>115614378</v>
      </c>
      <c r="J3395">
        <v>167216186</v>
      </c>
      <c r="K3395">
        <v>283427713</v>
      </c>
      <c r="L3395">
        <v>211573753</v>
      </c>
      <c r="M3395">
        <v>233819603</v>
      </c>
      <c r="N3395">
        <v>291322616</v>
      </c>
      <c r="O3395">
        <v>164058448</v>
      </c>
      <c r="P3395">
        <v>76</v>
      </c>
      <c r="Q3395" t="s">
        <v>7130</v>
      </c>
    </row>
    <row r="3396" spans="1:17" x14ac:dyDescent="0.3">
      <c r="A3396" t="s">
        <v>17</v>
      </c>
      <c r="B3396" t="str">
        <f>"688628"</f>
        <v>688628</v>
      </c>
      <c r="C3396" t="s">
        <v>7131</v>
      </c>
      <c r="D3396" t="s">
        <v>2549</v>
      </c>
      <c r="E3396">
        <v>177440767</v>
      </c>
      <c r="F3396">
        <v>181569060</v>
      </c>
      <c r="G3396">
        <v>269736998</v>
      </c>
      <c r="P3396">
        <v>35</v>
      </c>
      <c r="Q3396" t="s">
        <v>7132</v>
      </c>
    </row>
    <row r="3397" spans="1:17" x14ac:dyDescent="0.3">
      <c r="A3397" t="s">
        <v>17</v>
      </c>
      <c r="B3397" t="str">
        <f>"600088"</f>
        <v>600088</v>
      </c>
      <c r="C3397" t="s">
        <v>7133</v>
      </c>
      <c r="D3397" t="s">
        <v>622</v>
      </c>
      <c r="E3397">
        <v>177314317</v>
      </c>
      <c r="F3397">
        <v>138348879</v>
      </c>
      <c r="G3397">
        <v>154172866</v>
      </c>
      <c r="H3397">
        <v>153674386</v>
      </c>
      <c r="I3397">
        <v>173527411</v>
      </c>
      <c r="J3397">
        <v>152782520</v>
      </c>
      <c r="K3397">
        <v>70813654</v>
      </c>
      <c r="L3397">
        <v>87272708</v>
      </c>
      <c r="M3397">
        <v>125477326</v>
      </c>
      <c r="N3397">
        <v>261297752</v>
      </c>
      <c r="O3397">
        <v>204558023</v>
      </c>
      <c r="P3397">
        <v>114</v>
      </c>
      <c r="Q3397" t="s">
        <v>7134</v>
      </c>
    </row>
    <row r="3398" spans="1:17" x14ac:dyDescent="0.3">
      <c r="A3398" t="s">
        <v>17</v>
      </c>
      <c r="B3398" t="str">
        <f>"600237"</f>
        <v>600237</v>
      </c>
      <c r="C3398" t="s">
        <v>7135</v>
      </c>
      <c r="D3398" t="s">
        <v>2109</v>
      </c>
      <c r="E3398">
        <v>177212620</v>
      </c>
      <c r="F3398">
        <v>163983245</v>
      </c>
      <c r="G3398">
        <v>148308154</v>
      </c>
      <c r="H3398">
        <v>154723633</v>
      </c>
      <c r="I3398">
        <v>159055904</v>
      </c>
      <c r="J3398">
        <v>148603837</v>
      </c>
      <c r="K3398">
        <v>129850047</v>
      </c>
      <c r="L3398">
        <v>226800648</v>
      </c>
      <c r="M3398">
        <v>268776433</v>
      </c>
      <c r="N3398">
        <v>252362865</v>
      </c>
      <c r="O3398">
        <v>226559822</v>
      </c>
      <c r="P3398">
        <v>152</v>
      </c>
      <c r="Q3398" t="s">
        <v>7136</v>
      </c>
    </row>
    <row r="3399" spans="1:17" x14ac:dyDescent="0.3">
      <c r="A3399" t="s">
        <v>75</v>
      </c>
      <c r="B3399" t="str">
        <f>"002040"</f>
        <v>002040</v>
      </c>
      <c r="C3399" t="s">
        <v>7137</v>
      </c>
      <c r="D3399" t="s">
        <v>383</v>
      </c>
      <c r="E3399">
        <v>177156316</v>
      </c>
      <c r="F3399">
        <v>183169572</v>
      </c>
      <c r="G3399">
        <v>147477131</v>
      </c>
      <c r="H3399">
        <v>121121402</v>
      </c>
      <c r="I3399">
        <v>123919790</v>
      </c>
      <c r="J3399">
        <v>131335561</v>
      </c>
      <c r="K3399">
        <v>27265632</v>
      </c>
      <c r="L3399">
        <v>27519201</v>
      </c>
      <c r="M3399">
        <v>28285109</v>
      </c>
      <c r="N3399">
        <v>30004919</v>
      </c>
      <c r="O3399">
        <v>38005760</v>
      </c>
      <c r="P3399">
        <v>100</v>
      </c>
      <c r="Q3399" t="s">
        <v>7138</v>
      </c>
    </row>
    <row r="3400" spans="1:17" x14ac:dyDescent="0.3">
      <c r="A3400" t="s">
        <v>75</v>
      </c>
      <c r="B3400" t="str">
        <f>"300636"</f>
        <v>300636</v>
      </c>
      <c r="C3400" t="s">
        <v>7139</v>
      </c>
      <c r="D3400" t="s">
        <v>1242</v>
      </c>
      <c r="E3400">
        <v>176974888</v>
      </c>
      <c r="F3400">
        <v>96918771</v>
      </c>
      <c r="G3400">
        <v>87110930</v>
      </c>
      <c r="H3400">
        <v>70896208</v>
      </c>
      <c r="I3400">
        <v>81466855</v>
      </c>
      <c r="J3400">
        <v>50218234</v>
      </c>
      <c r="K3400">
        <v>68333794</v>
      </c>
      <c r="P3400">
        <v>136</v>
      </c>
      <c r="Q3400" t="s">
        <v>7140</v>
      </c>
    </row>
    <row r="3401" spans="1:17" x14ac:dyDescent="0.3">
      <c r="A3401" t="s">
        <v>17</v>
      </c>
      <c r="B3401" t="str">
        <f>"605388"</f>
        <v>605388</v>
      </c>
      <c r="C3401" t="s">
        <v>7141</v>
      </c>
      <c r="D3401" t="s">
        <v>215</v>
      </c>
      <c r="E3401">
        <v>176613820</v>
      </c>
      <c r="F3401">
        <v>241858875</v>
      </c>
      <c r="G3401">
        <v>165591208</v>
      </c>
      <c r="P3401">
        <v>103</v>
      </c>
      <c r="Q3401" t="s">
        <v>7142</v>
      </c>
    </row>
    <row r="3402" spans="1:17" x14ac:dyDescent="0.3">
      <c r="A3402" t="s">
        <v>17</v>
      </c>
      <c r="B3402" t="str">
        <f>"603817"</f>
        <v>603817</v>
      </c>
      <c r="C3402" t="s">
        <v>7143</v>
      </c>
      <c r="D3402" t="s">
        <v>1107</v>
      </c>
      <c r="E3402">
        <v>176510340</v>
      </c>
      <c r="F3402">
        <v>221203798</v>
      </c>
      <c r="G3402">
        <v>301142155</v>
      </c>
      <c r="H3402">
        <v>144537151</v>
      </c>
      <c r="I3402">
        <v>91282585</v>
      </c>
      <c r="J3402">
        <v>100619290</v>
      </c>
      <c r="K3402">
        <v>123039351</v>
      </c>
      <c r="P3402">
        <v>121</v>
      </c>
      <c r="Q3402" t="s">
        <v>7144</v>
      </c>
    </row>
    <row r="3403" spans="1:17" x14ac:dyDescent="0.3">
      <c r="A3403" t="s">
        <v>17</v>
      </c>
      <c r="B3403" t="str">
        <f>"600321"</f>
        <v>600321</v>
      </c>
      <c r="C3403" t="s">
        <v>7145</v>
      </c>
      <c r="D3403" t="s">
        <v>1257</v>
      </c>
      <c r="E3403">
        <v>176508918</v>
      </c>
      <c r="F3403">
        <v>343063681</v>
      </c>
      <c r="G3403">
        <v>126478309</v>
      </c>
      <c r="H3403">
        <v>277884618</v>
      </c>
      <c r="I3403">
        <v>450205503</v>
      </c>
      <c r="J3403">
        <v>130840610</v>
      </c>
      <c r="K3403">
        <v>113187795</v>
      </c>
      <c r="L3403">
        <v>100058380</v>
      </c>
      <c r="M3403">
        <v>261283754</v>
      </c>
      <c r="N3403">
        <v>223380348</v>
      </c>
      <c r="O3403">
        <v>106594464</v>
      </c>
      <c r="P3403">
        <v>74</v>
      </c>
      <c r="Q3403" t="s">
        <v>7146</v>
      </c>
    </row>
    <row r="3404" spans="1:17" x14ac:dyDescent="0.3">
      <c r="A3404" t="s">
        <v>17</v>
      </c>
      <c r="B3404" t="str">
        <f>"688520"</f>
        <v>688520</v>
      </c>
      <c r="C3404" t="s">
        <v>7147</v>
      </c>
      <c r="D3404" t="s">
        <v>1533</v>
      </c>
      <c r="E3404">
        <v>176477690</v>
      </c>
      <c r="F3404">
        <v>0</v>
      </c>
      <c r="G3404">
        <v>0</v>
      </c>
      <c r="H3404">
        <v>44519</v>
      </c>
      <c r="P3404">
        <v>90</v>
      </c>
      <c r="Q3404" t="s">
        <v>7148</v>
      </c>
    </row>
    <row r="3405" spans="1:17" x14ac:dyDescent="0.3">
      <c r="A3405" t="s">
        <v>75</v>
      </c>
      <c r="B3405" t="str">
        <f>"300671"</f>
        <v>300671</v>
      </c>
      <c r="C3405" t="s">
        <v>7149</v>
      </c>
      <c r="D3405" t="s">
        <v>2580</v>
      </c>
      <c r="E3405">
        <v>176462172</v>
      </c>
      <c r="F3405">
        <v>161956221</v>
      </c>
      <c r="G3405">
        <v>128327788</v>
      </c>
      <c r="H3405">
        <v>73130059</v>
      </c>
      <c r="I3405">
        <v>126064326</v>
      </c>
      <c r="J3405">
        <v>56107580</v>
      </c>
      <c r="K3405">
        <v>53220835</v>
      </c>
      <c r="P3405">
        <v>301</v>
      </c>
      <c r="Q3405" t="s">
        <v>7150</v>
      </c>
    </row>
    <row r="3406" spans="1:17" x14ac:dyDescent="0.3">
      <c r="A3406" t="s">
        <v>75</v>
      </c>
      <c r="B3406" t="str">
        <f>"301199"</f>
        <v>301199</v>
      </c>
      <c r="C3406" t="s">
        <v>7151</v>
      </c>
      <c r="D3406" t="s">
        <v>3105</v>
      </c>
      <c r="E3406">
        <v>176429976</v>
      </c>
      <c r="P3406">
        <v>10</v>
      </c>
      <c r="Q3406" t="s">
        <v>7152</v>
      </c>
    </row>
    <row r="3407" spans="1:17" x14ac:dyDescent="0.3">
      <c r="A3407" t="s">
        <v>75</v>
      </c>
      <c r="B3407" t="str">
        <f>"000681"</f>
        <v>000681</v>
      </c>
      <c r="C3407" t="s">
        <v>7153</v>
      </c>
      <c r="D3407" t="s">
        <v>7154</v>
      </c>
      <c r="E3407">
        <v>175552154</v>
      </c>
      <c r="F3407">
        <v>127980193</v>
      </c>
      <c r="G3407">
        <v>90574357</v>
      </c>
      <c r="H3407">
        <v>183343039</v>
      </c>
      <c r="I3407">
        <v>180327556</v>
      </c>
      <c r="J3407">
        <v>139214771</v>
      </c>
      <c r="K3407">
        <v>162907577</v>
      </c>
      <c r="L3407">
        <v>107352203</v>
      </c>
      <c r="M3407">
        <v>27416137</v>
      </c>
      <c r="N3407">
        <v>23678290</v>
      </c>
      <c r="O3407">
        <v>9960756</v>
      </c>
      <c r="P3407">
        <v>449</v>
      </c>
      <c r="Q3407" t="s">
        <v>7155</v>
      </c>
    </row>
    <row r="3408" spans="1:17" x14ac:dyDescent="0.3">
      <c r="A3408" t="s">
        <v>75</v>
      </c>
      <c r="B3408" t="str">
        <f>"301163"</f>
        <v>301163</v>
      </c>
      <c r="C3408" t="s">
        <v>7156</v>
      </c>
      <c r="E3408">
        <v>175004768</v>
      </c>
      <c r="F3408">
        <v>150739781</v>
      </c>
      <c r="P3408">
        <v>3</v>
      </c>
      <c r="Q3408" t="s">
        <v>7157</v>
      </c>
    </row>
    <row r="3409" spans="1:17" x14ac:dyDescent="0.3">
      <c r="A3409" t="s">
        <v>17</v>
      </c>
      <c r="B3409" t="str">
        <f>"600099"</f>
        <v>600099</v>
      </c>
      <c r="C3409" t="s">
        <v>7158</v>
      </c>
      <c r="D3409" t="s">
        <v>917</v>
      </c>
      <c r="E3409">
        <v>174657588</v>
      </c>
      <c r="F3409">
        <v>113601024</v>
      </c>
      <c r="G3409">
        <v>82386862</v>
      </c>
      <c r="H3409">
        <v>69066337</v>
      </c>
      <c r="I3409">
        <v>80715363</v>
      </c>
      <c r="J3409">
        <v>66381728</v>
      </c>
      <c r="K3409">
        <v>48086243</v>
      </c>
      <c r="L3409">
        <v>48322806</v>
      </c>
      <c r="M3409">
        <v>63171444</v>
      </c>
      <c r="N3409">
        <v>43948234</v>
      </c>
      <c r="O3409">
        <v>28610995</v>
      </c>
      <c r="P3409">
        <v>74</v>
      </c>
      <c r="Q3409" t="s">
        <v>7159</v>
      </c>
    </row>
    <row r="3410" spans="1:17" x14ac:dyDescent="0.3">
      <c r="A3410" t="s">
        <v>17</v>
      </c>
      <c r="B3410" t="str">
        <f>"603607"</f>
        <v>603607</v>
      </c>
      <c r="C3410" t="s">
        <v>7160</v>
      </c>
      <c r="D3410" t="s">
        <v>5086</v>
      </c>
      <c r="E3410">
        <v>173916923</v>
      </c>
      <c r="F3410">
        <v>142175892</v>
      </c>
      <c r="G3410">
        <v>136284461</v>
      </c>
      <c r="H3410">
        <v>143405042</v>
      </c>
      <c r="I3410">
        <v>151142533</v>
      </c>
      <c r="J3410">
        <v>182977557</v>
      </c>
      <c r="P3410">
        <v>109</v>
      </c>
      <c r="Q3410" t="s">
        <v>7161</v>
      </c>
    </row>
    <row r="3411" spans="1:17" x14ac:dyDescent="0.3">
      <c r="A3411" t="s">
        <v>75</v>
      </c>
      <c r="B3411" t="str">
        <f>"300460"</f>
        <v>300460</v>
      </c>
      <c r="C3411" t="s">
        <v>7162</v>
      </c>
      <c r="D3411" t="s">
        <v>2109</v>
      </c>
      <c r="E3411">
        <v>173838365</v>
      </c>
      <c r="F3411">
        <v>114011087</v>
      </c>
      <c r="G3411">
        <v>64476573</v>
      </c>
      <c r="H3411">
        <v>54297113</v>
      </c>
      <c r="I3411">
        <v>76302838</v>
      </c>
      <c r="J3411">
        <v>72326109</v>
      </c>
      <c r="K3411">
        <v>86277502</v>
      </c>
      <c r="L3411">
        <v>70782490</v>
      </c>
      <c r="M3411">
        <v>0</v>
      </c>
      <c r="P3411">
        <v>154</v>
      </c>
      <c r="Q3411" t="s">
        <v>7163</v>
      </c>
    </row>
    <row r="3412" spans="1:17" x14ac:dyDescent="0.3">
      <c r="A3412" t="s">
        <v>75</v>
      </c>
      <c r="B3412" t="str">
        <f>"300099"</f>
        <v>300099</v>
      </c>
      <c r="C3412" t="s">
        <v>7164</v>
      </c>
      <c r="D3412" t="s">
        <v>786</v>
      </c>
      <c r="E3412">
        <v>173724359</v>
      </c>
      <c r="F3412">
        <v>126317300</v>
      </c>
      <c r="G3412">
        <v>86627066</v>
      </c>
      <c r="H3412">
        <v>97172626</v>
      </c>
      <c r="I3412">
        <v>40685336</v>
      </c>
      <c r="J3412">
        <v>34821211</v>
      </c>
      <c r="K3412">
        <v>29995499</v>
      </c>
      <c r="L3412">
        <v>30373298</v>
      </c>
      <c r="M3412">
        <v>40572591</v>
      </c>
      <c r="N3412">
        <v>45338975</v>
      </c>
      <c r="O3412">
        <v>42436750</v>
      </c>
      <c r="P3412">
        <v>134</v>
      </c>
      <c r="Q3412" t="s">
        <v>7165</v>
      </c>
    </row>
    <row r="3413" spans="1:17" x14ac:dyDescent="0.3">
      <c r="A3413" t="s">
        <v>75</v>
      </c>
      <c r="B3413" t="str">
        <f>"300610"</f>
        <v>300610</v>
      </c>
      <c r="C3413" t="s">
        <v>7166</v>
      </c>
      <c r="D3413" t="s">
        <v>3251</v>
      </c>
      <c r="E3413">
        <v>173290465</v>
      </c>
      <c r="F3413">
        <v>216202041</v>
      </c>
      <c r="G3413">
        <v>142606095</v>
      </c>
      <c r="H3413">
        <v>110656283</v>
      </c>
      <c r="I3413">
        <v>117953604</v>
      </c>
      <c r="J3413">
        <v>81233637</v>
      </c>
      <c r="K3413">
        <v>56715896</v>
      </c>
      <c r="P3413">
        <v>129</v>
      </c>
      <c r="Q3413" t="s">
        <v>7167</v>
      </c>
    </row>
    <row r="3414" spans="1:17" x14ac:dyDescent="0.3">
      <c r="A3414" t="s">
        <v>75</v>
      </c>
      <c r="B3414" t="str">
        <f>"300127"</f>
        <v>300127</v>
      </c>
      <c r="C3414" t="s">
        <v>7168</v>
      </c>
      <c r="D3414" t="s">
        <v>1096</v>
      </c>
      <c r="E3414">
        <v>173240976</v>
      </c>
      <c r="F3414">
        <v>134471555</v>
      </c>
      <c r="G3414">
        <v>150321044</v>
      </c>
      <c r="H3414">
        <v>195353449</v>
      </c>
      <c r="I3414">
        <v>160896045</v>
      </c>
      <c r="J3414">
        <v>129047304</v>
      </c>
      <c r="K3414">
        <v>111433202</v>
      </c>
      <c r="L3414">
        <v>106827049</v>
      </c>
      <c r="M3414">
        <v>103317645</v>
      </c>
      <c r="N3414">
        <v>97443600</v>
      </c>
      <c r="O3414">
        <v>139240108</v>
      </c>
      <c r="P3414">
        <v>205</v>
      </c>
      <c r="Q3414" t="s">
        <v>7169</v>
      </c>
    </row>
    <row r="3415" spans="1:17" x14ac:dyDescent="0.3">
      <c r="A3415" t="s">
        <v>17</v>
      </c>
      <c r="B3415" t="str">
        <f>"688711"</f>
        <v>688711</v>
      </c>
      <c r="C3415" t="s">
        <v>7170</v>
      </c>
      <c r="D3415" t="s">
        <v>2728</v>
      </c>
      <c r="E3415">
        <v>173066146</v>
      </c>
      <c r="P3415">
        <v>38</v>
      </c>
      <c r="Q3415" t="s">
        <v>7171</v>
      </c>
    </row>
    <row r="3416" spans="1:17" x14ac:dyDescent="0.3">
      <c r="A3416" t="s">
        <v>17</v>
      </c>
      <c r="B3416" t="str">
        <f>"688788"</f>
        <v>688788</v>
      </c>
      <c r="C3416" t="s">
        <v>7172</v>
      </c>
      <c r="D3416" t="s">
        <v>1572</v>
      </c>
      <c r="E3416">
        <v>173004611</v>
      </c>
      <c r="F3416">
        <v>102810489</v>
      </c>
      <c r="G3416">
        <v>0</v>
      </c>
      <c r="H3416">
        <v>0</v>
      </c>
      <c r="P3416">
        <v>57</v>
      </c>
      <c r="Q3416" t="s">
        <v>7173</v>
      </c>
    </row>
    <row r="3417" spans="1:17" x14ac:dyDescent="0.3">
      <c r="A3417" t="s">
        <v>17</v>
      </c>
      <c r="B3417" t="str">
        <f>"688590"</f>
        <v>688590</v>
      </c>
      <c r="C3417" t="s">
        <v>7174</v>
      </c>
      <c r="D3417" t="s">
        <v>116</v>
      </c>
      <c r="E3417">
        <v>172879472</v>
      </c>
      <c r="F3417">
        <v>137980955</v>
      </c>
      <c r="G3417">
        <v>123148679</v>
      </c>
      <c r="H3417">
        <v>0</v>
      </c>
      <c r="P3417">
        <v>29</v>
      </c>
      <c r="Q3417" t="s">
        <v>7175</v>
      </c>
    </row>
    <row r="3418" spans="1:17" x14ac:dyDescent="0.3">
      <c r="A3418" t="s">
        <v>75</v>
      </c>
      <c r="B3418" t="str">
        <f>"301047"</f>
        <v>301047</v>
      </c>
      <c r="C3418" t="s">
        <v>7176</v>
      </c>
      <c r="D3418" t="s">
        <v>716</v>
      </c>
      <c r="E3418">
        <v>172800420</v>
      </c>
      <c r="F3418">
        <v>420946667</v>
      </c>
      <c r="G3418">
        <v>60486002</v>
      </c>
      <c r="P3418">
        <v>71</v>
      </c>
      <c r="Q3418" t="s">
        <v>7177</v>
      </c>
    </row>
    <row r="3419" spans="1:17" x14ac:dyDescent="0.3">
      <c r="A3419" t="s">
        <v>75</v>
      </c>
      <c r="B3419" t="str">
        <f>"002771"</f>
        <v>002771</v>
      </c>
      <c r="C3419" t="s">
        <v>7178</v>
      </c>
      <c r="D3419" t="s">
        <v>224</v>
      </c>
      <c r="E3419">
        <v>172559794</v>
      </c>
      <c r="F3419">
        <v>175611860</v>
      </c>
      <c r="G3419">
        <v>133930777</v>
      </c>
      <c r="H3419">
        <v>91910210</v>
      </c>
      <c r="I3419">
        <v>110126802</v>
      </c>
      <c r="J3419">
        <v>86763420</v>
      </c>
      <c r="K3419">
        <v>95330337</v>
      </c>
      <c r="L3419">
        <v>0</v>
      </c>
      <c r="M3419">
        <v>0</v>
      </c>
      <c r="P3419">
        <v>95</v>
      </c>
      <c r="Q3419" t="s">
        <v>7179</v>
      </c>
    </row>
    <row r="3420" spans="1:17" x14ac:dyDescent="0.3">
      <c r="A3420" t="s">
        <v>17</v>
      </c>
      <c r="B3420" t="str">
        <f>"688248"</f>
        <v>688248</v>
      </c>
      <c r="C3420" t="s">
        <v>7180</v>
      </c>
      <c r="D3420" t="s">
        <v>682</v>
      </c>
      <c r="E3420">
        <v>172310202</v>
      </c>
      <c r="P3420">
        <v>14</v>
      </c>
      <c r="Q3420" t="s">
        <v>7181</v>
      </c>
    </row>
    <row r="3421" spans="1:17" x14ac:dyDescent="0.3">
      <c r="A3421" t="s">
        <v>17</v>
      </c>
      <c r="B3421" t="str">
        <f>"605001"</f>
        <v>605001</v>
      </c>
      <c r="C3421" t="s">
        <v>7182</v>
      </c>
      <c r="D3421" t="s">
        <v>156</v>
      </c>
      <c r="E3421">
        <v>172246820</v>
      </c>
      <c r="F3421">
        <v>183384350</v>
      </c>
      <c r="G3421">
        <v>268390191</v>
      </c>
      <c r="H3421">
        <v>163515998</v>
      </c>
      <c r="P3421">
        <v>48</v>
      </c>
      <c r="Q3421" t="s">
        <v>7183</v>
      </c>
    </row>
    <row r="3422" spans="1:17" x14ac:dyDescent="0.3">
      <c r="A3422" t="s">
        <v>75</v>
      </c>
      <c r="B3422" t="str">
        <f>"301077"</f>
        <v>301077</v>
      </c>
      <c r="C3422" t="s">
        <v>7184</v>
      </c>
      <c r="D3422" t="s">
        <v>292</v>
      </c>
      <c r="E3422">
        <v>172237700</v>
      </c>
      <c r="P3422">
        <v>30</v>
      </c>
      <c r="Q3422" t="s">
        <v>7185</v>
      </c>
    </row>
    <row r="3423" spans="1:17" x14ac:dyDescent="0.3">
      <c r="A3423" t="s">
        <v>17</v>
      </c>
      <c r="B3423" t="str">
        <f>"603258"</f>
        <v>603258</v>
      </c>
      <c r="C3423" t="s">
        <v>7186</v>
      </c>
      <c r="D3423" t="s">
        <v>1165</v>
      </c>
      <c r="E3423">
        <v>172196951</v>
      </c>
      <c r="F3423">
        <v>275350096</v>
      </c>
      <c r="G3423">
        <v>299201128</v>
      </c>
      <c r="H3423">
        <v>161705679</v>
      </c>
      <c r="I3423">
        <v>81918301</v>
      </c>
      <c r="J3423">
        <v>111171016</v>
      </c>
      <c r="K3423">
        <v>155159387</v>
      </c>
      <c r="P3423">
        <v>770</v>
      </c>
      <c r="Q3423" t="s">
        <v>7187</v>
      </c>
    </row>
    <row r="3424" spans="1:17" x14ac:dyDescent="0.3">
      <c r="A3424" t="s">
        <v>75</v>
      </c>
      <c r="B3424" t="str">
        <f>"301067"</f>
        <v>301067</v>
      </c>
      <c r="C3424" t="s">
        <v>7188</v>
      </c>
      <c r="D3424" t="s">
        <v>55</v>
      </c>
      <c r="E3424">
        <v>172160600</v>
      </c>
      <c r="P3424">
        <v>18</v>
      </c>
      <c r="Q3424" t="s">
        <v>7189</v>
      </c>
    </row>
    <row r="3425" spans="1:17" x14ac:dyDescent="0.3">
      <c r="A3425" t="s">
        <v>17</v>
      </c>
      <c r="B3425" t="str">
        <f>"603209"</f>
        <v>603209</v>
      </c>
      <c r="C3425" t="s">
        <v>7190</v>
      </c>
      <c r="E3425">
        <v>171947228</v>
      </c>
      <c r="P3425">
        <v>12</v>
      </c>
      <c r="Q3425" t="s">
        <v>7191</v>
      </c>
    </row>
    <row r="3426" spans="1:17" x14ac:dyDescent="0.3">
      <c r="A3426" t="s">
        <v>17</v>
      </c>
      <c r="B3426" t="str">
        <f>"603767"</f>
        <v>603767</v>
      </c>
      <c r="C3426" t="s">
        <v>7192</v>
      </c>
      <c r="D3426" t="s">
        <v>172</v>
      </c>
      <c r="E3426">
        <v>171946147</v>
      </c>
      <c r="F3426">
        <v>226665649</v>
      </c>
      <c r="G3426">
        <v>239338874</v>
      </c>
      <c r="H3426">
        <v>254515665</v>
      </c>
      <c r="I3426">
        <v>152866512</v>
      </c>
      <c r="J3426">
        <v>153901190</v>
      </c>
      <c r="K3426">
        <v>172364799</v>
      </c>
      <c r="P3426">
        <v>80</v>
      </c>
      <c r="Q3426" t="s">
        <v>7193</v>
      </c>
    </row>
    <row r="3427" spans="1:17" x14ac:dyDescent="0.3">
      <c r="A3427" t="s">
        <v>75</v>
      </c>
      <c r="B3427" t="str">
        <f>"300718"</f>
        <v>300718</v>
      </c>
      <c r="C3427" t="s">
        <v>7194</v>
      </c>
      <c r="D3427" t="s">
        <v>1966</v>
      </c>
      <c r="E3427">
        <v>171295551</v>
      </c>
      <c r="F3427">
        <v>186519601</v>
      </c>
      <c r="G3427">
        <v>113567525</v>
      </c>
      <c r="H3427">
        <v>136362310</v>
      </c>
      <c r="I3427">
        <v>138281541</v>
      </c>
      <c r="J3427">
        <v>106573807</v>
      </c>
      <c r="P3427">
        <v>100</v>
      </c>
      <c r="Q3427" t="s">
        <v>7195</v>
      </c>
    </row>
    <row r="3428" spans="1:17" x14ac:dyDescent="0.3">
      <c r="A3428" t="s">
        <v>75</v>
      </c>
      <c r="B3428" t="str">
        <f>"003043"</f>
        <v>003043</v>
      </c>
      <c r="C3428" t="s">
        <v>7196</v>
      </c>
      <c r="D3428" t="s">
        <v>1859</v>
      </c>
      <c r="E3428">
        <v>171252225</v>
      </c>
      <c r="F3428">
        <v>81620869</v>
      </c>
      <c r="G3428">
        <v>93441809</v>
      </c>
      <c r="P3428">
        <v>46</v>
      </c>
      <c r="Q3428" t="s">
        <v>7197</v>
      </c>
    </row>
    <row r="3429" spans="1:17" x14ac:dyDescent="0.3">
      <c r="A3429" t="s">
        <v>17</v>
      </c>
      <c r="B3429" t="str">
        <f>"688218"</f>
        <v>688218</v>
      </c>
      <c r="C3429" t="s">
        <v>7198</v>
      </c>
      <c r="D3429" t="s">
        <v>3105</v>
      </c>
      <c r="E3429">
        <v>170855817</v>
      </c>
      <c r="F3429">
        <v>114928073</v>
      </c>
      <c r="G3429">
        <v>95678148</v>
      </c>
      <c r="H3429">
        <v>87241790</v>
      </c>
      <c r="I3429">
        <v>86130397</v>
      </c>
      <c r="P3429">
        <v>47</v>
      </c>
      <c r="Q3429" t="s">
        <v>7199</v>
      </c>
    </row>
    <row r="3430" spans="1:17" x14ac:dyDescent="0.3">
      <c r="A3430" t="s">
        <v>17</v>
      </c>
      <c r="B3430" t="str">
        <f>"603028"</f>
        <v>603028</v>
      </c>
      <c r="C3430" t="s">
        <v>7200</v>
      </c>
      <c r="D3430" t="s">
        <v>153</v>
      </c>
      <c r="E3430">
        <v>170851323</v>
      </c>
      <c r="F3430">
        <v>224117268</v>
      </c>
      <c r="G3430">
        <v>127168480</v>
      </c>
      <c r="H3430">
        <v>121839221</v>
      </c>
      <c r="I3430">
        <v>128950861</v>
      </c>
      <c r="J3430">
        <v>138023274</v>
      </c>
      <c r="K3430">
        <v>110578826</v>
      </c>
      <c r="L3430">
        <v>143433573</v>
      </c>
      <c r="P3430">
        <v>52</v>
      </c>
      <c r="Q3430" t="s">
        <v>7201</v>
      </c>
    </row>
    <row r="3431" spans="1:17" x14ac:dyDescent="0.3">
      <c r="A3431" t="s">
        <v>75</v>
      </c>
      <c r="B3431" t="str">
        <f>"300798"</f>
        <v>300798</v>
      </c>
      <c r="C3431" t="s">
        <v>7202</v>
      </c>
      <c r="D3431" t="s">
        <v>1160</v>
      </c>
      <c r="E3431">
        <v>170530679</v>
      </c>
      <c r="F3431">
        <v>142052816</v>
      </c>
      <c r="G3431">
        <v>113523344</v>
      </c>
      <c r="H3431">
        <v>156281915</v>
      </c>
      <c r="P3431">
        <v>55</v>
      </c>
      <c r="Q3431" t="s">
        <v>7203</v>
      </c>
    </row>
    <row r="3432" spans="1:17" x14ac:dyDescent="0.3">
      <c r="A3432" t="s">
        <v>75</v>
      </c>
      <c r="B3432" t="str">
        <f>"200468"</f>
        <v>200468</v>
      </c>
      <c r="C3432" t="s">
        <v>7204</v>
      </c>
      <c r="E3432">
        <v>170460780.34999999</v>
      </c>
      <c r="F3432">
        <v>296413281.241</v>
      </c>
      <c r="G3432">
        <v>275805562.03740001</v>
      </c>
      <c r="H3432">
        <v>366774237.37800002</v>
      </c>
      <c r="I3432">
        <v>513932335.73799998</v>
      </c>
      <c r="J3432">
        <v>494850548.10500002</v>
      </c>
      <c r="K3432">
        <v>755470874.71140003</v>
      </c>
      <c r="L3432">
        <v>678758791.25</v>
      </c>
      <c r="M3432">
        <v>702837187.89520001</v>
      </c>
      <c r="N3432">
        <v>683494949.55780005</v>
      </c>
      <c r="O3432">
        <v>743512894.67700005</v>
      </c>
      <c r="P3432">
        <v>4</v>
      </c>
      <c r="Q3432" t="s">
        <v>7205</v>
      </c>
    </row>
    <row r="3433" spans="1:17" x14ac:dyDescent="0.3">
      <c r="A3433" t="s">
        <v>75</v>
      </c>
      <c r="B3433" t="str">
        <f>"300348"</f>
        <v>300348</v>
      </c>
      <c r="C3433" t="s">
        <v>7206</v>
      </c>
      <c r="D3433" t="s">
        <v>116</v>
      </c>
      <c r="E3433">
        <v>170371067</v>
      </c>
      <c r="F3433">
        <v>182697471</v>
      </c>
      <c r="G3433">
        <v>112036475</v>
      </c>
      <c r="H3433">
        <v>102356116</v>
      </c>
      <c r="I3433">
        <v>105050534</v>
      </c>
      <c r="J3433">
        <v>59591564</v>
      </c>
      <c r="K3433">
        <v>41323182</v>
      </c>
      <c r="L3433">
        <v>25664167</v>
      </c>
      <c r="M3433">
        <v>10930780</v>
      </c>
      <c r="N3433">
        <v>8423200</v>
      </c>
      <c r="O3433">
        <v>3543000</v>
      </c>
      <c r="P3433">
        <v>364</v>
      </c>
      <c r="Q3433" t="s">
        <v>7207</v>
      </c>
    </row>
    <row r="3434" spans="1:17" x14ac:dyDescent="0.3">
      <c r="A3434" t="s">
        <v>75</v>
      </c>
      <c r="B3434" t="str">
        <f>"300075"</f>
        <v>300075</v>
      </c>
      <c r="C3434" t="s">
        <v>7208</v>
      </c>
      <c r="D3434" t="s">
        <v>116</v>
      </c>
      <c r="E3434">
        <v>170040679</v>
      </c>
      <c r="F3434">
        <v>197919558</v>
      </c>
      <c r="G3434">
        <v>182775424</v>
      </c>
      <c r="H3434">
        <v>233048735</v>
      </c>
      <c r="I3434">
        <v>237016107</v>
      </c>
      <c r="J3434">
        <v>130050109</v>
      </c>
      <c r="K3434">
        <v>89970058</v>
      </c>
      <c r="L3434">
        <v>62887668</v>
      </c>
      <c r="M3434">
        <v>53631333</v>
      </c>
      <c r="N3434">
        <v>50163702</v>
      </c>
      <c r="O3434">
        <v>17338296</v>
      </c>
      <c r="P3434">
        <v>258</v>
      </c>
      <c r="Q3434" t="s">
        <v>7209</v>
      </c>
    </row>
    <row r="3435" spans="1:17" x14ac:dyDescent="0.3">
      <c r="A3435" t="s">
        <v>75</v>
      </c>
      <c r="B3435" t="str">
        <f>"300667"</f>
        <v>300667</v>
      </c>
      <c r="C3435" t="s">
        <v>7210</v>
      </c>
      <c r="D3435" t="s">
        <v>2549</v>
      </c>
      <c r="E3435">
        <v>169921615</v>
      </c>
      <c r="F3435">
        <v>193352698</v>
      </c>
      <c r="G3435">
        <v>147516859</v>
      </c>
      <c r="H3435">
        <v>50689989</v>
      </c>
      <c r="I3435">
        <v>31781894</v>
      </c>
      <c r="J3435">
        <v>37630154</v>
      </c>
      <c r="K3435">
        <v>15606252</v>
      </c>
      <c r="P3435">
        <v>144</v>
      </c>
      <c r="Q3435" t="s">
        <v>7211</v>
      </c>
    </row>
    <row r="3436" spans="1:17" x14ac:dyDescent="0.3">
      <c r="A3436" t="s">
        <v>17</v>
      </c>
      <c r="B3436" t="str">
        <f>"603636"</f>
        <v>603636</v>
      </c>
      <c r="C3436" t="s">
        <v>7212</v>
      </c>
      <c r="D3436" t="s">
        <v>224</v>
      </c>
      <c r="E3436">
        <v>169877127</v>
      </c>
      <c r="F3436">
        <v>147913238</v>
      </c>
      <c r="G3436">
        <v>97290185</v>
      </c>
      <c r="H3436">
        <v>72237134</v>
      </c>
      <c r="I3436">
        <v>57867610</v>
      </c>
      <c r="J3436">
        <v>60262684</v>
      </c>
      <c r="K3436">
        <v>91832195</v>
      </c>
      <c r="L3436">
        <v>41868687</v>
      </c>
      <c r="M3436">
        <v>81363310</v>
      </c>
      <c r="P3436">
        <v>202</v>
      </c>
      <c r="Q3436" t="s">
        <v>7213</v>
      </c>
    </row>
    <row r="3437" spans="1:17" x14ac:dyDescent="0.3">
      <c r="A3437" t="s">
        <v>17</v>
      </c>
      <c r="B3437" t="str">
        <f>"603168"</f>
        <v>603168</v>
      </c>
      <c r="C3437" t="s">
        <v>7214</v>
      </c>
      <c r="D3437" t="s">
        <v>543</v>
      </c>
      <c r="E3437">
        <v>169739076</v>
      </c>
      <c r="F3437">
        <v>160405216</v>
      </c>
      <c r="G3437">
        <v>110892359</v>
      </c>
      <c r="H3437">
        <v>165400974</v>
      </c>
      <c r="I3437">
        <v>273875920</v>
      </c>
      <c r="J3437">
        <v>257994478</v>
      </c>
      <c r="K3437">
        <v>263646980</v>
      </c>
      <c r="L3437">
        <v>212827293</v>
      </c>
      <c r="M3437">
        <v>0</v>
      </c>
      <c r="N3437">
        <v>0</v>
      </c>
      <c r="P3437">
        <v>528</v>
      </c>
      <c r="Q3437" t="s">
        <v>7215</v>
      </c>
    </row>
    <row r="3438" spans="1:17" x14ac:dyDescent="0.3">
      <c r="A3438" t="s">
        <v>75</v>
      </c>
      <c r="B3438" t="str">
        <f>"002879"</f>
        <v>002879</v>
      </c>
      <c r="C3438" t="s">
        <v>7216</v>
      </c>
      <c r="D3438" t="s">
        <v>562</v>
      </c>
      <c r="E3438">
        <v>169693226</v>
      </c>
      <c r="F3438">
        <v>185074679</v>
      </c>
      <c r="G3438">
        <v>96037665</v>
      </c>
      <c r="H3438">
        <v>157864816</v>
      </c>
      <c r="I3438">
        <v>111460053</v>
      </c>
      <c r="J3438">
        <v>109946759</v>
      </c>
      <c r="K3438">
        <v>82273607</v>
      </c>
      <c r="P3438">
        <v>266</v>
      </c>
      <c r="Q3438" t="s">
        <v>7217</v>
      </c>
    </row>
    <row r="3439" spans="1:17" x14ac:dyDescent="0.3">
      <c r="A3439" t="s">
        <v>75</v>
      </c>
      <c r="B3439" t="str">
        <f>"301188"</f>
        <v>301188</v>
      </c>
      <c r="C3439" t="s">
        <v>7218</v>
      </c>
      <c r="D3439" t="s">
        <v>1192</v>
      </c>
      <c r="E3439">
        <v>169617819</v>
      </c>
      <c r="P3439">
        <v>18</v>
      </c>
      <c r="Q3439" t="s">
        <v>7219</v>
      </c>
    </row>
    <row r="3440" spans="1:17" x14ac:dyDescent="0.3">
      <c r="A3440" t="s">
        <v>17</v>
      </c>
      <c r="B3440" t="str">
        <f>"603688"</f>
        <v>603688</v>
      </c>
      <c r="C3440" t="s">
        <v>7220</v>
      </c>
      <c r="D3440" t="s">
        <v>996</v>
      </c>
      <c r="E3440">
        <v>169604801</v>
      </c>
      <c r="F3440">
        <v>140136343</v>
      </c>
      <c r="G3440">
        <v>122835458</v>
      </c>
      <c r="H3440">
        <v>128945734</v>
      </c>
      <c r="I3440">
        <v>113468901</v>
      </c>
      <c r="J3440">
        <v>97611613</v>
      </c>
      <c r="K3440">
        <v>86009677</v>
      </c>
      <c r="L3440">
        <v>83249670</v>
      </c>
      <c r="M3440">
        <v>53788195</v>
      </c>
      <c r="P3440">
        <v>219</v>
      </c>
      <c r="Q3440" t="s">
        <v>7221</v>
      </c>
    </row>
    <row r="3441" spans="1:17" x14ac:dyDescent="0.3">
      <c r="A3441" t="s">
        <v>75</v>
      </c>
      <c r="B3441" t="str">
        <f>"002190"</f>
        <v>002190</v>
      </c>
      <c r="C3441" t="s">
        <v>7222</v>
      </c>
      <c r="D3441" t="s">
        <v>1551</v>
      </c>
      <c r="E3441">
        <v>169562929</v>
      </c>
      <c r="F3441">
        <v>192335518</v>
      </c>
      <c r="G3441">
        <v>157942833</v>
      </c>
      <c r="H3441">
        <v>463301796</v>
      </c>
      <c r="I3441">
        <v>324765221</v>
      </c>
      <c r="J3441">
        <v>485217529</v>
      </c>
      <c r="K3441">
        <v>236349657</v>
      </c>
      <c r="L3441">
        <v>133453127</v>
      </c>
      <c r="M3441">
        <v>121237717</v>
      </c>
      <c r="N3441">
        <v>105304875</v>
      </c>
      <c r="O3441">
        <v>53364462</v>
      </c>
      <c r="P3441">
        <v>184</v>
      </c>
      <c r="Q3441" t="s">
        <v>7223</v>
      </c>
    </row>
    <row r="3442" spans="1:17" x14ac:dyDescent="0.3">
      <c r="A3442" t="s">
        <v>75</v>
      </c>
      <c r="B3442" t="str">
        <f>"300092"</f>
        <v>300092</v>
      </c>
      <c r="C3442" t="s">
        <v>7224</v>
      </c>
      <c r="D3442" t="s">
        <v>153</v>
      </c>
      <c r="E3442">
        <v>169560570</v>
      </c>
      <c r="F3442">
        <v>161586980</v>
      </c>
      <c r="G3442">
        <v>109277493</v>
      </c>
      <c r="H3442">
        <v>77400098</v>
      </c>
      <c r="I3442">
        <v>48710153</v>
      </c>
      <c r="J3442">
        <v>30408397</v>
      </c>
      <c r="K3442">
        <v>22861913</v>
      </c>
      <c r="L3442">
        <v>50286612</v>
      </c>
      <c r="M3442">
        <v>30952583</v>
      </c>
      <c r="N3442">
        <v>42441963</v>
      </c>
      <c r="O3442">
        <v>33037643</v>
      </c>
      <c r="P3442">
        <v>81</v>
      </c>
      <c r="Q3442" t="s">
        <v>7225</v>
      </c>
    </row>
    <row r="3443" spans="1:17" x14ac:dyDescent="0.3">
      <c r="A3443" t="s">
        <v>75</v>
      </c>
      <c r="B3443" t="str">
        <f>"300564"</f>
        <v>300564</v>
      </c>
      <c r="C3443" t="s">
        <v>7226</v>
      </c>
      <c r="D3443" t="s">
        <v>2118</v>
      </c>
      <c r="E3443">
        <v>169221130</v>
      </c>
      <c r="F3443">
        <v>148111196</v>
      </c>
      <c r="G3443">
        <v>104977169</v>
      </c>
      <c r="H3443">
        <v>164465323</v>
      </c>
      <c r="P3443">
        <v>211</v>
      </c>
      <c r="Q3443" t="s">
        <v>7227</v>
      </c>
    </row>
    <row r="3444" spans="1:17" x14ac:dyDescent="0.3">
      <c r="A3444" t="s">
        <v>75</v>
      </c>
      <c r="B3444" t="str">
        <f>"002907"</f>
        <v>002907</v>
      </c>
      <c r="C3444" t="s">
        <v>7228</v>
      </c>
      <c r="D3444" t="s">
        <v>321</v>
      </c>
      <c r="E3444">
        <v>169070819</v>
      </c>
      <c r="F3444">
        <v>151995434</v>
      </c>
      <c r="G3444">
        <v>145064102</v>
      </c>
      <c r="H3444">
        <v>129620138</v>
      </c>
      <c r="I3444">
        <v>133963897</v>
      </c>
      <c r="J3444">
        <v>141811429</v>
      </c>
      <c r="P3444">
        <v>286</v>
      </c>
      <c r="Q3444" t="s">
        <v>7229</v>
      </c>
    </row>
    <row r="3445" spans="1:17" x14ac:dyDescent="0.3">
      <c r="A3445" t="s">
        <v>17</v>
      </c>
      <c r="B3445" t="str">
        <f>"603980"</f>
        <v>603980</v>
      </c>
      <c r="C3445" t="s">
        <v>7230</v>
      </c>
      <c r="D3445" t="s">
        <v>1160</v>
      </c>
      <c r="E3445">
        <v>168969118</v>
      </c>
      <c r="F3445">
        <v>497173860</v>
      </c>
      <c r="G3445">
        <v>227193487</v>
      </c>
      <c r="H3445">
        <v>485836674</v>
      </c>
      <c r="I3445">
        <v>340264193</v>
      </c>
      <c r="J3445">
        <v>341290317</v>
      </c>
      <c r="K3445">
        <v>1260904258</v>
      </c>
      <c r="P3445">
        <v>195</v>
      </c>
      <c r="Q3445" t="s">
        <v>7231</v>
      </c>
    </row>
    <row r="3446" spans="1:17" x14ac:dyDescent="0.3">
      <c r="A3446" t="s">
        <v>75</v>
      </c>
      <c r="B3446" t="str">
        <f>"002856"</f>
        <v>002856</v>
      </c>
      <c r="C3446" t="s">
        <v>7232</v>
      </c>
      <c r="D3446" t="s">
        <v>707</v>
      </c>
      <c r="E3446">
        <v>168852491</v>
      </c>
      <c r="F3446">
        <v>197370608</v>
      </c>
      <c r="G3446">
        <v>175028565</v>
      </c>
      <c r="H3446">
        <v>265569204</v>
      </c>
      <c r="I3446">
        <v>194649711</v>
      </c>
      <c r="J3446">
        <v>148539970</v>
      </c>
      <c r="K3446">
        <v>247148771</v>
      </c>
      <c r="P3446">
        <v>51</v>
      </c>
      <c r="Q3446" t="s">
        <v>7233</v>
      </c>
    </row>
    <row r="3447" spans="1:17" x14ac:dyDescent="0.3">
      <c r="A3447" t="s">
        <v>75</v>
      </c>
      <c r="B3447" t="str">
        <f>"002104"</f>
        <v>002104</v>
      </c>
      <c r="C3447" t="s">
        <v>7234</v>
      </c>
      <c r="D3447" t="s">
        <v>556</v>
      </c>
      <c r="E3447">
        <v>168689710</v>
      </c>
      <c r="F3447">
        <v>145088318</v>
      </c>
      <c r="G3447">
        <v>222832641</v>
      </c>
      <c r="H3447">
        <v>220728364</v>
      </c>
      <c r="I3447">
        <v>460935679</v>
      </c>
      <c r="J3447">
        <v>231834883</v>
      </c>
      <c r="K3447">
        <v>227311575</v>
      </c>
      <c r="L3447">
        <v>218729071</v>
      </c>
      <c r="M3447">
        <v>183743693</v>
      </c>
      <c r="N3447">
        <v>182359029</v>
      </c>
      <c r="O3447">
        <v>167663871</v>
      </c>
      <c r="P3447">
        <v>416</v>
      </c>
      <c r="Q3447" t="s">
        <v>7235</v>
      </c>
    </row>
    <row r="3448" spans="1:17" x14ac:dyDescent="0.3">
      <c r="A3448" t="s">
        <v>75</v>
      </c>
      <c r="B3448" t="str">
        <f>"300414"</f>
        <v>300414</v>
      </c>
      <c r="C3448" t="s">
        <v>7236</v>
      </c>
      <c r="D3448" t="s">
        <v>4225</v>
      </c>
      <c r="E3448">
        <v>168521872</v>
      </c>
      <c r="F3448">
        <v>117281792</v>
      </c>
      <c r="G3448">
        <v>89553510</v>
      </c>
      <c r="H3448">
        <v>99507400</v>
      </c>
      <c r="I3448">
        <v>96637527</v>
      </c>
      <c r="J3448">
        <v>73235738</v>
      </c>
      <c r="K3448">
        <v>90699079</v>
      </c>
      <c r="L3448">
        <v>0</v>
      </c>
      <c r="M3448">
        <v>0</v>
      </c>
      <c r="P3448">
        <v>219</v>
      </c>
      <c r="Q3448" t="s">
        <v>7237</v>
      </c>
    </row>
    <row r="3449" spans="1:17" x14ac:dyDescent="0.3">
      <c r="A3449" t="s">
        <v>75</v>
      </c>
      <c r="B3449" t="str">
        <f>"002931"</f>
        <v>002931</v>
      </c>
      <c r="C3449" t="s">
        <v>7238</v>
      </c>
      <c r="D3449" t="s">
        <v>153</v>
      </c>
      <c r="E3449">
        <v>168299297</v>
      </c>
      <c r="F3449">
        <v>179730848</v>
      </c>
      <c r="G3449">
        <v>117116180</v>
      </c>
      <c r="H3449">
        <v>72853966</v>
      </c>
      <c r="I3449">
        <v>64375201</v>
      </c>
      <c r="J3449">
        <v>83603777</v>
      </c>
      <c r="P3449">
        <v>107</v>
      </c>
      <c r="Q3449" t="s">
        <v>7239</v>
      </c>
    </row>
    <row r="3450" spans="1:17" x14ac:dyDescent="0.3">
      <c r="A3450" t="s">
        <v>17</v>
      </c>
      <c r="B3450" t="str">
        <f>"688588"</f>
        <v>688588</v>
      </c>
      <c r="C3450" t="s">
        <v>7240</v>
      </c>
      <c r="D3450" t="s">
        <v>116</v>
      </c>
      <c r="E3450">
        <v>168214004</v>
      </c>
      <c r="F3450">
        <v>147936702</v>
      </c>
      <c r="G3450">
        <v>128424468</v>
      </c>
      <c r="H3450">
        <v>136476836</v>
      </c>
      <c r="I3450">
        <v>96161439</v>
      </c>
      <c r="P3450">
        <v>79</v>
      </c>
      <c r="Q3450" t="s">
        <v>7241</v>
      </c>
    </row>
    <row r="3451" spans="1:17" x14ac:dyDescent="0.3">
      <c r="A3451" t="s">
        <v>75</v>
      </c>
      <c r="B3451" t="str">
        <f>"300474"</f>
        <v>300474</v>
      </c>
      <c r="C3451" t="s">
        <v>7242</v>
      </c>
      <c r="D3451" t="s">
        <v>1572</v>
      </c>
      <c r="E3451">
        <v>167943065</v>
      </c>
      <c r="F3451">
        <v>181647308</v>
      </c>
      <c r="G3451">
        <v>83735315</v>
      </c>
      <c r="H3451">
        <v>24610350</v>
      </c>
      <c r="I3451">
        <v>35154133</v>
      </c>
      <c r="J3451">
        <v>26442439</v>
      </c>
      <c r="K3451">
        <v>49745274</v>
      </c>
      <c r="L3451">
        <v>17696100</v>
      </c>
      <c r="P3451">
        <v>513</v>
      </c>
      <c r="Q3451" t="s">
        <v>7243</v>
      </c>
    </row>
    <row r="3452" spans="1:17" x14ac:dyDescent="0.3">
      <c r="A3452" t="s">
        <v>17</v>
      </c>
      <c r="B3452" t="str">
        <f>"603096"</f>
        <v>603096</v>
      </c>
      <c r="C3452" t="s">
        <v>7244</v>
      </c>
      <c r="D3452" t="s">
        <v>1703</v>
      </c>
      <c r="E3452">
        <v>167907825</v>
      </c>
      <c r="F3452">
        <v>135266494</v>
      </c>
      <c r="G3452">
        <v>112315985</v>
      </c>
      <c r="H3452">
        <v>194519708</v>
      </c>
      <c r="I3452">
        <v>64680684</v>
      </c>
      <c r="J3452">
        <v>158440796</v>
      </c>
      <c r="K3452">
        <v>174128357</v>
      </c>
      <c r="P3452">
        <v>222</v>
      </c>
      <c r="Q3452" t="s">
        <v>7245</v>
      </c>
    </row>
    <row r="3453" spans="1:17" x14ac:dyDescent="0.3">
      <c r="A3453" t="s">
        <v>75</v>
      </c>
      <c r="B3453" t="str">
        <f>"300411"</f>
        <v>300411</v>
      </c>
      <c r="C3453" t="s">
        <v>7246</v>
      </c>
      <c r="D3453" t="s">
        <v>1624</v>
      </c>
      <c r="E3453">
        <v>167820361</v>
      </c>
      <c r="F3453">
        <v>164739498</v>
      </c>
      <c r="G3453">
        <v>259789065</v>
      </c>
      <c r="H3453">
        <v>196214782</v>
      </c>
      <c r="I3453">
        <v>112792838</v>
      </c>
      <c r="J3453">
        <v>67257974</v>
      </c>
      <c r="K3453">
        <v>74613429</v>
      </c>
      <c r="L3453">
        <v>55903353</v>
      </c>
      <c r="M3453">
        <v>48669215</v>
      </c>
      <c r="P3453">
        <v>73</v>
      </c>
      <c r="Q3453" t="s">
        <v>7247</v>
      </c>
    </row>
    <row r="3454" spans="1:17" x14ac:dyDescent="0.3">
      <c r="A3454" t="s">
        <v>75</v>
      </c>
      <c r="B3454" t="str">
        <f>"200029"</f>
        <v>200029</v>
      </c>
      <c r="C3454" t="s">
        <v>7248</v>
      </c>
      <c r="E3454">
        <v>167748102.83000001</v>
      </c>
      <c r="F3454">
        <v>663921018.85350001</v>
      </c>
      <c r="G3454">
        <v>285294414.92040002</v>
      </c>
      <c r="H3454">
        <v>803470564.04760003</v>
      </c>
      <c r="I3454">
        <v>635724316.80149996</v>
      </c>
      <c r="J3454">
        <v>394161053.78659999</v>
      </c>
      <c r="K3454">
        <v>709471644.13839996</v>
      </c>
      <c r="L3454">
        <v>534466547.5</v>
      </c>
      <c r="M3454">
        <v>670225928.80560005</v>
      </c>
      <c r="N3454">
        <v>784714260.62639999</v>
      </c>
      <c r="O3454">
        <v>239606727.31799999</v>
      </c>
      <c r="P3454">
        <v>18</v>
      </c>
      <c r="Q3454" t="s">
        <v>7249</v>
      </c>
    </row>
    <row r="3455" spans="1:17" x14ac:dyDescent="0.3">
      <c r="A3455" t="s">
        <v>75</v>
      </c>
      <c r="B3455" t="str">
        <f>"002805"</f>
        <v>002805</v>
      </c>
      <c r="C3455" t="s">
        <v>7250</v>
      </c>
      <c r="D3455" t="s">
        <v>1759</v>
      </c>
      <c r="E3455">
        <v>167646716</v>
      </c>
      <c r="F3455">
        <v>117571609</v>
      </c>
      <c r="G3455">
        <v>75924186</v>
      </c>
      <c r="H3455">
        <v>58812503</v>
      </c>
      <c r="I3455">
        <v>81162475</v>
      </c>
      <c r="J3455">
        <v>74495307</v>
      </c>
      <c r="K3455">
        <v>86390280</v>
      </c>
      <c r="L3455">
        <v>96125780</v>
      </c>
      <c r="P3455">
        <v>113</v>
      </c>
      <c r="Q3455" t="s">
        <v>7251</v>
      </c>
    </row>
    <row r="3456" spans="1:17" x14ac:dyDescent="0.3">
      <c r="A3456" t="s">
        <v>75</v>
      </c>
      <c r="B3456" t="str">
        <f>"002899"</f>
        <v>002899</v>
      </c>
      <c r="C3456" t="s">
        <v>7252</v>
      </c>
      <c r="D3456" t="s">
        <v>5484</v>
      </c>
      <c r="E3456">
        <v>167646446</v>
      </c>
      <c r="F3456">
        <v>215164705</v>
      </c>
      <c r="G3456">
        <v>184625921</v>
      </c>
      <c r="H3456">
        <v>183192204</v>
      </c>
      <c r="I3456">
        <v>205749747</v>
      </c>
      <c r="J3456">
        <v>174114795</v>
      </c>
      <c r="P3456">
        <v>65</v>
      </c>
      <c r="Q3456" t="s">
        <v>7253</v>
      </c>
    </row>
    <row r="3457" spans="1:17" x14ac:dyDescent="0.3">
      <c r="A3457" t="s">
        <v>75</v>
      </c>
      <c r="B3457" t="str">
        <f>"000609"</f>
        <v>000609</v>
      </c>
      <c r="C3457" t="s">
        <v>7254</v>
      </c>
      <c r="D3457" t="s">
        <v>65</v>
      </c>
      <c r="E3457">
        <v>167476066</v>
      </c>
      <c r="F3457">
        <v>8383296</v>
      </c>
      <c r="G3457">
        <v>146670942</v>
      </c>
      <c r="H3457">
        <v>235065397</v>
      </c>
      <c r="I3457">
        <v>3865444</v>
      </c>
      <c r="J3457">
        <v>29839981</v>
      </c>
      <c r="K3457">
        <v>57925974</v>
      </c>
      <c r="L3457">
        <v>64003338</v>
      </c>
      <c r="M3457">
        <v>110664849</v>
      </c>
      <c r="N3457">
        <v>119565878</v>
      </c>
      <c r="O3457">
        <v>146699459</v>
      </c>
      <c r="P3457">
        <v>95</v>
      </c>
      <c r="Q3457" t="s">
        <v>7255</v>
      </c>
    </row>
    <row r="3458" spans="1:17" x14ac:dyDescent="0.3">
      <c r="A3458" t="s">
        <v>75</v>
      </c>
      <c r="B3458" t="str">
        <f>"301212"</f>
        <v>301212</v>
      </c>
      <c r="C3458" t="s">
        <v>7256</v>
      </c>
      <c r="E3458">
        <v>167256348</v>
      </c>
      <c r="F3458">
        <v>143196755</v>
      </c>
      <c r="P3458">
        <v>3</v>
      </c>
      <c r="Q3458" t="s">
        <v>7257</v>
      </c>
    </row>
    <row r="3459" spans="1:17" x14ac:dyDescent="0.3">
      <c r="A3459" t="s">
        <v>75</v>
      </c>
      <c r="B3459" t="str">
        <f>"000862"</f>
        <v>000862</v>
      </c>
      <c r="C3459" t="s">
        <v>7258</v>
      </c>
      <c r="D3459" t="s">
        <v>869</v>
      </c>
      <c r="E3459">
        <v>167013531</v>
      </c>
      <c r="F3459">
        <v>160680132</v>
      </c>
      <c r="G3459">
        <v>122105420</v>
      </c>
      <c r="H3459">
        <v>196956825</v>
      </c>
      <c r="I3459">
        <v>112043407</v>
      </c>
      <c r="J3459">
        <v>145900064</v>
      </c>
      <c r="K3459">
        <v>277528899</v>
      </c>
      <c r="L3459">
        <v>282045827</v>
      </c>
      <c r="M3459">
        <v>148323842</v>
      </c>
      <c r="N3459">
        <v>192892852</v>
      </c>
      <c r="O3459">
        <v>202770750</v>
      </c>
      <c r="P3459">
        <v>171</v>
      </c>
      <c r="Q3459" t="s">
        <v>7259</v>
      </c>
    </row>
    <row r="3460" spans="1:17" x14ac:dyDescent="0.3">
      <c r="A3460" t="s">
        <v>17</v>
      </c>
      <c r="B3460" t="str">
        <f>"603956"</f>
        <v>603956</v>
      </c>
      <c r="C3460" t="s">
        <v>7260</v>
      </c>
      <c r="D3460" t="s">
        <v>1624</v>
      </c>
      <c r="E3460">
        <v>166970741</v>
      </c>
      <c r="F3460">
        <v>193519126</v>
      </c>
      <c r="G3460">
        <v>113727311</v>
      </c>
      <c r="H3460">
        <v>124453514</v>
      </c>
      <c r="I3460">
        <v>111904366</v>
      </c>
      <c r="P3460">
        <v>181</v>
      </c>
      <c r="Q3460" t="s">
        <v>7261</v>
      </c>
    </row>
    <row r="3461" spans="1:17" x14ac:dyDescent="0.3">
      <c r="A3461" t="s">
        <v>75</v>
      </c>
      <c r="B3461" t="str">
        <f>"001267"</f>
        <v>001267</v>
      </c>
      <c r="C3461" t="s">
        <v>7262</v>
      </c>
      <c r="D3461" t="s">
        <v>1523</v>
      </c>
      <c r="E3461">
        <v>166967749</v>
      </c>
      <c r="F3461">
        <v>191932612</v>
      </c>
      <c r="P3461">
        <v>10</v>
      </c>
      <c r="Q3461" t="s">
        <v>7263</v>
      </c>
    </row>
    <row r="3462" spans="1:17" x14ac:dyDescent="0.3">
      <c r="A3462" t="s">
        <v>75</v>
      </c>
      <c r="B3462" t="str">
        <f>"300101"</f>
        <v>300101</v>
      </c>
      <c r="C3462" t="s">
        <v>7264</v>
      </c>
      <c r="D3462" t="s">
        <v>1572</v>
      </c>
      <c r="E3462">
        <v>166769609</v>
      </c>
      <c r="F3462">
        <v>143594925</v>
      </c>
      <c r="G3462">
        <v>115566319</v>
      </c>
      <c r="H3462">
        <v>99354753</v>
      </c>
      <c r="I3462">
        <v>210912716</v>
      </c>
      <c r="J3462">
        <v>48690035</v>
      </c>
      <c r="K3462">
        <v>55514773</v>
      </c>
      <c r="L3462">
        <v>39619947</v>
      </c>
      <c r="M3462">
        <v>33937692</v>
      </c>
      <c r="N3462">
        <v>38785005</v>
      </c>
      <c r="O3462">
        <v>13769146</v>
      </c>
      <c r="P3462">
        <v>3120</v>
      </c>
      <c r="Q3462" t="s">
        <v>7265</v>
      </c>
    </row>
    <row r="3463" spans="1:17" x14ac:dyDescent="0.3">
      <c r="A3463" t="s">
        <v>75</v>
      </c>
      <c r="B3463" t="str">
        <f>"300405"</f>
        <v>300405</v>
      </c>
      <c r="C3463" t="s">
        <v>7266</v>
      </c>
      <c r="D3463" t="s">
        <v>292</v>
      </c>
      <c r="E3463">
        <v>166681943</v>
      </c>
      <c r="F3463">
        <v>238508857</v>
      </c>
      <c r="G3463">
        <v>174343231</v>
      </c>
      <c r="H3463">
        <v>207554310</v>
      </c>
      <c r="I3463">
        <v>217979397</v>
      </c>
      <c r="J3463">
        <v>213499921</v>
      </c>
      <c r="K3463">
        <v>218493131</v>
      </c>
      <c r="L3463">
        <v>176633587</v>
      </c>
      <c r="M3463">
        <v>267130788</v>
      </c>
      <c r="P3463">
        <v>59</v>
      </c>
      <c r="Q3463" t="s">
        <v>7267</v>
      </c>
    </row>
    <row r="3464" spans="1:17" x14ac:dyDescent="0.3">
      <c r="A3464" t="s">
        <v>75</v>
      </c>
      <c r="B3464" t="str">
        <f>"300841"</f>
        <v>300841</v>
      </c>
      <c r="C3464" t="s">
        <v>7268</v>
      </c>
      <c r="D3464" t="s">
        <v>928</v>
      </c>
      <c r="E3464">
        <v>166590278</v>
      </c>
      <c r="F3464">
        <v>117812070</v>
      </c>
      <c r="G3464">
        <v>115451777</v>
      </c>
      <c r="H3464">
        <v>110604478</v>
      </c>
      <c r="P3464">
        <v>314</v>
      </c>
      <c r="Q3464" t="s">
        <v>7269</v>
      </c>
    </row>
    <row r="3465" spans="1:17" x14ac:dyDescent="0.3">
      <c r="A3465" t="s">
        <v>75</v>
      </c>
      <c r="B3465" t="str">
        <f>"301004"</f>
        <v>301004</v>
      </c>
      <c r="C3465" t="s">
        <v>7270</v>
      </c>
      <c r="D3465" t="s">
        <v>1192</v>
      </c>
      <c r="E3465">
        <v>166559836</v>
      </c>
      <c r="F3465">
        <v>114609710</v>
      </c>
      <c r="G3465">
        <v>92517913</v>
      </c>
      <c r="P3465">
        <v>25</v>
      </c>
      <c r="Q3465" t="s">
        <v>7271</v>
      </c>
    </row>
    <row r="3466" spans="1:17" x14ac:dyDescent="0.3">
      <c r="A3466" t="s">
        <v>75</v>
      </c>
      <c r="B3466" t="str">
        <f>"002728"</f>
        <v>002728</v>
      </c>
      <c r="C3466" t="s">
        <v>7272</v>
      </c>
      <c r="D3466" t="s">
        <v>321</v>
      </c>
      <c r="E3466">
        <v>166289579</v>
      </c>
      <c r="F3466">
        <v>218800422</v>
      </c>
      <c r="G3466">
        <v>173915235</v>
      </c>
      <c r="H3466">
        <v>238993453</v>
      </c>
      <c r="I3466">
        <v>189430508</v>
      </c>
      <c r="J3466">
        <v>153650708</v>
      </c>
      <c r="K3466">
        <v>116585259</v>
      </c>
      <c r="L3466">
        <v>98146187</v>
      </c>
      <c r="M3466">
        <v>0</v>
      </c>
      <c r="N3466">
        <v>0</v>
      </c>
      <c r="P3466">
        <v>286</v>
      </c>
      <c r="Q3466" t="s">
        <v>7273</v>
      </c>
    </row>
    <row r="3467" spans="1:17" x14ac:dyDescent="0.3">
      <c r="A3467" t="s">
        <v>75</v>
      </c>
      <c r="B3467" t="str">
        <f>"300167"</f>
        <v>300167</v>
      </c>
      <c r="C3467" t="s">
        <v>7274</v>
      </c>
      <c r="D3467" t="s">
        <v>224</v>
      </c>
      <c r="E3467">
        <v>166277355</v>
      </c>
      <c r="F3467">
        <v>48478696</v>
      </c>
      <c r="G3467">
        <v>54247200</v>
      </c>
      <c r="H3467">
        <v>85055433</v>
      </c>
      <c r="I3467">
        <v>121973328</v>
      </c>
      <c r="J3467">
        <v>139157015</v>
      </c>
      <c r="K3467">
        <v>100587031</v>
      </c>
      <c r="L3467">
        <v>170924352</v>
      </c>
      <c r="M3467">
        <v>17493915</v>
      </c>
      <c r="N3467">
        <v>28462180</v>
      </c>
      <c r="O3467">
        <v>52975662</v>
      </c>
      <c r="P3467">
        <v>131</v>
      </c>
      <c r="Q3467" t="s">
        <v>7275</v>
      </c>
    </row>
    <row r="3468" spans="1:17" x14ac:dyDescent="0.3">
      <c r="A3468" t="s">
        <v>75</v>
      </c>
      <c r="B3468" t="str">
        <f>"300234"</f>
        <v>300234</v>
      </c>
      <c r="C3468" t="s">
        <v>7276</v>
      </c>
      <c r="D3468" t="s">
        <v>1257</v>
      </c>
      <c r="E3468">
        <v>166154002</v>
      </c>
      <c r="F3468">
        <v>129768079</v>
      </c>
      <c r="G3468">
        <v>82540766</v>
      </c>
      <c r="H3468">
        <v>108748828</v>
      </c>
      <c r="I3468">
        <v>82830954</v>
      </c>
      <c r="J3468">
        <v>91498248</v>
      </c>
      <c r="K3468">
        <v>109925818</v>
      </c>
      <c r="L3468">
        <v>76887349</v>
      </c>
      <c r="M3468">
        <v>122535484</v>
      </c>
      <c r="N3468">
        <v>73332247</v>
      </c>
      <c r="O3468">
        <v>41343547</v>
      </c>
      <c r="P3468">
        <v>111</v>
      </c>
      <c r="Q3468" t="s">
        <v>7277</v>
      </c>
    </row>
    <row r="3469" spans="1:17" x14ac:dyDescent="0.3">
      <c r="A3469" t="s">
        <v>75</v>
      </c>
      <c r="B3469" t="str">
        <f>"300419"</f>
        <v>300419</v>
      </c>
      <c r="C3469" t="s">
        <v>7278</v>
      </c>
      <c r="D3469" t="s">
        <v>224</v>
      </c>
      <c r="E3469">
        <v>166116994</v>
      </c>
      <c r="F3469">
        <v>76369702</v>
      </c>
      <c r="G3469">
        <v>38365759</v>
      </c>
      <c r="H3469">
        <v>70802827</v>
      </c>
      <c r="I3469">
        <v>81451185</v>
      </c>
      <c r="J3469">
        <v>110126570</v>
      </c>
      <c r="K3469">
        <v>97524664</v>
      </c>
      <c r="L3469">
        <v>71993575</v>
      </c>
      <c r="M3469">
        <v>69441776</v>
      </c>
      <c r="P3469">
        <v>89</v>
      </c>
      <c r="Q3469" t="s">
        <v>7279</v>
      </c>
    </row>
    <row r="3470" spans="1:17" x14ac:dyDescent="0.3">
      <c r="A3470" t="s">
        <v>75</v>
      </c>
      <c r="B3470" t="str">
        <f>"002872"</f>
        <v>002872</v>
      </c>
      <c r="C3470" t="s">
        <v>7280</v>
      </c>
      <c r="D3470" t="s">
        <v>123</v>
      </c>
      <c r="E3470">
        <v>166051653</v>
      </c>
      <c r="F3470">
        <v>356239838</v>
      </c>
      <c r="G3470">
        <v>391328440</v>
      </c>
      <c r="H3470">
        <v>532367799</v>
      </c>
      <c r="I3470">
        <v>598234977</v>
      </c>
      <c r="J3470">
        <v>535609680</v>
      </c>
      <c r="K3470">
        <v>0</v>
      </c>
      <c r="P3470">
        <v>69</v>
      </c>
      <c r="Q3470" t="s">
        <v>7281</v>
      </c>
    </row>
    <row r="3471" spans="1:17" x14ac:dyDescent="0.3">
      <c r="A3471" t="s">
        <v>17</v>
      </c>
      <c r="B3471" t="str">
        <f>"605016"</f>
        <v>605016</v>
      </c>
      <c r="C3471" t="s">
        <v>7282</v>
      </c>
      <c r="D3471" t="s">
        <v>1291</v>
      </c>
      <c r="E3471">
        <v>165675101</v>
      </c>
      <c r="F3471">
        <v>134585970</v>
      </c>
      <c r="G3471">
        <v>88805521</v>
      </c>
      <c r="P3471">
        <v>65</v>
      </c>
      <c r="Q3471" t="s">
        <v>7283</v>
      </c>
    </row>
    <row r="3472" spans="1:17" x14ac:dyDescent="0.3">
      <c r="A3472" t="s">
        <v>75</v>
      </c>
      <c r="B3472" t="str">
        <f>"300758"</f>
        <v>300758</v>
      </c>
      <c r="C3472" t="s">
        <v>7284</v>
      </c>
      <c r="D3472" t="s">
        <v>4853</v>
      </c>
      <c r="E3472">
        <v>165495553</v>
      </c>
      <c r="F3472">
        <v>153265402</v>
      </c>
      <c r="G3472">
        <v>78735214</v>
      </c>
      <c r="H3472">
        <v>93341248</v>
      </c>
      <c r="I3472">
        <v>65304467</v>
      </c>
      <c r="P3472">
        <v>104</v>
      </c>
      <c r="Q3472" t="s">
        <v>7285</v>
      </c>
    </row>
    <row r="3473" spans="1:17" x14ac:dyDescent="0.3">
      <c r="A3473" t="s">
        <v>75</v>
      </c>
      <c r="B3473" t="str">
        <f>"301063"</f>
        <v>301063</v>
      </c>
      <c r="C3473" t="s">
        <v>7286</v>
      </c>
      <c r="D3473" t="s">
        <v>153</v>
      </c>
      <c r="E3473">
        <v>165415553</v>
      </c>
      <c r="G3473">
        <v>91473193</v>
      </c>
      <c r="P3473">
        <v>17</v>
      </c>
      <c r="Q3473" t="s">
        <v>7287</v>
      </c>
    </row>
    <row r="3474" spans="1:17" x14ac:dyDescent="0.3">
      <c r="A3474" t="s">
        <v>75</v>
      </c>
      <c r="B3474" t="str">
        <f>"300780"</f>
        <v>300780</v>
      </c>
      <c r="C3474" t="s">
        <v>7288</v>
      </c>
      <c r="D3474" t="s">
        <v>153</v>
      </c>
      <c r="E3474">
        <v>165372644</v>
      </c>
      <c r="F3474">
        <v>94422732</v>
      </c>
      <c r="G3474">
        <v>64749450</v>
      </c>
      <c r="H3474">
        <v>105512219</v>
      </c>
      <c r="I3474">
        <v>101344292</v>
      </c>
      <c r="J3474">
        <v>70568547</v>
      </c>
      <c r="P3474">
        <v>56</v>
      </c>
      <c r="Q3474" t="s">
        <v>7289</v>
      </c>
    </row>
    <row r="3475" spans="1:17" x14ac:dyDescent="0.3">
      <c r="A3475" t="s">
        <v>75</v>
      </c>
      <c r="B3475" t="str">
        <f>"300695"</f>
        <v>300695</v>
      </c>
      <c r="C3475" t="s">
        <v>7290</v>
      </c>
      <c r="D3475" t="s">
        <v>904</v>
      </c>
      <c r="E3475">
        <v>165116992</v>
      </c>
      <c r="F3475">
        <v>115399009</v>
      </c>
      <c r="G3475">
        <v>117358916</v>
      </c>
      <c r="H3475">
        <v>107730878</v>
      </c>
      <c r="I3475">
        <v>145020699</v>
      </c>
      <c r="J3475">
        <v>128285307</v>
      </c>
      <c r="P3475">
        <v>125</v>
      </c>
      <c r="Q3475" t="s">
        <v>7291</v>
      </c>
    </row>
    <row r="3476" spans="1:17" x14ac:dyDescent="0.3">
      <c r="A3476" t="s">
        <v>17</v>
      </c>
      <c r="B3476" t="str">
        <f>"605177"</f>
        <v>605177</v>
      </c>
      <c r="C3476" t="s">
        <v>7292</v>
      </c>
      <c r="D3476" t="s">
        <v>1242</v>
      </c>
      <c r="E3476">
        <v>164651123</v>
      </c>
      <c r="F3476">
        <v>137367582</v>
      </c>
      <c r="G3476">
        <v>79526808</v>
      </c>
      <c r="P3476">
        <v>38</v>
      </c>
      <c r="Q3476" t="s">
        <v>7293</v>
      </c>
    </row>
    <row r="3477" spans="1:17" x14ac:dyDescent="0.3">
      <c r="A3477" t="s">
        <v>17</v>
      </c>
      <c r="B3477" t="str">
        <f>"603079"</f>
        <v>603079</v>
      </c>
      <c r="C3477" t="s">
        <v>7294</v>
      </c>
      <c r="D3477" t="s">
        <v>1242</v>
      </c>
      <c r="E3477">
        <v>164516384</v>
      </c>
      <c r="F3477">
        <v>189584244</v>
      </c>
      <c r="G3477">
        <v>128081427</v>
      </c>
      <c r="H3477">
        <v>119562948</v>
      </c>
      <c r="I3477">
        <v>129231139</v>
      </c>
      <c r="J3477">
        <v>110415806</v>
      </c>
      <c r="P3477">
        <v>239</v>
      </c>
      <c r="Q3477" t="s">
        <v>7295</v>
      </c>
    </row>
    <row r="3478" spans="1:17" x14ac:dyDescent="0.3">
      <c r="A3478" t="s">
        <v>17</v>
      </c>
      <c r="B3478" t="str">
        <f>"600379"</f>
        <v>600379</v>
      </c>
      <c r="C3478" t="s">
        <v>7296</v>
      </c>
      <c r="D3478" t="s">
        <v>347</v>
      </c>
      <c r="E3478">
        <v>164510243</v>
      </c>
      <c r="F3478">
        <v>104099527</v>
      </c>
      <c r="G3478">
        <v>92232006</v>
      </c>
      <c r="H3478">
        <v>105616064</v>
      </c>
      <c r="I3478">
        <v>98834418</v>
      </c>
      <c r="J3478">
        <v>73675389</v>
      </c>
      <c r="K3478">
        <v>111793084</v>
      </c>
      <c r="L3478">
        <v>78442745</v>
      </c>
      <c r="M3478">
        <v>144378372</v>
      </c>
      <c r="N3478">
        <v>105474177</v>
      </c>
      <c r="O3478">
        <v>87892118</v>
      </c>
      <c r="P3478">
        <v>83</v>
      </c>
      <c r="Q3478" t="s">
        <v>7297</v>
      </c>
    </row>
    <row r="3479" spans="1:17" x14ac:dyDescent="0.3">
      <c r="A3479" t="s">
        <v>75</v>
      </c>
      <c r="B3479" t="str">
        <f>"002347"</f>
        <v>002347</v>
      </c>
      <c r="C3479" t="s">
        <v>7298</v>
      </c>
      <c r="D3479" t="s">
        <v>153</v>
      </c>
      <c r="E3479">
        <v>164446205</v>
      </c>
      <c r="F3479">
        <v>172147244</v>
      </c>
      <c r="G3479">
        <v>85578795</v>
      </c>
      <c r="H3479">
        <v>180266226</v>
      </c>
      <c r="I3479">
        <v>100247793</v>
      </c>
      <c r="J3479">
        <v>57142619</v>
      </c>
      <c r="K3479">
        <v>37464452</v>
      </c>
      <c r="L3479">
        <v>41778272</v>
      </c>
      <c r="M3479">
        <v>86770694</v>
      </c>
      <c r="N3479">
        <v>138734854</v>
      </c>
      <c r="O3479">
        <v>101533145</v>
      </c>
      <c r="P3479">
        <v>75</v>
      </c>
      <c r="Q3479" t="s">
        <v>7299</v>
      </c>
    </row>
    <row r="3480" spans="1:17" x14ac:dyDescent="0.3">
      <c r="A3480" t="s">
        <v>75</v>
      </c>
      <c r="B3480" t="str">
        <f>"000803"</f>
        <v>000803</v>
      </c>
      <c r="C3480" t="s">
        <v>7300</v>
      </c>
      <c r="D3480" t="s">
        <v>457</v>
      </c>
      <c r="E3480">
        <v>164176471</v>
      </c>
      <c r="F3480">
        <v>104390443</v>
      </c>
      <c r="G3480">
        <v>900000</v>
      </c>
      <c r="H3480">
        <v>89386366</v>
      </c>
      <c r="I3480">
        <v>27879227</v>
      </c>
      <c r="J3480">
        <v>10242043</v>
      </c>
      <c r="K3480">
        <v>25216228</v>
      </c>
      <c r="L3480">
        <v>22928283</v>
      </c>
      <c r="M3480">
        <v>25295012</v>
      </c>
      <c r="N3480">
        <v>97883594</v>
      </c>
      <c r="O3480">
        <v>27807300</v>
      </c>
      <c r="P3480">
        <v>79</v>
      </c>
      <c r="Q3480" t="s">
        <v>7301</v>
      </c>
    </row>
    <row r="3481" spans="1:17" x14ac:dyDescent="0.3">
      <c r="A3481" t="s">
        <v>75</v>
      </c>
      <c r="B3481" t="str">
        <f>"002700"</f>
        <v>002700</v>
      </c>
      <c r="C3481" t="s">
        <v>7302</v>
      </c>
      <c r="D3481" t="s">
        <v>147</v>
      </c>
      <c r="E3481">
        <v>163890492</v>
      </c>
      <c r="F3481">
        <v>134431245</v>
      </c>
      <c r="G3481">
        <v>101512646</v>
      </c>
      <c r="H3481">
        <v>129433812</v>
      </c>
      <c r="I3481">
        <v>99895713</v>
      </c>
      <c r="J3481">
        <v>99785834</v>
      </c>
      <c r="K3481">
        <v>97022907</v>
      </c>
      <c r="L3481">
        <v>96119036</v>
      </c>
      <c r="M3481">
        <v>84236113</v>
      </c>
      <c r="N3481">
        <v>80474163</v>
      </c>
      <c r="O3481">
        <v>51998625</v>
      </c>
      <c r="P3481">
        <v>53</v>
      </c>
      <c r="Q3481" t="s">
        <v>7303</v>
      </c>
    </row>
    <row r="3482" spans="1:17" x14ac:dyDescent="0.3">
      <c r="A3482" t="s">
        <v>75</v>
      </c>
      <c r="B3482" t="str">
        <f>"002002"</f>
        <v>002002</v>
      </c>
      <c r="C3482" t="s">
        <v>7304</v>
      </c>
      <c r="D3482" t="s">
        <v>311</v>
      </c>
      <c r="E3482">
        <v>163584421</v>
      </c>
      <c r="F3482">
        <v>1389303743</v>
      </c>
      <c r="G3482">
        <v>1098795569</v>
      </c>
      <c r="H3482">
        <v>1549109555</v>
      </c>
      <c r="I3482">
        <v>1013069923</v>
      </c>
      <c r="J3482">
        <v>1052184524</v>
      </c>
      <c r="K3482">
        <v>862540269</v>
      </c>
      <c r="L3482">
        <v>425536367</v>
      </c>
      <c r="M3482">
        <v>298029476</v>
      </c>
      <c r="N3482">
        <v>66260710</v>
      </c>
      <c r="O3482">
        <v>59741749</v>
      </c>
      <c r="P3482">
        <v>451</v>
      </c>
      <c r="Q3482" t="s">
        <v>7305</v>
      </c>
    </row>
    <row r="3483" spans="1:17" x14ac:dyDescent="0.3">
      <c r="A3483" t="s">
        <v>75</v>
      </c>
      <c r="B3483" t="str">
        <f>"002122"</f>
        <v>002122</v>
      </c>
      <c r="C3483" t="s">
        <v>7306</v>
      </c>
      <c r="D3483" t="s">
        <v>153</v>
      </c>
      <c r="E3483">
        <v>163522041</v>
      </c>
      <c r="F3483">
        <v>124462382</v>
      </c>
      <c r="G3483">
        <v>101679976</v>
      </c>
      <c r="H3483">
        <v>325484617</v>
      </c>
      <c r="I3483">
        <v>389804483</v>
      </c>
      <c r="J3483">
        <v>322351561</v>
      </c>
      <c r="K3483">
        <v>307749369</v>
      </c>
      <c r="L3483">
        <v>357695758</v>
      </c>
      <c r="M3483">
        <v>394665205</v>
      </c>
      <c r="N3483">
        <v>429450579</v>
      </c>
      <c r="O3483">
        <v>611875302</v>
      </c>
      <c r="P3483">
        <v>69</v>
      </c>
      <c r="Q3483" t="s">
        <v>7307</v>
      </c>
    </row>
    <row r="3484" spans="1:17" x14ac:dyDescent="0.3">
      <c r="A3484" t="s">
        <v>75</v>
      </c>
      <c r="B3484" t="str">
        <f>"300471"</f>
        <v>300471</v>
      </c>
      <c r="C3484" t="s">
        <v>7308</v>
      </c>
      <c r="D3484" t="s">
        <v>1624</v>
      </c>
      <c r="E3484">
        <v>163006298</v>
      </c>
      <c r="F3484">
        <v>147450344</v>
      </c>
      <c r="G3484">
        <v>61342289</v>
      </c>
      <c r="H3484">
        <v>111968396</v>
      </c>
      <c r="I3484">
        <v>102925981</v>
      </c>
      <c r="J3484">
        <v>248386432</v>
      </c>
      <c r="K3484">
        <v>92402362</v>
      </c>
      <c r="L3484">
        <v>137289994</v>
      </c>
      <c r="M3484">
        <v>149951958</v>
      </c>
      <c r="P3484">
        <v>166</v>
      </c>
      <c r="Q3484" t="s">
        <v>7309</v>
      </c>
    </row>
    <row r="3485" spans="1:17" x14ac:dyDescent="0.3">
      <c r="A3485" t="s">
        <v>17</v>
      </c>
      <c r="B3485" t="str">
        <f>"603324"</f>
        <v>603324</v>
      </c>
      <c r="C3485" t="s">
        <v>7310</v>
      </c>
      <c r="D3485" t="s">
        <v>1642</v>
      </c>
      <c r="E3485">
        <v>162889244</v>
      </c>
      <c r="F3485">
        <v>95444091</v>
      </c>
      <c r="G3485">
        <v>93671126</v>
      </c>
      <c r="P3485">
        <v>29</v>
      </c>
      <c r="Q3485" t="s">
        <v>7311</v>
      </c>
    </row>
    <row r="3486" spans="1:17" x14ac:dyDescent="0.3">
      <c r="A3486" t="s">
        <v>17</v>
      </c>
      <c r="B3486" t="str">
        <f>"603078"</f>
        <v>603078</v>
      </c>
      <c r="C3486" t="s">
        <v>7312</v>
      </c>
      <c r="D3486" t="s">
        <v>1853</v>
      </c>
      <c r="E3486">
        <v>162883489</v>
      </c>
      <c r="F3486">
        <v>115724156</v>
      </c>
      <c r="G3486">
        <v>85835341</v>
      </c>
      <c r="H3486">
        <v>69017009</v>
      </c>
      <c r="I3486">
        <v>78225128</v>
      </c>
      <c r="J3486">
        <v>66033858</v>
      </c>
      <c r="K3486">
        <v>61750775</v>
      </c>
      <c r="P3486">
        <v>226</v>
      </c>
      <c r="Q3486" t="s">
        <v>7313</v>
      </c>
    </row>
    <row r="3487" spans="1:17" x14ac:dyDescent="0.3">
      <c r="A3487" t="s">
        <v>17</v>
      </c>
      <c r="B3487" t="str">
        <f>"688667"</f>
        <v>688667</v>
      </c>
      <c r="C3487" t="s">
        <v>7314</v>
      </c>
      <c r="D3487" t="s">
        <v>433</v>
      </c>
      <c r="E3487">
        <v>162872435</v>
      </c>
      <c r="F3487">
        <v>105582383</v>
      </c>
      <c r="G3487">
        <v>111895979</v>
      </c>
      <c r="P3487">
        <v>66</v>
      </c>
      <c r="Q3487" t="s">
        <v>7315</v>
      </c>
    </row>
    <row r="3488" spans="1:17" x14ac:dyDescent="0.3">
      <c r="A3488" t="s">
        <v>17</v>
      </c>
      <c r="B3488" t="str">
        <f>"603811"</f>
        <v>603811</v>
      </c>
      <c r="C3488" t="s">
        <v>7316</v>
      </c>
      <c r="D3488" t="s">
        <v>543</v>
      </c>
      <c r="E3488">
        <v>162690721</v>
      </c>
      <c r="F3488">
        <v>161217710</v>
      </c>
      <c r="G3488">
        <v>132434730</v>
      </c>
      <c r="H3488">
        <v>145044368</v>
      </c>
      <c r="I3488">
        <v>123668638</v>
      </c>
      <c r="J3488">
        <v>66592648</v>
      </c>
      <c r="K3488">
        <v>65298795</v>
      </c>
      <c r="P3488">
        <v>327</v>
      </c>
      <c r="Q3488" t="s">
        <v>7317</v>
      </c>
    </row>
    <row r="3489" spans="1:17" x14ac:dyDescent="0.3">
      <c r="A3489" t="s">
        <v>17</v>
      </c>
      <c r="B3489" t="str">
        <f>"600301"</f>
        <v>600301</v>
      </c>
      <c r="C3489" t="s">
        <v>7318</v>
      </c>
      <c r="D3489" t="s">
        <v>142</v>
      </c>
      <c r="E3489">
        <v>162604213</v>
      </c>
      <c r="F3489">
        <v>148019379</v>
      </c>
      <c r="G3489">
        <v>191776542</v>
      </c>
      <c r="H3489">
        <v>131768617</v>
      </c>
      <c r="I3489">
        <v>6432157</v>
      </c>
      <c r="J3489">
        <v>30408682</v>
      </c>
      <c r="K3489">
        <v>31601902</v>
      </c>
      <c r="L3489">
        <v>39642550</v>
      </c>
      <c r="M3489">
        <v>207229930</v>
      </c>
      <c r="N3489">
        <v>208086333</v>
      </c>
      <c r="O3489">
        <v>167780103</v>
      </c>
      <c r="P3489">
        <v>53</v>
      </c>
      <c r="Q3489" t="s">
        <v>7319</v>
      </c>
    </row>
    <row r="3490" spans="1:17" x14ac:dyDescent="0.3">
      <c r="A3490" t="s">
        <v>75</v>
      </c>
      <c r="B3490" t="str">
        <f>"300501"</f>
        <v>300501</v>
      </c>
      <c r="C3490" t="s">
        <v>7320</v>
      </c>
      <c r="D3490" t="s">
        <v>5086</v>
      </c>
      <c r="E3490">
        <v>162513044</v>
      </c>
      <c r="F3490">
        <v>204795533</v>
      </c>
      <c r="G3490">
        <v>147016733</v>
      </c>
      <c r="H3490">
        <v>141140522</v>
      </c>
      <c r="I3490">
        <v>81370053</v>
      </c>
      <c r="J3490">
        <v>50546449</v>
      </c>
      <c r="K3490">
        <v>41418937</v>
      </c>
      <c r="L3490">
        <v>39585429</v>
      </c>
      <c r="P3490">
        <v>131</v>
      </c>
      <c r="Q3490" t="s">
        <v>7321</v>
      </c>
    </row>
    <row r="3491" spans="1:17" x14ac:dyDescent="0.3">
      <c r="A3491" t="s">
        <v>75</v>
      </c>
      <c r="B3491" t="str">
        <f>"300400"</f>
        <v>300400</v>
      </c>
      <c r="C3491" t="s">
        <v>7322</v>
      </c>
      <c r="D3491" t="s">
        <v>2910</v>
      </c>
      <c r="E3491">
        <v>162483266</v>
      </c>
      <c r="F3491">
        <v>196518642</v>
      </c>
      <c r="G3491">
        <v>209469831</v>
      </c>
      <c r="H3491">
        <v>118308559</v>
      </c>
      <c r="I3491">
        <v>143496856</v>
      </c>
      <c r="J3491">
        <v>103980687</v>
      </c>
      <c r="K3491">
        <v>54184656</v>
      </c>
      <c r="L3491">
        <v>61578651</v>
      </c>
      <c r="M3491">
        <v>65240354</v>
      </c>
      <c r="P3491">
        <v>273</v>
      </c>
      <c r="Q3491" t="s">
        <v>7323</v>
      </c>
    </row>
    <row r="3492" spans="1:17" x14ac:dyDescent="0.3">
      <c r="A3492" t="s">
        <v>17</v>
      </c>
      <c r="B3492" t="str">
        <f>"688125"</f>
        <v>688125</v>
      </c>
      <c r="C3492" t="s">
        <v>7324</v>
      </c>
      <c r="E3492">
        <v>162440555</v>
      </c>
      <c r="P3492">
        <v>2</v>
      </c>
      <c r="Q3492" t="s">
        <v>7325</v>
      </c>
    </row>
    <row r="3493" spans="1:17" x14ac:dyDescent="0.3">
      <c r="A3493" t="s">
        <v>75</v>
      </c>
      <c r="B3493" t="str">
        <f>"200054"</f>
        <v>200054</v>
      </c>
      <c r="C3493" t="s">
        <v>7326</v>
      </c>
      <c r="E3493">
        <v>162427177.50799999</v>
      </c>
      <c r="F3493">
        <v>173284691.023</v>
      </c>
      <c r="G3493">
        <v>109862890.5297</v>
      </c>
      <c r="H3493">
        <v>103816943.9649</v>
      </c>
      <c r="I3493">
        <v>107613339.37450001</v>
      </c>
      <c r="J3493">
        <v>143911829.13440001</v>
      </c>
      <c r="K3493">
        <v>144681338.1004</v>
      </c>
      <c r="L3493">
        <v>263467290</v>
      </c>
      <c r="M3493">
        <v>343944702.78920001</v>
      </c>
      <c r="N3493">
        <v>460980068.88599998</v>
      </c>
      <c r="O3493">
        <v>366309650.727</v>
      </c>
      <c r="P3493">
        <v>7</v>
      </c>
      <c r="Q3493" t="s">
        <v>7327</v>
      </c>
    </row>
    <row r="3494" spans="1:17" x14ac:dyDescent="0.3">
      <c r="A3494" t="s">
        <v>17</v>
      </c>
      <c r="B3494" t="str">
        <f>"603117"</f>
        <v>603117</v>
      </c>
      <c r="C3494" t="s">
        <v>7328</v>
      </c>
      <c r="D3494" t="s">
        <v>229</v>
      </c>
      <c r="E3494">
        <v>162185366</v>
      </c>
      <c r="F3494">
        <v>150641943</v>
      </c>
      <c r="G3494">
        <v>211295626</v>
      </c>
      <c r="H3494">
        <v>233570661</v>
      </c>
      <c r="I3494">
        <v>269833345</v>
      </c>
      <c r="J3494">
        <v>101768903</v>
      </c>
      <c r="K3494">
        <v>93301695</v>
      </c>
      <c r="L3494">
        <v>81721093</v>
      </c>
      <c r="M3494">
        <v>97408270</v>
      </c>
      <c r="P3494">
        <v>64</v>
      </c>
      <c r="Q3494" t="s">
        <v>7329</v>
      </c>
    </row>
    <row r="3495" spans="1:17" x14ac:dyDescent="0.3">
      <c r="A3495" t="s">
        <v>17</v>
      </c>
      <c r="B3495" t="str">
        <f>"688010"</f>
        <v>688010</v>
      </c>
      <c r="C3495" t="s">
        <v>7330</v>
      </c>
      <c r="D3495" t="s">
        <v>975</v>
      </c>
      <c r="E3495">
        <v>162039691</v>
      </c>
      <c r="F3495">
        <v>149675689</v>
      </c>
      <c r="G3495">
        <v>134173377</v>
      </c>
      <c r="H3495">
        <v>136541821</v>
      </c>
      <c r="I3495">
        <v>188612745</v>
      </c>
      <c r="P3495">
        <v>125</v>
      </c>
      <c r="Q3495" t="s">
        <v>7331</v>
      </c>
    </row>
    <row r="3496" spans="1:17" x14ac:dyDescent="0.3">
      <c r="A3496" t="s">
        <v>75</v>
      </c>
      <c r="B3496" t="str">
        <f>"301263"</f>
        <v>301263</v>
      </c>
      <c r="C3496" t="s">
        <v>7332</v>
      </c>
      <c r="E3496">
        <v>161943777</v>
      </c>
      <c r="P3496">
        <v>5</v>
      </c>
      <c r="Q3496" t="s">
        <v>7333</v>
      </c>
    </row>
    <row r="3497" spans="1:17" x14ac:dyDescent="0.3">
      <c r="A3497" t="s">
        <v>75</v>
      </c>
      <c r="B3497" t="str">
        <f>"300877"</f>
        <v>300877</v>
      </c>
      <c r="C3497" t="s">
        <v>7334</v>
      </c>
      <c r="D3497" t="s">
        <v>2832</v>
      </c>
      <c r="E3497">
        <v>161740972</v>
      </c>
      <c r="F3497">
        <v>148473954</v>
      </c>
      <c r="G3497">
        <v>155196663</v>
      </c>
      <c r="H3497">
        <v>0</v>
      </c>
      <c r="P3497">
        <v>75</v>
      </c>
      <c r="Q3497" t="s">
        <v>7335</v>
      </c>
    </row>
    <row r="3498" spans="1:17" x14ac:dyDescent="0.3">
      <c r="A3498" t="s">
        <v>17</v>
      </c>
      <c r="B3498" t="str">
        <f>"688033"</f>
        <v>688033</v>
      </c>
      <c r="C3498" t="s">
        <v>7336</v>
      </c>
      <c r="D3498" t="s">
        <v>156</v>
      </c>
      <c r="E3498">
        <v>161670503</v>
      </c>
      <c r="F3498">
        <v>181566912</v>
      </c>
      <c r="G3498">
        <v>122237748</v>
      </c>
      <c r="H3498">
        <v>114173886</v>
      </c>
      <c r="I3498">
        <v>71359643</v>
      </c>
      <c r="P3498">
        <v>86</v>
      </c>
      <c r="Q3498" t="s">
        <v>7337</v>
      </c>
    </row>
    <row r="3499" spans="1:17" x14ac:dyDescent="0.3">
      <c r="A3499" t="s">
        <v>75</v>
      </c>
      <c r="B3499" t="str">
        <f>"000711"</f>
        <v>000711</v>
      </c>
      <c r="C3499" t="s">
        <v>7338</v>
      </c>
      <c r="D3499" t="s">
        <v>1187</v>
      </c>
      <c r="E3499">
        <v>161521940</v>
      </c>
      <c r="F3499">
        <v>264312519</v>
      </c>
      <c r="G3499">
        <v>254035818</v>
      </c>
      <c r="H3499">
        <v>311244806</v>
      </c>
      <c r="I3499">
        <v>334172563</v>
      </c>
      <c r="J3499">
        <v>171716711</v>
      </c>
      <c r="K3499">
        <v>3510110</v>
      </c>
      <c r="L3499">
        <v>17396281</v>
      </c>
      <c r="M3499">
        <v>20608218</v>
      </c>
      <c r="N3499">
        <v>14124525</v>
      </c>
      <c r="O3499">
        <v>13954134</v>
      </c>
      <c r="P3499">
        <v>109</v>
      </c>
      <c r="Q3499" t="s">
        <v>7339</v>
      </c>
    </row>
    <row r="3500" spans="1:17" x14ac:dyDescent="0.3">
      <c r="A3500" t="s">
        <v>75</v>
      </c>
      <c r="B3500" t="str">
        <f>"300645"</f>
        <v>300645</v>
      </c>
      <c r="C3500" t="s">
        <v>7340</v>
      </c>
      <c r="D3500" t="s">
        <v>508</v>
      </c>
      <c r="E3500">
        <v>161489315</v>
      </c>
      <c r="F3500">
        <v>126491245</v>
      </c>
      <c r="G3500">
        <v>87479200</v>
      </c>
      <c r="H3500">
        <v>80963804</v>
      </c>
      <c r="I3500">
        <v>80002916</v>
      </c>
      <c r="J3500">
        <v>50097820</v>
      </c>
      <c r="K3500">
        <v>45036040</v>
      </c>
      <c r="P3500">
        <v>111</v>
      </c>
      <c r="Q3500" t="s">
        <v>7341</v>
      </c>
    </row>
    <row r="3501" spans="1:17" x14ac:dyDescent="0.3">
      <c r="A3501" t="s">
        <v>75</v>
      </c>
      <c r="B3501" t="str">
        <f>"300301"</f>
        <v>300301</v>
      </c>
      <c r="C3501" t="s">
        <v>7342</v>
      </c>
      <c r="D3501" t="s">
        <v>1044</v>
      </c>
      <c r="E3501">
        <v>161328801</v>
      </c>
      <c r="F3501">
        <v>211408568</v>
      </c>
      <c r="G3501">
        <v>199290902</v>
      </c>
      <c r="H3501">
        <v>313944814</v>
      </c>
      <c r="I3501">
        <v>209347120</v>
      </c>
      <c r="J3501">
        <v>341782938</v>
      </c>
      <c r="K3501">
        <v>227084895</v>
      </c>
      <c r="L3501">
        <v>90518427</v>
      </c>
      <c r="M3501">
        <v>191073342</v>
      </c>
      <c r="N3501">
        <v>126158183</v>
      </c>
      <c r="O3501">
        <v>133382232</v>
      </c>
      <c r="P3501">
        <v>75</v>
      </c>
      <c r="Q3501" t="s">
        <v>7343</v>
      </c>
    </row>
    <row r="3502" spans="1:17" x14ac:dyDescent="0.3">
      <c r="A3502" t="s">
        <v>17</v>
      </c>
      <c r="B3502" t="str">
        <f>"603976"</f>
        <v>603976</v>
      </c>
      <c r="C3502" t="s">
        <v>7344</v>
      </c>
      <c r="D3502" t="s">
        <v>1538</v>
      </c>
      <c r="E3502">
        <v>161265656</v>
      </c>
      <c r="F3502">
        <v>120260686</v>
      </c>
      <c r="G3502">
        <v>135857367</v>
      </c>
      <c r="H3502">
        <v>127250308</v>
      </c>
      <c r="I3502">
        <v>79715968</v>
      </c>
      <c r="J3502">
        <v>85323465</v>
      </c>
      <c r="K3502">
        <v>0</v>
      </c>
      <c r="P3502">
        <v>216</v>
      </c>
      <c r="Q3502" t="s">
        <v>7345</v>
      </c>
    </row>
    <row r="3503" spans="1:17" x14ac:dyDescent="0.3">
      <c r="A3503" t="s">
        <v>75</v>
      </c>
      <c r="B3503" t="str">
        <f>"001205"</f>
        <v>001205</v>
      </c>
      <c r="C3503" t="s">
        <v>7346</v>
      </c>
      <c r="D3503" t="s">
        <v>62</v>
      </c>
      <c r="E3503">
        <v>161149390</v>
      </c>
      <c r="F3503">
        <v>140777333</v>
      </c>
      <c r="G3503">
        <v>91076930</v>
      </c>
      <c r="P3503">
        <v>44</v>
      </c>
      <c r="Q3503" t="s">
        <v>7347</v>
      </c>
    </row>
    <row r="3504" spans="1:17" x14ac:dyDescent="0.3">
      <c r="A3504" t="s">
        <v>75</v>
      </c>
      <c r="B3504" t="str">
        <f>"300940"</f>
        <v>300940</v>
      </c>
      <c r="C3504" t="s">
        <v>7348</v>
      </c>
      <c r="D3504" t="s">
        <v>1044</v>
      </c>
      <c r="E3504">
        <v>161073812</v>
      </c>
      <c r="F3504">
        <v>234927273</v>
      </c>
      <c r="G3504">
        <v>199967679</v>
      </c>
      <c r="P3504">
        <v>39</v>
      </c>
      <c r="Q3504" t="s">
        <v>7349</v>
      </c>
    </row>
    <row r="3505" spans="1:17" x14ac:dyDescent="0.3">
      <c r="A3505" t="s">
        <v>75</v>
      </c>
      <c r="B3505" t="str">
        <f>"300229"</f>
        <v>300229</v>
      </c>
      <c r="C3505" t="s">
        <v>7350</v>
      </c>
      <c r="D3505" t="s">
        <v>116</v>
      </c>
      <c r="E3505">
        <v>161035136</v>
      </c>
      <c r="F3505">
        <v>173069747</v>
      </c>
      <c r="G3505">
        <v>123398117</v>
      </c>
      <c r="H3505">
        <v>174301061</v>
      </c>
      <c r="I3505">
        <v>129048014</v>
      </c>
      <c r="J3505">
        <v>99749986</v>
      </c>
      <c r="K3505">
        <v>75176966</v>
      </c>
      <c r="L3505">
        <v>44076045</v>
      </c>
      <c r="M3505">
        <v>46830015</v>
      </c>
      <c r="N3505">
        <v>27726526</v>
      </c>
      <c r="O3505">
        <v>32059824</v>
      </c>
      <c r="P3505">
        <v>209</v>
      </c>
      <c r="Q3505" t="s">
        <v>7351</v>
      </c>
    </row>
    <row r="3506" spans="1:17" x14ac:dyDescent="0.3">
      <c r="A3506" t="s">
        <v>17</v>
      </c>
      <c r="B3506" t="str">
        <f>"600093"</f>
        <v>600093</v>
      </c>
      <c r="C3506" t="s">
        <v>7352</v>
      </c>
      <c r="D3506" t="s">
        <v>7353</v>
      </c>
      <c r="E3506">
        <v>160975020</v>
      </c>
      <c r="F3506">
        <v>1165419437</v>
      </c>
      <c r="G3506">
        <v>2002917648</v>
      </c>
      <c r="H3506">
        <v>2747904816</v>
      </c>
      <c r="I3506">
        <v>4052257479</v>
      </c>
      <c r="J3506">
        <v>2723763579</v>
      </c>
      <c r="K3506">
        <v>5362005748</v>
      </c>
      <c r="L3506">
        <v>102288088</v>
      </c>
      <c r="M3506">
        <v>92821666</v>
      </c>
      <c r="N3506">
        <v>79399116</v>
      </c>
      <c r="O3506">
        <v>127571428</v>
      </c>
      <c r="P3506">
        <v>222</v>
      </c>
      <c r="Q3506" t="s">
        <v>7354</v>
      </c>
    </row>
    <row r="3507" spans="1:17" x14ac:dyDescent="0.3">
      <c r="A3507" t="s">
        <v>75</v>
      </c>
      <c r="B3507" t="str">
        <f>"002357"</f>
        <v>002357</v>
      </c>
      <c r="C3507" t="s">
        <v>7355</v>
      </c>
      <c r="D3507" t="s">
        <v>1195</v>
      </c>
      <c r="E3507">
        <v>160824402</v>
      </c>
      <c r="F3507">
        <v>152349498</v>
      </c>
      <c r="G3507">
        <v>122325954</v>
      </c>
      <c r="H3507">
        <v>236017135</v>
      </c>
      <c r="I3507">
        <v>269413588</v>
      </c>
      <c r="J3507">
        <v>298977830</v>
      </c>
      <c r="K3507">
        <v>376325682</v>
      </c>
      <c r="L3507">
        <v>180916538</v>
      </c>
      <c r="M3507">
        <v>114345737</v>
      </c>
      <c r="N3507">
        <v>141714166</v>
      </c>
      <c r="O3507">
        <v>109244860</v>
      </c>
      <c r="P3507">
        <v>102</v>
      </c>
      <c r="Q3507" t="s">
        <v>7356</v>
      </c>
    </row>
    <row r="3508" spans="1:17" x14ac:dyDescent="0.3">
      <c r="A3508" t="s">
        <v>75</v>
      </c>
      <c r="B3508" t="str">
        <f>"000023"</f>
        <v>000023</v>
      </c>
      <c r="C3508" t="s">
        <v>7357</v>
      </c>
      <c r="D3508" t="s">
        <v>2242</v>
      </c>
      <c r="E3508">
        <v>160747991</v>
      </c>
      <c r="F3508">
        <v>279866956</v>
      </c>
      <c r="G3508">
        <v>212742712</v>
      </c>
      <c r="H3508">
        <v>298234540</v>
      </c>
      <c r="I3508">
        <v>325804763</v>
      </c>
      <c r="J3508">
        <v>258892360</v>
      </c>
      <c r="K3508">
        <v>194746889</v>
      </c>
      <c r="L3508">
        <v>212583723</v>
      </c>
      <c r="M3508">
        <v>196124032</v>
      </c>
      <c r="N3508">
        <v>203218488</v>
      </c>
      <c r="O3508">
        <v>121074426</v>
      </c>
      <c r="P3508">
        <v>78</v>
      </c>
      <c r="Q3508" t="s">
        <v>7358</v>
      </c>
    </row>
    <row r="3509" spans="1:17" x14ac:dyDescent="0.3">
      <c r="A3509" t="s">
        <v>75</v>
      </c>
      <c r="B3509" t="str">
        <f>"000692"</f>
        <v>000692</v>
      </c>
      <c r="C3509" t="s">
        <v>7359</v>
      </c>
      <c r="D3509" t="s">
        <v>446</v>
      </c>
      <c r="E3509">
        <v>160709505</v>
      </c>
      <c r="F3509">
        <v>119091643</v>
      </c>
      <c r="G3509">
        <v>74611200</v>
      </c>
      <c r="H3509">
        <v>69320746</v>
      </c>
      <c r="I3509">
        <v>105667640</v>
      </c>
      <c r="J3509">
        <v>90646850</v>
      </c>
      <c r="K3509">
        <v>120884970</v>
      </c>
      <c r="L3509">
        <v>61767200</v>
      </c>
      <c r="M3509">
        <v>114041404</v>
      </c>
      <c r="N3509">
        <v>57276771</v>
      </c>
      <c r="O3509">
        <v>58109644</v>
      </c>
      <c r="P3509">
        <v>77</v>
      </c>
      <c r="Q3509" t="s">
        <v>7360</v>
      </c>
    </row>
    <row r="3510" spans="1:17" x14ac:dyDescent="0.3">
      <c r="A3510" t="s">
        <v>75</v>
      </c>
      <c r="B3510" t="str">
        <f>"301128"</f>
        <v>301128</v>
      </c>
      <c r="C3510" t="s">
        <v>7361</v>
      </c>
      <c r="D3510" t="s">
        <v>1624</v>
      </c>
      <c r="E3510">
        <v>160695916</v>
      </c>
      <c r="P3510">
        <v>12</v>
      </c>
      <c r="Q3510" t="s">
        <v>7362</v>
      </c>
    </row>
    <row r="3511" spans="1:17" x14ac:dyDescent="0.3">
      <c r="A3511" t="s">
        <v>75</v>
      </c>
      <c r="B3511" t="str">
        <f>"002952"</f>
        <v>002952</v>
      </c>
      <c r="C3511" t="s">
        <v>7363</v>
      </c>
      <c r="D3511" t="s">
        <v>128</v>
      </c>
      <c r="E3511">
        <v>160607996</v>
      </c>
      <c r="F3511">
        <v>112832874</v>
      </c>
      <c r="G3511">
        <v>97760354</v>
      </c>
      <c r="H3511">
        <v>111612221</v>
      </c>
      <c r="I3511">
        <v>120563577</v>
      </c>
      <c r="J3511">
        <v>88771607</v>
      </c>
      <c r="P3511">
        <v>79</v>
      </c>
      <c r="Q3511" t="s">
        <v>7364</v>
      </c>
    </row>
    <row r="3512" spans="1:17" x14ac:dyDescent="0.3">
      <c r="A3512" t="s">
        <v>75</v>
      </c>
      <c r="B3512" t="str">
        <f>"300683"</f>
        <v>300683</v>
      </c>
      <c r="C3512" t="s">
        <v>7365</v>
      </c>
      <c r="D3512" t="s">
        <v>1533</v>
      </c>
      <c r="E3512">
        <v>160398749</v>
      </c>
      <c r="F3512">
        <v>120810086</v>
      </c>
      <c r="G3512">
        <v>87554758</v>
      </c>
      <c r="H3512">
        <v>166143664</v>
      </c>
      <c r="I3512">
        <v>159317582</v>
      </c>
      <c r="J3512">
        <v>185465541</v>
      </c>
      <c r="K3512">
        <v>0</v>
      </c>
      <c r="P3512">
        <v>123</v>
      </c>
      <c r="Q3512" t="s">
        <v>7366</v>
      </c>
    </row>
    <row r="3513" spans="1:17" x14ac:dyDescent="0.3">
      <c r="A3513" t="s">
        <v>75</v>
      </c>
      <c r="B3513" t="str">
        <f>"000679"</f>
        <v>000679</v>
      </c>
      <c r="C3513" t="s">
        <v>7367</v>
      </c>
      <c r="D3513" t="s">
        <v>359</v>
      </c>
      <c r="E3513">
        <v>160365870</v>
      </c>
      <c r="F3513">
        <v>173678462</v>
      </c>
      <c r="G3513">
        <v>127048143</v>
      </c>
      <c r="H3513">
        <v>244298641</v>
      </c>
      <c r="I3513">
        <v>295350262</v>
      </c>
      <c r="J3513">
        <v>302957609</v>
      </c>
      <c r="K3513">
        <v>693527499</v>
      </c>
      <c r="L3513">
        <v>712750750</v>
      </c>
      <c r="M3513">
        <v>690640311</v>
      </c>
      <c r="N3513">
        <v>691859595</v>
      </c>
      <c r="O3513">
        <v>956376946</v>
      </c>
      <c r="P3513">
        <v>83</v>
      </c>
      <c r="Q3513" t="s">
        <v>7368</v>
      </c>
    </row>
    <row r="3514" spans="1:17" x14ac:dyDescent="0.3">
      <c r="A3514" t="s">
        <v>75</v>
      </c>
      <c r="B3514" t="str">
        <f>"000020"</f>
        <v>000020</v>
      </c>
      <c r="C3514" t="s">
        <v>7369</v>
      </c>
      <c r="D3514" t="s">
        <v>128</v>
      </c>
      <c r="E3514">
        <v>159664080</v>
      </c>
      <c r="F3514">
        <v>118847639</v>
      </c>
      <c r="G3514">
        <v>86584530</v>
      </c>
      <c r="H3514">
        <v>131395644</v>
      </c>
      <c r="I3514">
        <v>129571100</v>
      </c>
      <c r="J3514">
        <v>117280400</v>
      </c>
      <c r="K3514">
        <v>47762469</v>
      </c>
      <c r="L3514">
        <v>73840710</v>
      </c>
      <c r="M3514">
        <v>96839340</v>
      </c>
      <c r="N3514">
        <v>98409713</v>
      </c>
      <c r="O3514">
        <v>181805841</v>
      </c>
      <c r="P3514">
        <v>75</v>
      </c>
      <c r="Q3514" t="s">
        <v>7370</v>
      </c>
    </row>
    <row r="3515" spans="1:17" x14ac:dyDescent="0.3">
      <c r="A3515" t="s">
        <v>75</v>
      </c>
      <c r="B3515" t="str">
        <f>"300878"</f>
        <v>300878</v>
      </c>
      <c r="C3515" t="s">
        <v>7371</v>
      </c>
      <c r="D3515" t="s">
        <v>321</v>
      </c>
      <c r="E3515">
        <v>159290308</v>
      </c>
      <c r="F3515">
        <v>134001331</v>
      </c>
      <c r="G3515">
        <v>119173835</v>
      </c>
      <c r="P3515">
        <v>132</v>
      </c>
      <c r="Q3515" t="s">
        <v>7372</v>
      </c>
    </row>
    <row r="3516" spans="1:17" x14ac:dyDescent="0.3">
      <c r="A3516" t="s">
        <v>17</v>
      </c>
      <c r="B3516" t="str">
        <f>"603021"</f>
        <v>603021</v>
      </c>
      <c r="C3516" t="s">
        <v>7373</v>
      </c>
      <c r="D3516" t="s">
        <v>1192</v>
      </c>
      <c r="E3516">
        <v>159288971</v>
      </c>
      <c r="F3516">
        <v>149815186</v>
      </c>
      <c r="G3516">
        <v>111814425</v>
      </c>
      <c r="H3516">
        <v>116151110</v>
      </c>
      <c r="I3516">
        <v>143600170</v>
      </c>
      <c r="J3516">
        <v>113851270</v>
      </c>
      <c r="K3516">
        <v>116664120</v>
      </c>
      <c r="L3516">
        <v>134259032</v>
      </c>
      <c r="M3516">
        <v>111261731</v>
      </c>
      <c r="P3516">
        <v>59</v>
      </c>
      <c r="Q3516" t="s">
        <v>7374</v>
      </c>
    </row>
    <row r="3517" spans="1:17" x14ac:dyDescent="0.3">
      <c r="A3517" t="s">
        <v>75</v>
      </c>
      <c r="B3517" t="str">
        <f>"001296"</f>
        <v>001296</v>
      </c>
      <c r="C3517" t="s">
        <v>7375</v>
      </c>
      <c r="D3517" t="s">
        <v>996</v>
      </c>
      <c r="E3517">
        <v>159105977</v>
      </c>
      <c r="F3517">
        <v>190224302</v>
      </c>
      <c r="P3517">
        <v>15</v>
      </c>
      <c r="Q3517" t="s">
        <v>7376</v>
      </c>
    </row>
    <row r="3518" spans="1:17" x14ac:dyDescent="0.3">
      <c r="A3518" t="s">
        <v>75</v>
      </c>
      <c r="B3518" t="str">
        <f>"300204"</f>
        <v>300204</v>
      </c>
      <c r="C3518" t="s">
        <v>7377</v>
      </c>
      <c r="D3518" t="s">
        <v>1533</v>
      </c>
      <c r="E3518">
        <v>158731167</v>
      </c>
      <c r="F3518">
        <v>129877119</v>
      </c>
      <c r="G3518">
        <v>144013505</v>
      </c>
      <c r="H3518">
        <v>231244303</v>
      </c>
      <c r="I3518">
        <v>321327177</v>
      </c>
      <c r="J3518">
        <v>374532405</v>
      </c>
      <c r="K3518">
        <v>338012661</v>
      </c>
      <c r="L3518">
        <v>269561393</v>
      </c>
      <c r="M3518">
        <v>244293875</v>
      </c>
      <c r="N3518">
        <v>203414914</v>
      </c>
      <c r="O3518">
        <v>63077718</v>
      </c>
      <c r="P3518">
        <v>202</v>
      </c>
      <c r="Q3518" t="s">
        <v>7378</v>
      </c>
    </row>
    <row r="3519" spans="1:17" x14ac:dyDescent="0.3">
      <c r="A3519" t="s">
        <v>75</v>
      </c>
      <c r="B3519" t="str">
        <f>"301098"</f>
        <v>301098</v>
      </c>
      <c r="C3519" t="s">
        <v>7379</v>
      </c>
      <c r="D3519" t="s">
        <v>1523</v>
      </c>
      <c r="E3519">
        <v>158665217</v>
      </c>
      <c r="P3519">
        <v>13</v>
      </c>
      <c r="Q3519" t="s">
        <v>7380</v>
      </c>
    </row>
    <row r="3520" spans="1:17" x14ac:dyDescent="0.3">
      <c r="A3520" t="s">
        <v>75</v>
      </c>
      <c r="B3520" t="str">
        <f>"300958"</f>
        <v>300958</v>
      </c>
      <c r="C3520" t="s">
        <v>7381</v>
      </c>
      <c r="D3520" t="s">
        <v>2307</v>
      </c>
      <c r="E3520">
        <v>158637378</v>
      </c>
      <c r="F3520">
        <v>172972570</v>
      </c>
      <c r="G3520">
        <v>237385918</v>
      </c>
      <c r="P3520">
        <v>28</v>
      </c>
      <c r="Q3520" t="s">
        <v>7382</v>
      </c>
    </row>
    <row r="3521" spans="1:17" x14ac:dyDescent="0.3">
      <c r="A3521" t="s">
        <v>75</v>
      </c>
      <c r="B3521" t="str">
        <f>"301148"</f>
        <v>301148</v>
      </c>
      <c r="C3521" t="s">
        <v>7383</v>
      </c>
      <c r="E3521">
        <v>158433555</v>
      </c>
      <c r="G3521">
        <v>102046484</v>
      </c>
      <c r="P3521">
        <v>1</v>
      </c>
      <c r="Q3521" t="s">
        <v>7384</v>
      </c>
    </row>
    <row r="3522" spans="1:17" x14ac:dyDescent="0.3">
      <c r="A3522" t="s">
        <v>17</v>
      </c>
      <c r="B3522" t="str">
        <f>"605003"</f>
        <v>605003</v>
      </c>
      <c r="C3522" t="s">
        <v>7385</v>
      </c>
      <c r="D3522" t="s">
        <v>2219</v>
      </c>
      <c r="E3522">
        <v>158201984</v>
      </c>
      <c r="F3522">
        <v>137809806</v>
      </c>
      <c r="G3522">
        <v>135714378</v>
      </c>
      <c r="H3522">
        <v>118378707</v>
      </c>
      <c r="P3522">
        <v>75</v>
      </c>
      <c r="Q3522" t="s">
        <v>7386</v>
      </c>
    </row>
    <row r="3523" spans="1:17" x14ac:dyDescent="0.3">
      <c r="A3523" t="s">
        <v>17</v>
      </c>
      <c r="B3523" t="str">
        <f>"601069"</f>
        <v>601069</v>
      </c>
      <c r="C3523" t="s">
        <v>7387</v>
      </c>
      <c r="D3523" t="s">
        <v>390</v>
      </c>
      <c r="E3523">
        <v>158154606</v>
      </c>
      <c r="F3523">
        <v>1207858522</v>
      </c>
      <c r="G3523">
        <v>680983520</v>
      </c>
      <c r="H3523">
        <v>238033136</v>
      </c>
      <c r="I3523">
        <v>158779939</v>
      </c>
      <c r="J3523">
        <v>325535610</v>
      </c>
      <c r="K3523">
        <v>327213162</v>
      </c>
      <c r="L3523">
        <v>202356190</v>
      </c>
      <c r="M3523">
        <v>153898005</v>
      </c>
      <c r="P3523">
        <v>142</v>
      </c>
      <c r="Q3523" t="s">
        <v>7388</v>
      </c>
    </row>
    <row r="3524" spans="1:17" x14ac:dyDescent="0.3">
      <c r="A3524" t="s">
        <v>75</v>
      </c>
      <c r="B3524" t="str">
        <f>"300442"</f>
        <v>300442</v>
      </c>
      <c r="C3524" t="s">
        <v>7389</v>
      </c>
      <c r="D3524" t="s">
        <v>3158</v>
      </c>
      <c r="E3524">
        <v>158136944</v>
      </c>
      <c r="F3524">
        <v>174997750</v>
      </c>
      <c r="G3524">
        <v>184040721</v>
      </c>
      <c r="H3524">
        <v>160432408</v>
      </c>
      <c r="I3524">
        <v>143755264</v>
      </c>
      <c r="J3524">
        <v>147351492</v>
      </c>
      <c r="K3524">
        <v>113912526</v>
      </c>
      <c r="L3524">
        <v>111586780</v>
      </c>
      <c r="M3524">
        <v>87362435</v>
      </c>
      <c r="P3524">
        <v>66</v>
      </c>
      <c r="Q3524" t="s">
        <v>7390</v>
      </c>
    </row>
    <row r="3525" spans="1:17" x14ac:dyDescent="0.3">
      <c r="A3525" t="s">
        <v>17</v>
      </c>
      <c r="B3525" t="str">
        <f>"688313"</f>
        <v>688313</v>
      </c>
      <c r="C3525" t="s">
        <v>7391</v>
      </c>
      <c r="D3525" t="s">
        <v>169</v>
      </c>
      <c r="E3525">
        <v>157898090</v>
      </c>
      <c r="F3525">
        <v>99862013</v>
      </c>
      <c r="G3525">
        <v>90637871</v>
      </c>
      <c r="H3525">
        <v>85938600</v>
      </c>
      <c r="P3525">
        <v>50</v>
      </c>
      <c r="Q3525" t="s">
        <v>7392</v>
      </c>
    </row>
    <row r="3526" spans="1:17" x14ac:dyDescent="0.3">
      <c r="A3526" t="s">
        <v>17</v>
      </c>
      <c r="B3526" t="str">
        <f>"603859"</f>
        <v>603859</v>
      </c>
      <c r="C3526" t="s">
        <v>7393</v>
      </c>
      <c r="D3526" t="s">
        <v>1352</v>
      </c>
      <c r="E3526">
        <v>157894611</v>
      </c>
      <c r="F3526">
        <v>132123189</v>
      </c>
      <c r="G3526">
        <v>155411600</v>
      </c>
      <c r="H3526">
        <v>79943032</v>
      </c>
      <c r="I3526">
        <v>50059912</v>
      </c>
      <c r="J3526">
        <v>18435846</v>
      </c>
      <c r="K3526">
        <v>11570354</v>
      </c>
      <c r="P3526">
        <v>205</v>
      </c>
      <c r="Q3526" t="s">
        <v>7394</v>
      </c>
    </row>
    <row r="3527" spans="1:17" x14ac:dyDescent="0.3">
      <c r="A3527" t="s">
        <v>17</v>
      </c>
      <c r="B3527" t="str">
        <f>"603177"</f>
        <v>603177</v>
      </c>
      <c r="C3527" t="s">
        <v>7395</v>
      </c>
      <c r="D3527" t="s">
        <v>2317</v>
      </c>
      <c r="E3527">
        <v>157779968</v>
      </c>
      <c r="F3527">
        <v>163180483</v>
      </c>
      <c r="G3527">
        <v>106180007</v>
      </c>
      <c r="H3527">
        <v>189420235</v>
      </c>
      <c r="I3527">
        <v>154736996</v>
      </c>
      <c r="J3527">
        <v>179706848</v>
      </c>
      <c r="K3527">
        <v>81436182</v>
      </c>
      <c r="P3527">
        <v>68</v>
      </c>
      <c r="Q3527" t="s">
        <v>7396</v>
      </c>
    </row>
    <row r="3528" spans="1:17" x14ac:dyDescent="0.3">
      <c r="A3528" t="s">
        <v>17</v>
      </c>
      <c r="B3528" t="str">
        <f>"688662"</f>
        <v>688662</v>
      </c>
      <c r="C3528" t="s">
        <v>7397</v>
      </c>
      <c r="D3528" t="s">
        <v>221</v>
      </c>
      <c r="E3528">
        <v>157440364</v>
      </c>
      <c r="F3528">
        <v>123147369</v>
      </c>
      <c r="G3528">
        <v>101493587</v>
      </c>
      <c r="P3528">
        <v>23</v>
      </c>
      <c r="Q3528" t="s">
        <v>7398</v>
      </c>
    </row>
    <row r="3529" spans="1:17" x14ac:dyDescent="0.3">
      <c r="A3529" t="s">
        <v>75</v>
      </c>
      <c r="B3529" t="str">
        <f>"300215"</f>
        <v>300215</v>
      </c>
      <c r="C3529" t="s">
        <v>7399</v>
      </c>
      <c r="D3529" t="s">
        <v>3153</v>
      </c>
      <c r="E3529">
        <v>157270049</v>
      </c>
      <c r="F3529">
        <v>164292993</v>
      </c>
      <c r="G3529">
        <v>105519108</v>
      </c>
      <c r="H3529">
        <v>184413402</v>
      </c>
      <c r="I3529">
        <v>143033107</v>
      </c>
      <c r="J3529">
        <v>159233042</v>
      </c>
      <c r="K3529">
        <v>124410019</v>
      </c>
      <c r="L3529">
        <v>68424830</v>
      </c>
      <c r="M3529">
        <v>77558357</v>
      </c>
      <c r="N3529">
        <v>100546502</v>
      </c>
      <c r="O3529">
        <v>70611067</v>
      </c>
      <c r="P3529">
        <v>178</v>
      </c>
      <c r="Q3529" t="s">
        <v>7400</v>
      </c>
    </row>
    <row r="3530" spans="1:17" x14ac:dyDescent="0.3">
      <c r="A3530" t="s">
        <v>75</v>
      </c>
      <c r="B3530" t="str">
        <f>"300889"</f>
        <v>300889</v>
      </c>
      <c r="C3530" t="s">
        <v>7401</v>
      </c>
      <c r="D3530" t="s">
        <v>1044</v>
      </c>
      <c r="E3530">
        <v>157083956</v>
      </c>
      <c r="F3530">
        <v>175517023</v>
      </c>
      <c r="G3530">
        <v>110838497</v>
      </c>
      <c r="H3530">
        <v>183435628</v>
      </c>
      <c r="P3530">
        <v>37</v>
      </c>
      <c r="Q3530" t="s">
        <v>7402</v>
      </c>
    </row>
    <row r="3531" spans="1:17" x14ac:dyDescent="0.3">
      <c r="A3531" t="s">
        <v>75</v>
      </c>
      <c r="B3531" t="str">
        <f>"301028"</f>
        <v>301028</v>
      </c>
      <c r="C3531" t="s">
        <v>7403</v>
      </c>
      <c r="D3531" t="s">
        <v>1424</v>
      </c>
      <c r="E3531">
        <v>156947299</v>
      </c>
      <c r="F3531">
        <v>189074179</v>
      </c>
      <c r="G3531">
        <v>77819896</v>
      </c>
      <c r="P3531">
        <v>53</v>
      </c>
      <c r="Q3531" t="s">
        <v>7404</v>
      </c>
    </row>
    <row r="3532" spans="1:17" x14ac:dyDescent="0.3">
      <c r="A3532" t="s">
        <v>17</v>
      </c>
      <c r="B3532" t="str">
        <f>"603320"</f>
        <v>603320</v>
      </c>
      <c r="C3532" t="s">
        <v>7405</v>
      </c>
      <c r="D3532" t="s">
        <v>1487</v>
      </c>
      <c r="E3532">
        <v>156866612</v>
      </c>
      <c r="F3532">
        <v>123941781</v>
      </c>
      <c r="G3532">
        <v>86857288</v>
      </c>
      <c r="H3532">
        <v>68290568</v>
      </c>
      <c r="I3532">
        <v>82047478</v>
      </c>
      <c r="J3532">
        <v>82461957</v>
      </c>
      <c r="P3532">
        <v>94</v>
      </c>
      <c r="Q3532" t="s">
        <v>7406</v>
      </c>
    </row>
    <row r="3533" spans="1:17" x14ac:dyDescent="0.3">
      <c r="A3533" t="s">
        <v>75</v>
      </c>
      <c r="B3533" t="str">
        <f>"301155"</f>
        <v>301155</v>
      </c>
      <c r="C3533" t="s">
        <v>7407</v>
      </c>
      <c r="D3533" t="s">
        <v>1398</v>
      </c>
      <c r="E3533">
        <v>156667792</v>
      </c>
      <c r="P3533">
        <v>40</v>
      </c>
      <c r="Q3533" t="s">
        <v>7408</v>
      </c>
    </row>
    <row r="3534" spans="1:17" x14ac:dyDescent="0.3">
      <c r="A3534" t="s">
        <v>75</v>
      </c>
      <c r="B3534" t="str">
        <f>"300421"</f>
        <v>300421</v>
      </c>
      <c r="C3534" t="s">
        <v>7409</v>
      </c>
      <c r="D3534" t="s">
        <v>153</v>
      </c>
      <c r="E3534">
        <v>155980872</v>
      </c>
      <c r="F3534">
        <v>293470246</v>
      </c>
      <c r="G3534">
        <v>96428932</v>
      </c>
      <c r="H3534">
        <v>87039835</v>
      </c>
      <c r="I3534">
        <v>139733398</v>
      </c>
      <c r="J3534">
        <v>127384548</v>
      </c>
      <c r="K3534">
        <v>71508133</v>
      </c>
      <c r="L3534">
        <v>120663382</v>
      </c>
      <c r="M3534">
        <v>105358601</v>
      </c>
      <c r="P3534">
        <v>108</v>
      </c>
      <c r="Q3534" t="s">
        <v>7410</v>
      </c>
    </row>
    <row r="3535" spans="1:17" x14ac:dyDescent="0.3">
      <c r="A3535" t="s">
        <v>17</v>
      </c>
      <c r="B3535" t="str">
        <f>"603663"</f>
        <v>603663</v>
      </c>
      <c r="C3535" t="s">
        <v>7411</v>
      </c>
      <c r="D3535" t="s">
        <v>1275</v>
      </c>
      <c r="E3535">
        <v>155977949</v>
      </c>
      <c r="F3535">
        <v>182511481</v>
      </c>
      <c r="G3535">
        <v>152332415</v>
      </c>
      <c r="H3535">
        <v>145896371</v>
      </c>
      <c r="I3535">
        <v>94904602</v>
      </c>
      <c r="J3535">
        <v>58043416</v>
      </c>
      <c r="K3535">
        <v>51237057</v>
      </c>
      <c r="L3535">
        <v>57029214</v>
      </c>
      <c r="P3535">
        <v>143</v>
      </c>
      <c r="Q3535" t="s">
        <v>7412</v>
      </c>
    </row>
    <row r="3536" spans="1:17" x14ac:dyDescent="0.3">
      <c r="A3536" t="s">
        <v>75</v>
      </c>
      <c r="B3536" t="str">
        <f>"002147"</f>
        <v>002147</v>
      </c>
      <c r="C3536" t="s">
        <v>7413</v>
      </c>
      <c r="D3536" t="s">
        <v>1424</v>
      </c>
      <c r="E3536">
        <v>155807868</v>
      </c>
      <c r="F3536">
        <v>267075371</v>
      </c>
      <c r="G3536">
        <v>147538518</v>
      </c>
      <c r="H3536">
        <v>272824546</v>
      </c>
      <c r="I3536">
        <v>447095814</v>
      </c>
      <c r="J3536">
        <v>549006679</v>
      </c>
      <c r="K3536">
        <v>51457269</v>
      </c>
      <c r="L3536">
        <v>40500572</v>
      </c>
      <c r="M3536">
        <v>46619089</v>
      </c>
      <c r="N3536">
        <v>36169641</v>
      </c>
      <c r="O3536">
        <v>50103756</v>
      </c>
      <c r="P3536">
        <v>94</v>
      </c>
      <c r="Q3536" t="s">
        <v>7414</v>
      </c>
    </row>
    <row r="3537" spans="1:17" x14ac:dyDescent="0.3">
      <c r="A3537" t="s">
        <v>17</v>
      </c>
      <c r="B3537" t="str">
        <f>"600365"</f>
        <v>600365</v>
      </c>
      <c r="C3537" t="s">
        <v>7415</v>
      </c>
      <c r="D3537" t="s">
        <v>2575</v>
      </c>
      <c r="E3537">
        <v>155757021</v>
      </c>
      <c r="F3537">
        <v>164612586</v>
      </c>
      <c r="G3537">
        <v>168703078</v>
      </c>
      <c r="H3537">
        <v>148803316</v>
      </c>
      <c r="I3537">
        <v>429860536</v>
      </c>
      <c r="J3537">
        <v>430769102</v>
      </c>
      <c r="K3537">
        <v>196789603</v>
      </c>
      <c r="L3537">
        <v>120870581</v>
      </c>
      <c r="M3537">
        <v>16667097</v>
      </c>
      <c r="N3537">
        <v>17510382</v>
      </c>
      <c r="O3537">
        <v>14542605</v>
      </c>
      <c r="P3537">
        <v>90</v>
      </c>
      <c r="Q3537" t="s">
        <v>7416</v>
      </c>
    </row>
    <row r="3538" spans="1:17" x14ac:dyDescent="0.3">
      <c r="A3538" t="s">
        <v>17</v>
      </c>
      <c r="B3538" t="str">
        <f>"600539"</f>
        <v>600539</v>
      </c>
      <c r="C3538" t="s">
        <v>7417</v>
      </c>
      <c r="D3538" t="s">
        <v>1284</v>
      </c>
      <c r="E3538">
        <v>155470822</v>
      </c>
      <c r="F3538">
        <v>97149238</v>
      </c>
      <c r="G3538">
        <v>8071864</v>
      </c>
      <c r="H3538">
        <v>17969989</v>
      </c>
      <c r="I3538">
        <v>10748555</v>
      </c>
      <c r="J3538">
        <v>19477244</v>
      </c>
      <c r="K3538">
        <v>7675863</v>
      </c>
      <c r="L3538">
        <v>1223451</v>
      </c>
      <c r="M3538">
        <v>2559211</v>
      </c>
      <c r="N3538">
        <v>68284516</v>
      </c>
      <c r="O3538">
        <v>82626677</v>
      </c>
      <c r="P3538">
        <v>51</v>
      </c>
      <c r="Q3538" t="s">
        <v>7418</v>
      </c>
    </row>
    <row r="3539" spans="1:17" x14ac:dyDescent="0.3">
      <c r="A3539" t="s">
        <v>75</v>
      </c>
      <c r="B3539" t="str">
        <f>"300470"</f>
        <v>300470</v>
      </c>
      <c r="C3539" t="s">
        <v>7419</v>
      </c>
      <c r="D3539" t="s">
        <v>1424</v>
      </c>
      <c r="E3539">
        <v>155395319</v>
      </c>
      <c r="F3539">
        <v>174749023</v>
      </c>
      <c r="G3539">
        <v>156539302</v>
      </c>
      <c r="H3539">
        <v>127402155</v>
      </c>
      <c r="I3539">
        <v>69790637</v>
      </c>
      <c r="J3539">
        <v>61003875</v>
      </c>
      <c r="K3539">
        <v>42245632</v>
      </c>
      <c r="L3539">
        <v>46572994</v>
      </c>
      <c r="M3539">
        <v>39743913</v>
      </c>
      <c r="P3539">
        <v>347</v>
      </c>
      <c r="Q3539" t="s">
        <v>7420</v>
      </c>
    </row>
    <row r="3540" spans="1:17" x14ac:dyDescent="0.3">
      <c r="A3540" t="s">
        <v>75</v>
      </c>
      <c r="B3540" t="str">
        <f>"301066"</f>
        <v>301066</v>
      </c>
      <c r="C3540" t="s">
        <v>7421</v>
      </c>
      <c r="D3540" t="s">
        <v>2921</v>
      </c>
      <c r="E3540">
        <v>155308926</v>
      </c>
      <c r="F3540">
        <v>156266250</v>
      </c>
      <c r="P3540">
        <v>21</v>
      </c>
      <c r="Q3540" t="s">
        <v>7422</v>
      </c>
    </row>
    <row r="3541" spans="1:17" x14ac:dyDescent="0.3">
      <c r="A3541" t="s">
        <v>75</v>
      </c>
      <c r="B3541" t="str">
        <f>"002343"</f>
        <v>002343</v>
      </c>
      <c r="C3541" t="s">
        <v>7423</v>
      </c>
      <c r="D3541" t="s">
        <v>2532</v>
      </c>
      <c r="E3541">
        <v>155106656</v>
      </c>
      <c r="F3541">
        <v>125401023</v>
      </c>
      <c r="G3541">
        <v>181055706</v>
      </c>
      <c r="H3541">
        <v>269270484</v>
      </c>
      <c r="I3541">
        <v>322426326</v>
      </c>
      <c r="J3541">
        <v>366603940</v>
      </c>
      <c r="K3541">
        <v>305005538</v>
      </c>
      <c r="L3541">
        <v>374759603</v>
      </c>
      <c r="M3541">
        <v>382004065</v>
      </c>
      <c r="N3541">
        <v>336141949</v>
      </c>
      <c r="O3541">
        <v>312579837</v>
      </c>
      <c r="P3541">
        <v>183</v>
      </c>
      <c r="Q3541" t="s">
        <v>7424</v>
      </c>
    </row>
    <row r="3542" spans="1:17" x14ac:dyDescent="0.3">
      <c r="A3542" t="s">
        <v>17</v>
      </c>
      <c r="B3542" t="str">
        <f>"603813"</f>
        <v>603813</v>
      </c>
      <c r="C3542" t="s">
        <v>7425</v>
      </c>
      <c r="D3542" t="s">
        <v>608</v>
      </c>
      <c r="E3542">
        <v>155034687</v>
      </c>
      <c r="F3542">
        <v>139614608</v>
      </c>
      <c r="G3542">
        <v>137264391</v>
      </c>
      <c r="H3542">
        <v>297393837</v>
      </c>
      <c r="I3542">
        <v>111628199</v>
      </c>
      <c r="J3542">
        <v>113975060</v>
      </c>
      <c r="P3542">
        <v>59</v>
      </c>
      <c r="Q3542" t="s">
        <v>7426</v>
      </c>
    </row>
    <row r="3543" spans="1:17" x14ac:dyDescent="0.3">
      <c r="A3543" t="s">
        <v>75</v>
      </c>
      <c r="B3543" t="str">
        <f>"002265"</f>
        <v>002265</v>
      </c>
      <c r="C3543" t="s">
        <v>7427</v>
      </c>
      <c r="D3543" t="s">
        <v>172</v>
      </c>
      <c r="E3543">
        <v>154987324</v>
      </c>
      <c r="F3543">
        <v>129748763</v>
      </c>
      <c r="G3543">
        <v>115592102</v>
      </c>
      <c r="H3543">
        <v>153536972</v>
      </c>
      <c r="I3543">
        <v>156437781</v>
      </c>
      <c r="J3543">
        <v>168331282</v>
      </c>
      <c r="K3543">
        <v>67139081</v>
      </c>
      <c r="L3543">
        <v>65842777</v>
      </c>
      <c r="M3543">
        <v>58261050</v>
      </c>
      <c r="N3543">
        <v>44712802</v>
      </c>
      <c r="O3543">
        <v>44259629</v>
      </c>
      <c r="P3543">
        <v>86</v>
      </c>
      <c r="Q3543" t="s">
        <v>7428</v>
      </c>
    </row>
    <row r="3544" spans="1:17" x14ac:dyDescent="0.3">
      <c r="A3544" t="s">
        <v>75</v>
      </c>
      <c r="B3544" t="str">
        <f>"300635"</f>
        <v>300635</v>
      </c>
      <c r="C3544" t="s">
        <v>7429</v>
      </c>
      <c r="D3544" t="s">
        <v>2118</v>
      </c>
      <c r="E3544">
        <v>154589879</v>
      </c>
      <c r="F3544">
        <v>144033469</v>
      </c>
      <c r="G3544">
        <v>98647107</v>
      </c>
      <c r="H3544">
        <v>106112087</v>
      </c>
      <c r="I3544">
        <v>91043135</v>
      </c>
      <c r="J3544">
        <v>64598066</v>
      </c>
      <c r="K3544">
        <v>84026723</v>
      </c>
      <c r="P3544">
        <v>113</v>
      </c>
      <c r="Q3544" t="s">
        <v>7430</v>
      </c>
    </row>
    <row r="3545" spans="1:17" x14ac:dyDescent="0.3">
      <c r="A3545" t="s">
        <v>17</v>
      </c>
      <c r="B3545" t="str">
        <f>"603068"</f>
        <v>603068</v>
      </c>
      <c r="C3545" t="s">
        <v>7431</v>
      </c>
      <c r="D3545" t="s">
        <v>2580</v>
      </c>
      <c r="E3545">
        <v>154403360</v>
      </c>
      <c r="F3545">
        <v>192734546</v>
      </c>
      <c r="G3545">
        <v>240976545</v>
      </c>
      <c r="H3545">
        <v>141540054</v>
      </c>
      <c r="I3545">
        <v>164486970</v>
      </c>
      <c r="P3545">
        <v>345</v>
      </c>
      <c r="Q3545" t="s">
        <v>7432</v>
      </c>
    </row>
    <row r="3546" spans="1:17" x14ac:dyDescent="0.3">
      <c r="A3546" t="s">
        <v>17</v>
      </c>
      <c r="B3546" t="str">
        <f>"603988"</f>
        <v>603988</v>
      </c>
      <c r="C3546" t="s">
        <v>7433</v>
      </c>
      <c r="D3546" t="s">
        <v>1487</v>
      </c>
      <c r="E3546">
        <v>154276248</v>
      </c>
      <c r="F3546">
        <v>94987762</v>
      </c>
      <c r="G3546">
        <v>69406458</v>
      </c>
      <c r="H3546">
        <v>82685342</v>
      </c>
      <c r="I3546">
        <v>39303506</v>
      </c>
      <c r="J3546">
        <v>47283500</v>
      </c>
      <c r="K3546">
        <v>40891601</v>
      </c>
      <c r="L3546">
        <v>34408259</v>
      </c>
      <c r="M3546">
        <v>34179016</v>
      </c>
      <c r="P3546">
        <v>192</v>
      </c>
      <c r="Q3546" t="s">
        <v>7434</v>
      </c>
    </row>
    <row r="3547" spans="1:17" x14ac:dyDescent="0.3">
      <c r="A3547" t="s">
        <v>75</v>
      </c>
      <c r="B3547" t="str">
        <f>"300527"</f>
        <v>300527</v>
      </c>
      <c r="C3547" t="s">
        <v>7435</v>
      </c>
      <c r="D3547" t="s">
        <v>3072</v>
      </c>
      <c r="E3547">
        <v>154068665</v>
      </c>
      <c r="F3547">
        <v>250741021</v>
      </c>
      <c r="G3547">
        <v>243439106</v>
      </c>
      <c r="H3547">
        <v>811876258</v>
      </c>
      <c r="I3547">
        <v>301349339</v>
      </c>
      <c r="J3547">
        <v>382206126</v>
      </c>
      <c r="K3547">
        <v>120148714</v>
      </c>
      <c r="P3547">
        <v>144</v>
      </c>
      <c r="Q3547" t="s">
        <v>7436</v>
      </c>
    </row>
    <row r="3548" spans="1:17" x14ac:dyDescent="0.3">
      <c r="A3548" t="s">
        <v>17</v>
      </c>
      <c r="B3548" t="str">
        <f>"688117"</f>
        <v>688117</v>
      </c>
      <c r="C3548" t="s">
        <v>7437</v>
      </c>
      <c r="D3548" t="s">
        <v>543</v>
      </c>
      <c r="E3548">
        <v>154038299</v>
      </c>
      <c r="F3548">
        <v>123995567</v>
      </c>
      <c r="G3548">
        <v>105767448</v>
      </c>
      <c r="P3548">
        <v>29</v>
      </c>
      <c r="Q3548" t="s">
        <v>7438</v>
      </c>
    </row>
    <row r="3549" spans="1:17" x14ac:dyDescent="0.3">
      <c r="A3549" t="s">
        <v>75</v>
      </c>
      <c r="B3549" t="str">
        <f>"301036"</f>
        <v>301036</v>
      </c>
      <c r="C3549" t="s">
        <v>7439</v>
      </c>
      <c r="D3549" t="s">
        <v>4853</v>
      </c>
      <c r="E3549">
        <v>153725306</v>
      </c>
      <c r="F3549">
        <v>205002296</v>
      </c>
      <c r="G3549">
        <v>151539706</v>
      </c>
      <c r="P3549">
        <v>20</v>
      </c>
      <c r="Q3549" t="s">
        <v>7440</v>
      </c>
    </row>
    <row r="3550" spans="1:17" x14ac:dyDescent="0.3">
      <c r="A3550" t="s">
        <v>17</v>
      </c>
      <c r="B3550" t="str">
        <f>"603679"</f>
        <v>603679</v>
      </c>
      <c r="C3550" t="s">
        <v>7441</v>
      </c>
      <c r="D3550" t="s">
        <v>1044</v>
      </c>
      <c r="E3550">
        <v>153686837</v>
      </c>
      <c r="F3550">
        <v>196197278</v>
      </c>
      <c r="G3550">
        <v>122832979</v>
      </c>
      <c r="H3550">
        <v>97594740</v>
      </c>
      <c r="I3550">
        <v>108887510</v>
      </c>
      <c r="J3550">
        <v>117679372</v>
      </c>
      <c r="P3550">
        <v>164</v>
      </c>
      <c r="Q3550" t="s">
        <v>7442</v>
      </c>
    </row>
    <row r="3551" spans="1:17" x14ac:dyDescent="0.3">
      <c r="A3551" t="s">
        <v>75</v>
      </c>
      <c r="B3551" t="str">
        <f>"000036"</f>
        <v>000036</v>
      </c>
      <c r="C3551" t="s">
        <v>7443</v>
      </c>
      <c r="D3551" t="s">
        <v>65</v>
      </c>
      <c r="E3551">
        <v>153600638</v>
      </c>
      <c r="F3551">
        <v>562703479</v>
      </c>
      <c r="G3551">
        <v>317367437</v>
      </c>
      <c r="H3551">
        <v>661616519</v>
      </c>
      <c r="I3551">
        <v>640782640</v>
      </c>
      <c r="J3551">
        <v>301912954</v>
      </c>
      <c r="K3551">
        <v>1298584291</v>
      </c>
      <c r="L3551">
        <v>43225433</v>
      </c>
      <c r="M3551">
        <v>40893985</v>
      </c>
      <c r="N3551">
        <v>38625843</v>
      </c>
      <c r="O3551">
        <v>43597783</v>
      </c>
      <c r="P3551">
        <v>880</v>
      </c>
      <c r="Q3551" t="s">
        <v>7444</v>
      </c>
    </row>
    <row r="3552" spans="1:17" x14ac:dyDescent="0.3">
      <c r="A3552" t="s">
        <v>75</v>
      </c>
      <c r="B3552" t="str">
        <f>"300828"</f>
        <v>300828</v>
      </c>
      <c r="C3552" t="s">
        <v>7445</v>
      </c>
      <c r="D3552" t="s">
        <v>153</v>
      </c>
      <c r="E3552">
        <v>153439005</v>
      </c>
      <c r="F3552">
        <v>113243163</v>
      </c>
      <c r="G3552">
        <v>74366629</v>
      </c>
      <c r="H3552">
        <v>80534902</v>
      </c>
      <c r="P3552">
        <v>91</v>
      </c>
      <c r="Q3552" t="s">
        <v>7446</v>
      </c>
    </row>
    <row r="3553" spans="1:17" x14ac:dyDescent="0.3">
      <c r="A3553" t="s">
        <v>75</v>
      </c>
      <c r="B3553" t="str">
        <f>"000952"</f>
        <v>000952</v>
      </c>
      <c r="C3553" t="s">
        <v>7447</v>
      </c>
      <c r="D3553" t="s">
        <v>1242</v>
      </c>
      <c r="E3553">
        <v>153321441</v>
      </c>
      <c r="F3553">
        <v>163027610</v>
      </c>
      <c r="G3553">
        <v>128563249</v>
      </c>
      <c r="H3553">
        <v>162324166</v>
      </c>
      <c r="I3553">
        <v>183160547</v>
      </c>
      <c r="J3553">
        <v>173568656</v>
      </c>
      <c r="K3553">
        <v>157125915</v>
      </c>
      <c r="L3553">
        <v>85941879</v>
      </c>
      <c r="M3553">
        <v>107121141</v>
      </c>
      <c r="N3553">
        <v>108026969</v>
      </c>
      <c r="O3553">
        <v>92427337</v>
      </c>
      <c r="P3553">
        <v>169</v>
      </c>
      <c r="Q3553" t="s">
        <v>7448</v>
      </c>
    </row>
    <row r="3554" spans="1:17" x14ac:dyDescent="0.3">
      <c r="A3554" t="s">
        <v>75</v>
      </c>
      <c r="B3554" t="str">
        <f>"002826"</f>
        <v>002826</v>
      </c>
      <c r="C3554" t="s">
        <v>7449</v>
      </c>
      <c r="D3554" t="s">
        <v>543</v>
      </c>
      <c r="E3554">
        <v>153306746</v>
      </c>
      <c r="F3554">
        <v>160974678</v>
      </c>
      <c r="G3554">
        <v>126735147</v>
      </c>
      <c r="H3554">
        <v>136483612</v>
      </c>
      <c r="I3554">
        <v>92977316</v>
      </c>
      <c r="J3554">
        <v>146484292</v>
      </c>
      <c r="K3554">
        <v>93066504</v>
      </c>
      <c r="P3554">
        <v>127</v>
      </c>
      <c r="Q3554" t="s">
        <v>7450</v>
      </c>
    </row>
    <row r="3555" spans="1:17" x14ac:dyDescent="0.3">
      <c r="A3555" t="s">
        <v>75</v>
      </c>
      <c r="B3555" t="str">
        <f>"300884"</f>
        <v>300884</v>
      </c>
      <c r="C3555" t="s">
        <v>7451</v>
      </c>
      <c r="D3555" t="s">
        <v>337</v>
      </c>
      <c r="E3555">
        <v>153185169</v>
      </c>
      <c r="F3555">
        <v>148617574</v>
      </c>
      <c r="G3555">
        <v>73595262</v>
      </c>
      <c r="H3555">
        <v>86536419</v>
      </c>
      <c r="P3555">
        <v>68</v>
      </c>
      <c r="Q3555" t="s">
        <v>7452</v>
      </c>
    </row>
    <row r="3556" spans="1:17" x14ac:dyDescent="0.3">
      <c r="A3556" t="s">
        <v>75</v>
      </c>
      <c r="B3556" t="str">
        <f>"300825"</f>
        <v>300825</v>
      </c>
      <c r="C3556" t="s">
        <v>7453</v>
      </c>
      <c r="D3556" t="s">
        <v>3620</v>
      </c>
      <c r="E3556">
        <v>153040147</v>
      </c>
      <c r="F3556">
        <v>145247313</v>
      </c>
      <c r="G3556">
        <v>113564678</v>
      </c>
      <c r="H3556">
        <v>186999200</v>
      </c>
      <c r="P3556">
        <v>92</v>
      </c>
      <c r="Q3556" t="s">
        <v>7454</v>
      </c>
    </row>
    <row r="3557" spans="1:17" x14ac:dyDescent="0.3">
      <c r="A3557" t="s">
        <v>75</v>
      </c>
      <c r="B3557" t="str">
        <f>"000573"</f>
        <v>000573</v>
      </c>
      <c r="C3557" t="s">
        <v>7455</v>
      </c>
      <c r="D3557" t="s">
        <v>65</v>
      </c>
      <c r="E3557">
        <v>152999457</v>
      </c>
      <c r="F3557">
        <v>274218129</v>
      </c>
      <c r="G3557">
        <v>85622149</v>
      </c>
      <c r="H3557">
        <v>271824457</v>
      </c>
      <c r="I3557">
        <v>274591732</v>
      </c>
      <c r="J3557">
        <v>104378888</v>
      </c>
      <c r="K3557">
        <v>316490126</v>
      </c>
      <c r="L3557">
        <v>111726548</v>
      </c>
      <c r="M3557">
        <v>198144646</v>
      </c>
      <c r="N3557">
        <v>148234270</v>
      </c>
      <c r="O3557">
        <v>159442225</v>
      </c>
      <c r="P3557">
        <v>130</v>
      </c>
      <c r="Q3557" t="s">
        <v>7456</v>
      </c>
    </row>
    <row r="3558" spans="1:17" x14ac:dyDescent="0.3">
      <c r="A3558" t="s">
        <v>75</v>
      </c>
      <c r="B3558" t="str">
        <f>"000409"</f>
        <v>000409</v>
      </c>
      <c r="C3558" t="s">
        <v>7457</v>
      </c>
      <c r="D3558" t="s">
        <v>1284</v>
      </c>
      <c r="E3558">
        <v>152717507</v>
      </c>
      <c r="F3558">
        <v>52846761</v>
      </c>
      <c r="G3558">
        <v>606443954</v>
      </c>
      <c r="H3558">
        <v>666774219</v>
      </c>
      <c r="I3558">
        <v>301991654</v>
      </c>
      <c r="J3558">
        <v>306256538</v>
      </c>
      <c r="K3558">
        <v>563769924</v>
      </c>
      <c r="L3558">
        <v>55800891</v>
      </c>
      <c r="M3558">
        <v>45323067</v>
      </c>
      <c r="N3558">
        <v>20850639</v>
      </c>
      <c r="O3558">
        <v>46108843</v>
      </c>
      <c r="P3558">
        <v>75</v>
      </c>
      <c r="Q3558" t="s">
        <v>7458</v>
      </c>
    </row>
    <row r="3559" spans="1:17" x14ac:dyDescent="0.3">
      <c r="A3559" t="s">
        <v>75</v>
      </c>
      <c r="B3559" t="str">
        <f>"002428"</f>
        <v>002428</v>
      </c>
      <c r="C3559" t="s">
        <v>7459</v>
      </c>
      <c r="D3559" t="s">
        <v>364</v>
      </c>
      <c r="E3559">
        <v>152640750</v>
      </c>
      <c r="F3559">
        <v>142057282</v>
      </c>
      <c r="G3559">
        <v>139468364</v>
      </c>
      <c r="H3559">
        <v>118555360</v>
      </c>
      <c r="I3559">
        <v>68189752</v>
      </c>
      <c r="J3559">
        <v>87942400</v>
      </c>
      <c r="K3559">
        <v>180141510</v>
      </c>
      <c r="L3559">
        <v>127367227</v>
      </c>
      <c r="M3559">
        <v>94543150</v>
      </c>
      <c r="N3559">
        <v>147548117</v>
      </c>
      <c r="O3559">
        <v>40672186</v>
      </c>
      <c r="P3559">
        <v>186</v>
      </c>
      <c r="Q3559" t="s">
        <v>7460</v>
      </c>
    </row>
    <row r="3560" spans="1:17" x14ac:dyDescent="0.3">
      <c r="A3560" t="s">
        <v>17</v>
      </c>
      <c r="B3560" t="str">
        <f>"600573"</f>
        <v>600573</v>
      </c>
      <c r="C3560" t="s">
        <v>7461</v>
      </c>
      <c r="D3560" t="s">
        <v>671</v>
      </c>
      <c r="E3560">
        <v>152564297</v>
      </c>
      <c r="F3560">
        <v>141543748</v>
      </c>
      <c r="G3560">
        <v>123514379</v>
      </c>
      <c r="H3560">
        <v>159377531</v>
      </c>
      <c r="I3560">
        <v>150923115</v>
      </c>
      <c r="J3560">
        <v>134572298</v>
      </c>
      <c r="K3560">
        <v>150016292</v>
      </c>
      <c r="L3560">
        <v>177663387</v>
      </c>
      <c r="M3560">
        <v>175167375</v>
      </c>
      <c r="N3560">
        <v>176037965</v>
      </c>
      <c r="O3560">
        <v>169096811</v>
      </c>
      <c r="P3560">
        <v>191</v>
      </c>
      <c r="Q3560" t="s">
        <v>7462</v>
      </c>
    </row>
    <row r="3561" spans="1:17" x14ac:dyDescent="0.3">
      <c r="A3561" t="s">
        <v>75</v>
      </c>
      <c r="B3561" t="str">
        <f>"000534"</f>
        <v>000534</v>
      </c>
      <c r="C3561" t="s">
        <v>7463</v>
      </c>
      <c r="D3561" t="s">
        <v>1533</v>
      </c>
      <c r="E3561">
        <v>152526153</v>
      </c>
      <c r="F3561">
        <v>158249913</v>
      </c>
      <c r="G3561">
        <v>136533749</v>
      </c>
      <c r="H3561">
        <v>104263020</v>
      </c>
      <c r="I3561">
        <v>76966663</v>
      </c>
      <c r="J3561">
        <v>74020853</v>
      </c>
      <c r="K3561">
        <v>16617598</v>
      </c>
      <c r="L3561">
        <v>42446446</v>
      </c>
      <c r="M3561">
        <v>264480239</v>
      </c>
      <c r="N3561">
        <v>94946349</v>
      </c>
      <c r="O3561">
        <v>87525040</v>
      </c>
      <c r="P3561">
        <v>120</v>
      </c>
      <c r="Q3561" t="s">
        <v>7464</v>
      </c>
    </row>
    <row r="3562" spans="1:17" x14ac:dyDescent="0.3">
      <c r="A3562" t="s">
        <v>75</v>
      </c>
      <c r="B3562" t="str">
        <f>"300840"</f>
        <v>300840</v>
      </c>
      <c r="C3562" t="s">
        <v>7465</v>
      </c>
      <c r="D3562" t="s">
        <v>814</v>
      </c>
      <c r="E3562">
        <v>152389713</v>
      </c>
      <c r="F3562">
        <v>131743689</v>
      </c>
      <c r="G3562">
        <v>138393424</v>
      </c>
      <c r="P3562">
        <v>64</v>
      </c>
      <c r="Q3562" t="s">
        <v>7466</v>
      </c>
    </row>
    <row r="3563" spans="1:17" x14ac:dyDescent="0.3">
      <c r="A3563" t="s">
        <v>17</v>
      </c>
      <c r="B3563" t="str">
        <f>"600107"</f>
        <v>600107</v>
      </c>
      <c r="C3563" t="s">
        <v>7467</v>
      </c>
      <c r="D3563" t="s">
        <v>814</v>
      </c>
      <c r="E3563">
        <v>152228180</v>
      </c>
      <c r="F3563">
        <v>134341160</v>
      </c>
      <c r="G3563">
        <v>89188535</v>
      </c>
      <c r="H3563">
        <v>152886095</v>
      </c>
      <c r="I3563">
        <v>156300950</v>
      </c>
      <c r="J3563">
        <v>159388187</v>
      </c>
      <c r="K3563">
        <v>140029391</v>
      </c>
      <c r="L3563">
        <v>151008781</v>
      </c>
      <c r="M3563">
        <v>134005019</v>
      </c>
      <c r="N3563">
        <v>182052044</v>
      </c>
      <c r="O3563">
        <v>142177201</v>
      </c>
      <c r="P3563">
        <v>73</v>
      </c>
      <c r="Q3563" t="s">
        <v>7468</v>
      </c>
    </row>
    <row r="3564" spans="1:17" x14ac:dyDescent="0.3">
      <c r="A3564" t="s">
        <v>75</v>
      </c>
      <c r="B3564" t="str">
        <f>"300767"</f>
        <v>300767</v>
      </c>
      <c r="C3564" t="s">
        <v>7469</v>
      </c>
      <c r="D3564" t="s">
        <v>3349</v>
      </c>
      <c r="E3564">
        <v>151981227</v>
      </c>
      <c r="F3564">
        <v>109919801</v>
      </c>
      <c r="G3564">
        <v>95887847</v>
      </c>
      <c r="H3564">
        <v>82940776</v>
      </c>
      <c r="I3564">
        <v>72427870</v>
      </c>
      <c r="P3564">
        <v>197</v>
      </c>
      <c r="Q3564" t="s">
        <v>7470</v>
      </c>
    </row>
    <row r="3565" spans="1:17" x14ac:dyDescent="0.3">
      <c r="A3565" t="s">
        <v>75</v>
      </c>
      <c r="B3565" t="str">
        <f>"300044"</f>
        <v>300044</v>
      </c>
      <c r="C3565" t="s">
        <v>7471</v>
      </c>
      <c r="D3565" t="s">
        <v>224</v>
      </c>
      <c r="E3565">
        <v>151763576</v>
      </c>
      <c r="F3565">
        <v>129361191</v>
      </c>
      <c r="G3565">
        <v>214186752</v>
      </c>
      <c r="H3565">
        <v>298270807</v>
      </c>
      <c r="I3565">
        <v>174694149</v>
      </c>
      <c r="J3565">
        <v>243306275</v>
      </c>
      <c r="K3565">
        <v>112241968</v>
      </c>
      <c r="L3565">
        <v>100626634</v>
      </c>
      <c r="M3565">
        <v>82659741</v>
      </c>
      <c r="N3565">
        <v>64752025</v>
      </c>
      <c r="O3565">
        <v>55119694</v>
      </c>
      <c r="P3565">
        <v>289</v>
      </c>
      <c r="Q3565" t="s">
        <v>7472</v>
      </c>
    </row>
    <row r="3566" spans="1:17" x14ac:dyDescent="0.3">
      <c r="A3566" t="s">
        <v>75</v>
      </c>
      <c r="B3566" t="str">
        <f>"301000"</f>
        <v>301000</v>
      </c>
      <c r="C3566" t="s">
        <v>7473</v>
      </c>
      <c r="D3566" t="s">
        <v>1321</v>
      </c>
      <c r="E3566">
        <v>151667419</v>
      </c>
      <c r="F3566">
        <v>177727408</v>
      </c>
      <c r="G3566">
        <v>102559621</v>
      </c>
      <c r="P3566">
        <v>25</v>
      </c>
      <c r="Q3566" t="s">
        <v>7474</v>
      </c>
    </row>
    <row r="3567" spans="1:17" x14ac:dyDescent="0.3">
      <c r="A3567" t="s">
        <v>17</v>
      </c>
      <c r="B3567" t="str">
        <f>"688276"</f>
        <v>688276</v>
      </c>
      <c r="C3567" t="s">
        <v>7475</v>
      </c>
      <c r="D3567" t="s">
        <v>928</v>
      </c>
      <c r="E3567">
        <v>151655403</v>
      </c>
      <c r="F3567">
        <v>241218767</v>
      </c>
      <c r="G3567">
        <v>118995806</v>
      </c>
      <c r="P3567">
        <v>46</v>
      </c>
      <c r="Q3567" t="s">
        <v>7476</v>
      </c>
    </row>
    <row r="3568" spans="1:17" x14ac:dyDescent="0.3">
      <c r="A3568" t="s">
        <v>75</v>
      </c>
      <c r="B3568" t="str">
        <f>"300065"</f>
        <v>300065</v>
      </c>
      <c r="C3568" t="s">
        <v>7477</v>
      </c>
      <c r="D3568" t="s">
        <v>465</v>
      </c>
      <c r="E3568">
        <v>151285970</v>
      </c>
      <c r="F3568">
        <v>135182784</v>
      </c>
      <c r="G3568">
        <v>137058060</v>
      </c>
      <c r="H3568">
        <v>177179331</v>
      </c>
      <c r="I3568">
        <v>170264990</v>
      </c>
      <c r="J3568">
        <v>166719653</v>
      </c>
      <c r="K3568">
        <v>157582155</v>
      </c>
      <c r="L3568">
        <v>33965757</v>
      </c>
      <c r="M3568">
        <v>87735009</v>
      </c>
      <c r="N3568">
        <v>47172369</v>
      </c>
      <c r="O3568">
        <v>61101019</v>
      </c>
      <c r="P3568">
        <v>152</v>
      </c>
      <c r="Q3568" t="s">
        <v>7478</v>
      </c>
    </row>
    <row r="3569" spans="1:17" x14ac:dyDescent="0.3">
      <c r="A3569" t="s">
        <v>75</v>
      </c>
      <c r="B3569" t="str">
        <f>"301038"</f>
        <v>301038</v>
      </c>
      <c r="C3569" t="s">
        <v>7479</v>
      </c>
      <c r="D3569" t="s">
        <v>2118</v>
      </c>
      <c r="E3569">
        <v>151193851</v>
      </c>
      <c r="F3569">
        <v>96427382</v>
      </c>
      <c r="G3569">
        <v>86438360</v>
      </c>
      <c r="P3569">
        <v>21</v>
      </c>
      <c r="Q3569" t="s">
        <v>7480</v>
      </c>
    </row>
    <row r="3570" spans="1:17" x14ac:dyDescent="0.3">
      <c r="A3570" t="s">
        <v>17</v>
      </c>
      <c r="B3570" t="str">
        <f>"605305"</f>
        <v>605305</v>
      </c>
      <c r="C3570" t="s">
        <v>7481</v>
      </c>
      <c r="D3570" t="s">
        <v>262</v>
      </c>
      <c r="E3570">
        <v>151151459</v>
      </c>
      <c r="F3570">
        <v>174068212</v>
      </c>
      <c r="G3570">
        <v>107230278</v>
      </c>
      <c r="P3570">
        <v>81</v>
      </c>
      <c r="Q3570" t="s">
        <v>7482</v>
      </c>
    </row>
    <row r="3571" spans="1:17" x14ac:dyDescent="0.3">
      <c r="A3571" t="s">
        <v>75</v>
      </c>
      <c r="B3571" t="str">
        <f>"002779"</f>
        <v>002779</v>
      </c>
      <c r="C3571" t="s">
        <v>7483</v>
      </c>
      <c r="D3571" t="s">
        <v>1624</v>
      </c>
      <c r="E3571">
        <v>150841467</v>
      </c>
      <c r="F3571">
        <v>87233944</v>
      </c>
      <c r="G3571">
        <v>72607895</v>
      </c>
      <c r="H3571">
        <v>89597043</v>
      </c>
      <c r="I3571">
        <v>83809388</v>
      </c>
      <c r="J3571">
        <v>100155546</v>
      </c>
      <c r="K3571">
        <v>105952504</v>
      </c>
      <c r="L3571">
        <v>103715137</v>
      </c>
      <c r="M3571">
        <v>82886744</v>
      </c>
      <c r="P3571">
        <v>54</v>
      </c>
      <c r="Q3571" t="s">
        <v>7484</v>
      </c>
    </row>
    <row r="3572" spans="1:17" x14ac:dyDescent="0.3">
      <c r="A3572" t="s">
        <v>75</v>
      </c>
      <c r="B3572" t="str">
        <f>"003017"</f>
        <v>003017</v>
      </c>
      <c r="C3572" t="s">
        <v>7485</v>
      </c>
      <c r="D3572" t="s">
        <v>1275</v>
      </c>
      <c r="E3572">
        <v>150651636</v>
      </c>
      <c r="F3572">
        <v>122331178</v>
      </c>
      <c r="G3572">
        <v>77436983</v>
      </c>
      <c r="I3572">
        <v>89562716</v>
      </c>
      <c r="P3572">
        <v>39</v>
      </c>
      <c r="Q3572" t="s">
        <v>7486</v>
      </c>
    </row>
    <row r="3573" spans="1:17" x14ac:dyDescent="0.3">
      <c r="A3573" t="s">
        <v>75</v>
      </c>
      <c r="B3573" t="str">
        <f>"300192"</f>
        <v>300192</v>
      </c>
      <c r="C3573" t="s">
        <v>7487</v>
      </c>
      <c r="D3573" t="s">
        <v>1739</v>
      </c>
      <c r="E3573">
        <v>150552565</v>
      </c>
      <c r="F3573">
        <v>213452349</v>
      </c>
      <c r="G3573">
        <v>214885056</v>
      </c>
      <c r="H3573">
        <v>247684915</v>
      </c>
      <c r="I3573">
        <v>259458703</v>
      </c>
      <c r="J3573">
        <v>105895952</v>
      </c>
      <c r="K3573">
        <v>112552812</v>
      </c>
      <c r="L3573">
        <v>121282276</v>
      </c>
      <c r="M3573">
        <v>117683302</v>
      </c>
      <c r="N3573">
        <v>106994877</v>
      </c>
      <c r="O3573">
        <v>50707295</v>
      </c>
      <c r="P3573">
        <v>182</v>
      </c>
      <c r="Q3573" t="s">
        <v>7488</v>
      </c>
    </row>
    <row r="3574" spans="1:17" x14ac:dyDescent="0.3">
      <c r="A3574" t="s">
        <v>17</v>
      </c>
      <c r="B3574" t="str">
        <f>"603826"</f>
        <v>603826</v>
      </c>
      <c r="C3574" t="s">
        <v>7489</v>
      </c>
      <c r="D3574" t="s">
        <v>996</v>
      </c>
      <c r="E3574">
        <v>150429547</v>
      </c>
      <c r="F3574">
        <v>157236304</v>
      </c>
      <c r="G3574">
        <v>172683190</v>
      </c>
      <c r="H3574">
        <v>133421020</v>
      </c>
      <c r="I3574">
        <v>109957025</v>
      </c>
      <c r="J3574">
        <v>92864529</v>
      </c>
      <c r="K3574">
        <v>63996633</v>
      </c>
      <c r="P3574">
        <v>265</v>
      </c>
      <c r="Q3574" t="s">
        <v>7490</v>
      </c>
    </row>
    <row r="3575" spans="1:17" x14ac:dyDescent="0.3">
      <c r="A3575" t="s">
        <v>75</v>
      </c>
      <c r="B3575" t="str">
        <f>"301071"</f>
        <v>301071</v>
      </c>
      <c r="C3575" t="s">
        <v>7491</v>
      </c>
      <c r="D3575" t="s">
        <v>3587</v>
      </c>
      <c r="E3575">
        <v>150404841</v>
      </c>
      <c r="G3575">
        <v>26295966</v>
      </c>
      <c r="P3575">
        <v>76</v>
      </c>
      <c r="Q3575" t="s">
        <v>7492</v>
      </c>
    </row>
    <row r="3576" spans="1:17" x14ac:dyDescent="0.3">
      <c r="A3576" t="s">
        <v>75</v>
      </c>
      <c r="B3576" t="str">
        <f>"300164"</f>
        <v>300164</v>
      </c>
      <c r="C3576" t="s">
        <v>7493</v>
      </c>
      <c r="D3576" t="s">
        <v>402</v>
      </c>
      <c r="E3576">
        <v>150178853</v>
      </c>
      <c r="F3576">
        <v>192806823</v>
      </c>
      <c r="G3576">
        <v>249187465</v>
      </c>
      <c r="H3576">
        <v>292699627</v>
      </c>
      <c r="I3576">
        <v>310300090</v>
      </c>
      <c r="J3576">
        <v>102075036</v>
      </c>
      <c r="K3576">
        <v>107623781</v>
      </c>
      <c r="L3576">
        <v>261917941</v>
      </c>
      <c r="M3576">
        <v>108618829</v>
      </c>
      <c r="N3576">
        <v>89825292</v>
      </c>
      <c r="O3576">
        <v>59157098</v>
      </c>
      <c r="P3576">
        <v>82</v>
      </c>
      <c r="Q3576" t="s">
        <v>7494</v>
      </c>
    </row>
    <row r="3577" spans="1:17" x14ac:dyDescent="0.3">
      <c r="A3577" t="s">
        <v>75</v>
      </c>
      <c r="B3577" t="str">
        <f>"300169"</f>
        <v>300169</v>
      </c>
      <c r="C3577" t="s">
        <v>7495</v>
      </c>
      <c r="D3577" t="s">
        <v>292</v>
      </c>
      <c r="E3577">
        <v>150150758</v>
      </c>
      <c r="F3577">
        <v>165589042</v>
      </c>
      <c r="G3577">
        <v>102237835</v>
      </c>
      <c r="H3577">
        <v>167092890</v>
      </c>
      <c r="I3577">
        <v>159478349</v>
      </c>
      <c r="J3577">
        <v>204186647</v>
      </c>
      <c r="K3577">
        <v>122879320</v>
      </c>
      <c r="L3577">
        <v>163388467</v>
      </c>
      <c r="M3577">
        <v>176095925</v>
      </c>
      <c r="N3577">
        <v>94756614</v>
      </c>
      <c r="O3577">
        <v>70496366</v>
      </c>
      <c r="P3577">
        <v>68</v>
      </c>
      <c r="Q3577" t="s">
        <v>7496</v>
      </c>
    </row>
    <row r="3578" spans="1:17" x14ac:dyDescent="0.3">
      <c r="A3578" t="s">
        <v>17</v>
      </c>
      <c r="B3578" t="str">
        <f>"688300"</f>
        <v>688300</v>
      </c>
      <c r="C3578" t="s">
        <v>7497</v>
      </c>
      <c r="D3578" t="s">
        <v>996</v>
      </c>
      <c r="E3578">
        <v>150083466</v>
      </c>
      <c r="F3578">
        <v>115906154</v>
      </c>
      <c r="G3578">
        <v>88713651</v>
      </c>
      <c r="H3578">
        <v>51216741</v>
      </c>
      <c r="I3578">
        <v>67050813</v>
      </c>
      <c r="P3578">
        <v>196</v>
      </c>
      <c r="Q3578" t="s">
        <v>7498</v>
      </c>
    </row>
    <row r="3579" spans="1:17" x14ac:dyDescent="0.3">
      <c r="A3579" t="s">
        <v>17</v>
      </c>
      <c r="B3579" t="str">
        <f>"688189"</f>
        <v>688189</v>
      </c>
      <c r="C3579" t="s">
        <v>7499</v>
      </c>
      <c r="D3579" t="s">
        <v>543</v>
      </c>
      <c r="E3579">
        <v>149944108</v>
      </c>
      <c r="F3579">
        <v>47318192</v>
      </c>
      <c r="G3579">
        <v>322564765</v>
      </c>
      <c r="H3579">
        <v>264639630</v>
      </c>
      <c r="P3579">
        <v>97</v>
      </c>
      <c r="Q3579" t="s">
        <v>7500</v>
      </c>
    </row>
    <row r="3580" spans="1:17" x14ac:dyDescent="0.3">
      <c r="A3580" t="s">
        <v>75</v>
      </c>
      <c r="B3580" t="str">
        <f>"002963"</f>
        <v>002963</v>
      </c>
      <c r="C3580" t="s">
        <v>7501</v>
      </c>
      <c r="D3580" t="s">
        <v>707</v>
      </c>
      <c r="E3580">
        <v>149933216</v>
      </c>
      <c r="F3580">
        <v>183100753</v>
      </c>
      <c r="G3580">
        <v>114324570</v>
      </c>
      <c r="H3580">
        <v>178625497</v>
      </c>
      <c r="P3580">
        <v>75</v>
      </c>
      <c r="Q3580" t="s">
        <v>7502</v>
      </c>
    </row>
    <row r="3581" spans="1:17" x14ac:dyDescent="0.3">
      <c r="A3581" t="s">
        <v>75</v>
      </c>
      <c r="B3581" t="str">
        <f>"300836"</f>
        <v>300836</v>
      </c>
      <c r="C3581" t="s">
        <v>7503</v>
      </c>
      <c r="D3581" t="s">
        <v>1624</v>
      </c>
      <c r="E3581">
        <v>149862221</v>
      </c>
      <c r="F3581">
        <v>82304271</v>
      </c>
      <c r="G3581">
        <v>128903461</v>
      </c>
      <c r="H3581">
        <v>105570195</v>
      </c>
      <c r="P3581">
        <v>61</v>
      </c>
      <c r="Q3581" t="s">
        <v>7504</v>
      </c>
    </row>
    <row r="3582" spans="1:17" x14ac:dyDescent="0.3">
      <c r="A3582" t="s">
        <v>75</v>
      </c>
      <c r="B3582" t="str">
        <f>"300781"</f>
        <v>300781</v>
      </c>
      <c r="C3582" t="s">
        <v>7505</v>
      </c>
      <c r="D3582" t="s">
        <v>622</v>
      </c>
      <c r="E3582">
        <v>149595145</v>
      </c>
      <c r="F3582">
        <v>153838353</v>
      </c>
      <c r="G3582">
        <v>90342013</v>
      </c>
      <c r="H3582">
        <v>94809861</v>
      </c>
      <c r="I3582">
        <v>101083927</v>
      </c>
      <c r="P3582">
        <v>100</v>
      </c>
      <c r="Q3582" t="s">
        <v>7506</v>
      </c>
    </row>
    <row r="3583" spans="1:17" x14ac:dyDescent="0.3">
      <c r="A3583" t="s">
        <v>17</v>
      </c>
      <c r="B3583" t="str">
        <f>"688085"</f>
        <v>688085</v>
      </c>
      <c r="C3583" t="s">
        <v>7507</v>
      </c>
      <c r="D3583" t="s">
        <v>1538</v>
      </c>
      <c r="E3583">
        <v>149519490</v>
      </c>
      <c r="F3583">
        <v>107970207</v>
      </c>
      <c r="G3583">
        <v>83677787</v>
      </c>
      <c r="H3583">
        <v>70622313</v>
      </c>
      <c r="P3583">
        <v>197</v>
      </c>
      <c r="Q3583" t="s">
        <v>7508</v>
      </c>
    </row>
    <row r="3584" spans="1:17" x14ac:dyDescent="0.3">
      <c r="A3584" t="s">
        <v>75</v>
      </c>
      <c r="B3584" t="str">
        <f>"301056"</f>
        <v>301056</v>
      </c>
      <c r="C3584" t="s">
        <v>7509</v>
      </c>
      <c r="D3584" t="s">
        <v>892</v>
      </c>
      <c r="E3584">
        <v>149200577</v>
      </c>
      <c r="P3584">
        <v>16</v>
      </c>
      <c r="Q3584" t="s">
        <v>7510</v>
      </c>
    </row>
    <row r="3585" spans="1:17" x14ac:dyDescent="0.3">
      <c r="A3585" t="s">
        <v>75</v>
      </c>
      <c r="B3585" t="str">
        <f>"000892"</f>
        <v>000892</v>
      </c>
      <c r="C3585" t="s">
        <v>7511</v>
      </c>
      <c r="D3585" t="s">
        <v>2532</v>
      </c>
      <c r="E3585">
        <v>148769111</v>
      </c>
      <c r="F3585">
        <v>105064286</v>
      </c>
      <c r="G3585">
        <v>50492376</v>
      </c>
      <c r="H3585">
        <v>307212425</v>
      </c>
      <c r="I3585">
        <v>230162353</v>
      </c>
      <c r="J3585">
        <v>206742245</v>
      </c>
      <c r="K3585">
        <v>6257340</v>
      </c>
      <c r="L3585">
        <v>0</v>
      </c>
      <c r="M3585">
        <v>0</v>
      </c>
      <c r="N3585">
        <v>0</v>
      </c>
      <c r="O3585">
        <v>527076</v>
      </c>
      <c r="P3585">
        <v>109</v>
      </c>
      <c r="Q3585" t="s">
        <v>7512</v>
      </c>
    </row>
    <row r="3586" spans="1:17" x14ac:dyDescent="0.3">
      <c r="A3586" t="s">
        <v>17</v>
      </c>
      <c r="B3586" t="str">
        <f>"688330"</f>
        <v>688330</v>
      </c>
      <c r="C3586" t="s">
        <v>7513</v>
      </c>
      <c r="D3586" t="s">
        <v>682</v>
      </c>
      <c r="E3586">
        <v>148481558</v>
      </c>
      <c r="F3586">
        <v>57254390</v>
      </c>
      <c r="G3586">
        <v>36872395</v>
      </c>
      <c r="P3586">
        <v>90</v>
      </c>
      <c r="Q3586" t="s">
        <v>7514</v>
      </c>
    </row>
    <row r="3587" spans="1:17" x14ac:dyDescent="0.3">
      <c r="A3587" t="s">
        <v>17</v>
      </c>
      <c r="B3587" t="str">
        <f>"600165"</f>
        <v>600165</v>
      </c>
      <c r="C3587" t="s">
        <v>7515</v>
      </c>
      <c r="D3587" t="s">
        <v>292</v>
      </c>
      <c r="E3587">
        <v>148072693</v>
      </c>
      <c r="F3587">
        <v>53148222</v>
      </c>
      <c r="G3587">
        <v>20906960</v>
      </c>
      <c r="H3587">
        <v>28284510</v>
      </c>
      <c r="I3587">
        <v>242671089</v>
      </c>
      <c r="J3587">
        <v>233634834</v>
      </c>
      <c r="K3587">
        <v>849429927</v>
      </c>
      <c r="L3587">
        <v>452975767</v>
      </c>
      <c r="M3587">
        <v>454211703</v>
      </c>
      <c r="N3587">
        <v>402947434</v>
      </c>
      <c r="O3587">
        <v>295706740</v>
      </c>
      <c r="P3587">
        <v>70</v>
      </c>
      <c r="Q3587" t="s">
        <v>7516</v>
      </c>
    </row>
    <row r="3588" spans="1:17" x14ac:dyDescent="0.3">
      <c r="A3588" t="s">
        <v>75</v>
      </c>
      <c r="B3588" t="str">
        <f>"002780"</f>
        <v>002780</v>
      </c>
      <c r="C3588" t="s">
        <v>7517</v>
      </c>
      <c r="D3588" t="s">
        <v>5123</v>
      </c>
      <c r="E3588">
        <v>147903337</v>
      </c>
      <c r="F3588">
        <v>130037332</v>
      </c>
      <c r="G3588">
        <v>65347265</v>
      </c>
      <c r="H3588">
        <v>101272750</v>
      </c>
      <c r="I3588">
        <v>112213300</v>
      </c>
      <c r="J3588">
        <v>96788367</v>
      </c>
      <c r="K3588">
        <v>71962960</v>
      </c>
      <c r="L3588">
        <v>0</v>
      </c>
      <c r="M3588">
        <v>0</v>
      </c>
      <c r="P3588">
        <v>85</v>
      </c>
      <c r="Q3588" t="s">
        <v>7518</v>
      </c>
    </row>
    <row r="3589" spans="1:17" x14ac:dyDescent="0.3">
      <c r="A3589" t="s">
        <v>75</v>
      </c>
      <c r="B3589" t="str">
        <f>"300547"</f>
        <v>300547</v>
      </c>
      <c r="C3589" t="s">
        <v>7519</v>
      </c>
      <c r="D3589" t="s">
        <v>172</v>
      </c>
      <c r="E3589">
        <v>147323077</v>
      </c>
      <c r="F3589">
        <v>117847970</v>
      </c>
      <c r="G3589">
        <v>86355151</v>
      </c>
      <c r="H3589">
        <v>69069044</v>
      </c>
      <c r="I3589">
        <v>95401492</v>
      </c>
      <c r="J3589">
        <v>106852527</v>
      </c>
      <c r="K3589">
        <v>76349625</v>
      </c>
      <c r="P3589">
        <v>181</v>
      </c>
      <c r="Q3589" t="s">
        <v>7520</v>
      </c>
    </row>
    <row r="3590" spans="1:17" x14ac:dyDescent="0.3">
      <c r="A3590" t="s">
        <v>75</v>
      </c>
      <c r="B3590" t="str">
        <f>"300743"</f>
        <v>300743</v>
      </c>
      <c r="C3590" t="s">
        <v>7521</v>
      </c>
      <c r="D3590" t="s">
        <v>508</v>
      </c>
      <c r="E3590">
        <v>147268664</v>
      </c>
      <c r="F3590">
        <v>119975049</v>
      </c>
      <c r="G3590">
        <v>99440280</v>
      </c>
      <c r="H3590">
        <v>97435945</v>
      </c>
      <c r="I3590">
        <v>94725507</v>
      </c>
      <c r="J3590">
        <v>86777476</v>
      </c>
      <c r="P3590">
        <v>54</v>
      </c>
      <c r="Q3590" t="s">
        <v>7522</v>
      </c>
    </row>
    <row r="3591" spans="1:17" x14ac:dyDescent="0.3">
      <c r="A3591" t="s">
        <v>17</v>
      </c>
      <c r="B3591" t="str">
        <f>"603286"</f>
        <v>603286</v>
      </c>
      <c r="C3591" t="s">
        <v>7523</v>
      </c>
      <c r="D3591" t="s">
        <v>172</v>
      </c>
      <c r="E3591">
        <v>147155973</v>
      </c>
      <c r="F3591">
        <v>128218565</v>
      </c>
      <c r="G3591">
        <v>117251665</v>
      </c>
      <c r="H3591">
        <v>90404490</v>
      </c>
      <c r="I3591">
        <v>120613326</v>
      </c>
      <c r="J3591">
        <v>91473702</v>
      </c>
      <c r="K3591">
        <v>79066391</v>
      </c>
      <c r="P3591">
        <v>66</v>
      </c>
      <c r="Q3591" t="s">
        <v>7524</v>
      </c>
    </row>
    <row r="3592" spans="1:17" x14ac:dyDescent="0.3">
      <c r="A3592" t="s">
        <v>17</v>
      </c>
      <c r="B3592" t="str">
        <f>"603918"</f>
        <v>603918</v>
      </c>
      <c r="C3592" t="s">
        <v>7525</v>
      </c>
      <c r="D3592" t="s">
        <v>224</v>
      </c>
      <c r="E3592">
        <v>146922517</v>
      </c>
      <c r="F3592">
        <v>258747993</v>
      </c>
      <c r="G3592">
        <v>212157377</v>
      </c>
      <c r="H3592">
        <v>144705791</v>
      </c>
      <c r="I3592">
        <v>108915370</v>
      </c>
      <c r="J3592">
        <v>94227760</v>
      </c>
      <c r="K3592">
        <v>104808073</v>
      </c>
      <c r="L3592">
        <v>0</v>
      </c>
      <c r="M3592">
        <v>0</v>
      </c>
      <c r="P3592">
        <v>142</v>
      </c>
      <c r="Q3592" t="s">
        <v>7526</v>
      </c>
    </row>
    <row r="3593" spans="1:17" x14ac:dyDescent="0.3">
      <c r="A3593" t="s">
        <v>75</v>
      </c>
      <c r="B3593" t="str">
        <f>"000677"</f>
        <v>000677</v>
      </c>
      <c r="C3593" t="s">
        <v>7527</v>
      </c>
      <c r="D3593" t="s">
        <v>1075</v>
      </c>
      <c r="E3593">
        <v>146212282</v>
      </c>
      <c r="F3593">
        <v>151210455</v>
      </c>
      <c r="G3593">
        <v>117620734</v>
      </c>
      <c r="H3593">
        <v>91138221</v>
      </c>
      <c r="I3593">
        <v>88495705</v>
      </c>
      <c r="J3593">
        <v>86849751</v>
      </c>
      <c r="K3593">
        <v>64222061</v>
      </c>
      <c r="L3593">
        <v>536991305</v>
      </c>
      <c r="M3593">
        <v>561752140</v>
      </c>
      <c r="N3593">
        <v>614048128</v>
      </c>
      <c r="O3593">
        <v>631203665</v>
      </c>
      <c r="P3593">
        <v>80</v>
      </c>
      <c r="Q3593" t="s">
        <v>7528</v>
      </c>
    </row>
    <row r="3594" spans="1:17" x14ac:dyDescent="0.3">
      <c r="A3594" t="s">
        <v>17</v>
      </c>
      <c r="B3594" t="str">
        <f>"603256"</f>
        <v>603256</v>
      </c>
      <c r="C3594" t="s">
        <v>7529</v>
      </c>
      <c r="D3594" t="s">
        <v>980</v>
      </c>
      <c r="E3594">
        <v>145930475</v>
      </c>
      <c r="F3594">
        <v>123808963</v>
      </c>
      <c r="G3594">
        <v>170360346</v>
      </c>
      <c r="H3594">
        <v>178952498</v>
      </c>
      <c r="I3594">
        <v>176869218</v>
      </c>
      <c r="P3594">
        <v>340</v>
      </c>
      <c r="Q3594" t="s">
        <v>7530</v>
      </c>
    </row>
    <row r="3595" spans="1:17" x14ac:dyDescent="0.3">
      <c r="A3595" t="s">
        <v>75</v>
      </c>
      <c r="B3595" t="str">
        <f>"002164"</f>
        <v>002164</v>
      </c>
      <c r="C3595" t="s">
        <v>7531</v>
      </c>
      <c r="D3595" t="s">
        <v>153</v>
      </c>
      <c r="E3595">
        <v>145653443</v>
      </c>
      <c r="F3595">
        <v>127188064</v>
      </c>
      <c r="G3595">
        <v>149054242</v>
      </c>
      <c r="H3595">
        <v>219814860</v>
      </c>
      <c r="I3595">
        <v>5738005113</v>
      </c>
      <c r="J3595">
        <v>79529171</v>
      </c>
      <c r="K3595">
        <v>85993274</v>
      </c>
      <c r="L3595">
        <v>68971665</v>
      </c>
      <c r="M3595">
        <v>48263399</v>
      </c>
      <c r="N3595">
        <v>45023412</v>
      </c>
      <c r="O3595">
        <v>189822146</v>
      </c>
      <c r="P3595">
        <v>187</v>
      </c>
      <c r="Q3595" t="s">
        <v>7532</v>
      </c>
    </row>
    <row r="3596" spans="1:17" x14ac:dyDescent="0.3">
      <c r="A3596" t="s">
        <v>75</v>
      </c>
      <c r="B3596" t="str">
        <f>"002703"</f>
        <v>002703</v>
      </c>
      <c r="C3596" t="s">
        <v>7533</v>
      </c>
      <c r="D3596" t="s">
        <v>172</v>
      </c>
      <c r="E3596">
        <v>145545762</v>
      </c>
      <c r="F3596">
        <v>170277117</v>
      </c>
      <c r="G3596">
        <v>130293281</v>
      </c>
      <c r="H3596">
        <v>141531965</v>
      </c>
      <c r="I3596">
        <v>158278064</v>
      </c>
      <c r="J3596">
        <v>181212767</v>
      </c>
      <c r="K3596">
        <v>103634562</v>
      </c>
      <c r="L3596">
        <v>162230856</v>
      </c>
      <c r="M3596">
        <v>117625516</v>
      </c>
      <c r="N3596">
        <v>136371719</v>
      </c>
      <c r="O3596">
        <v>178225895</v>
      </c>
      <c r="P3596">
        <v>76</v>
      </c>
      <c r="Q3596" t="s">
        <v>7534</v>
      </c>
    </row>
    <row r="3597" spans="1:17" x14ac:dyDescent="0.3">
      <c r="A3597" t="s">
        <v>75</v>
      </c>
      <c r="B3597" t="str">
        <f>"301135"</f>
        <v>301135</v>
      </c>
      <c r="C3597" t="s">
        <v>7535</v>
      </c>
      <c r="E3597">
        <v>145406153</v>
      </c>
      <c r="F3597">
        <v>165671710</v>
      </c>
      <c r="P3597">
        <v>1</v>
      </c>
      <c r="Q3597" t="s">
        <v>7536</v>
      </c>
    </row>
    <row r="3598" spans="1:17" x14ac:dyDescent="0.3">
      <c r="A3598" t="s">
        <v>75</v>
      </c>
      <c r="B3598" t="str">
        <f>"002095"</f>
        <v>002095</v>
      </c>
      <c r="C3598" t="s">
        <v>7537</v>
      </c>
      <c r="D3598" t="s">
        <v>5291</v>
      </c>
      <c r="E3598">
        <v>145194816</v>
      </c>
      <c r="F3598">
        <v>190523239</v>
      </c>
      <c r="G3598">
        <v>74785685</v>
      </c>
      <c r="H3598">
        <v>102550734</v>
      </c>
      <c r="I3598">
        <v>108164314</v>
      </c>
      <c r="J3598">
        <v>100353176</v>
      </c>
      <c r="K3598">
        <v>51618535</v>
      </c>
      <c r="L3598">
        <v>31823300</v>
      </c>
      <c r="M3598">
        <v>39999739</v>
      </c>
      <c r="N3598">
        <v>56659351</v>
      </c>
      <c r="O3598">
        <v>44936740</v>
      </c>
      <c r="P3598">
        <v>97</v>
      </c>
      <c r="Q3598" t="s">
        <v>7538</v>
      </c>
    </row>
    <row r="3599" spans="1:17" x14ac:dyDescent="0.3">
      <c r="A3599" t="s">
        <v>17</v>
      </c>
      <c r="B3599" t="str">
        <f>"600113"</f>
        <v>600113</v>
      </c>
      <c r="C3599" t="s">
        <v>7539</v>
      </c>
      <c r="D3599" t="s">
        <v>378</v>
      </c>
      <c r="E3599">
        <v>144997661</v>
      </c>
      <c r="F3599">
        <v>269729055</v>
      </c>
      <c r="G3599">
        <v>99857738</v>
      </c>
      <c r="H3599">
        <v>108326644</v>
      </c>
      <c r="I3599">
        <v>92453034</v>
      </c>
      <c r="J3599">
        <v>78597013</v>
      </c>
      <c r="K3599">
        <v>89128346</v>
      </c>
      <c r="L3599">
        <v>167640092</v>
      </c>
      <c r="M3599">
        <v>143333067</v>
      </c>
      <c r="N3599">
        <v>86386500</v>
      </c>
      <c r="O3599">
        <v>80899980</v>
      </c>
      <c r="P3599">
        <v>136</v>
      </c>
      <c r="Q3599" t="s">
        <v>7540</v>
      </c>
    </row>
    <row r="3600" spans="1:17" x14ac:dyDescent="0.3">
      <c r="A3600" t="s">
        <v>75</v>
      </c>
      <c r="B3600" t="str">
        <f>"300273"</f>
        <v>300273</v>
      </c>
      <c r="C3600" t="s">
        <v>7541</v>
      </c>
      <c r="D3600" t="s">
        <v>334</v>
      </c>
      <c r="E3600">
        <v>144997243</v>
      </c>
      <c r="F3600">
        <v>293397121</v>
      </c>
      <c r="G3600">
        <v>256049165</v>
      </c>
      <c r="H3600">
        <v>390831256</v>
      </c>
      <c r="I3600">
        <v>352412370</v>
      </c>
      <c r="J3600">
        <v>348048995</v>
      </c>
      <c r="K3600">
        <v>186811803</v>
      </c>
      <c r="L3600">
        <v>157007507</v>
      </c>
      <c r="M3600">
        <v>118205690</v>
      </c>
      <c r="N3600">
        <v>59984722</v>
      </c>
      <c r="O3600">
        <v>84004919</v>
      </c>
      <c r="P3600">
        <v>143</v>
      </c>
      <c r="Q3600" t="s">
        <v>7542</v>
      </c>
    </row>
    <row r="3601" spans="1:17" x14ac:dyDescent="0.3">
      <c r="A3601" t="s">
        <v>75</v>
      </c>
      <c r="B3601" t="str">
        <f>"300659"</f>
        <v>300659</v>
      </c>
      <c r="C3601" t="s">
        <v>7543</v>
      </c>
      <c r="D3601" t="s">
        <v>508</v>
      </c>
      <c r="E3601">
        <v>144953438</v>
      </c>
      <c r="F3601">
        <v>199404870</v>
      </c>
      <c r="G3601">
        <v>51708798</v>
      </c>
      <c r="H3601">
        <v>52046359</v>
      </c>
      <c r="I3601">
        <v>37485561</v>
      </c>
      <c r="J3601">
        <v>32174621</v>
      </c>
      <c r="K3601">
        <v>24811029</v>
      </c>
      <c r="P3601">
        <v>272</v>
      </c>
      <c r="Q3601" t="s">
        <v>7544</v>
      </c>
    </row>
    <row r="3602" spans="1:17" x14ac:dyDescent="0.3">
      <c r="A3602" t="s">
        <v>17</v>
      </c>
      <c r="B3602" t="str">
        <f>"600576"</f>
        <v>600576</v>
      </c>
      <c r="C3602" t="s">
        <v>7545</v>
      </c>
      <c r="D3602" t="s">
        <v>2532</v>
      </c>
      <c r="E3602">
        <v>144906593</v>
      </c>
      <c r="F3602">
        <v>258321641</v>
      </c>
      <c r="G3602">
        <v>145030650</v>
      </c>
      <c r="H3602">
        <v>243809758</v>
      </c>
      <c r="I3602">
        <v>79630613</v>
      </c>
      <c r="J3602">
        <v>234606923</v>
      </c>
      <c r="K3602">
        <v>135509192</v>
      </c>
      <c r="L3602">
        <v>1434534</v>
      </c>
      <c r="M3602">
        <v>12178049</v>
      </c>
      <c r="N3602">
        <v>45869977</v>
      </c>
      <c r="O3602">
        <v>87087237</v>
      </c>
      <c r="P3602">
        <v>85</v>
      </c>
      <c r="Q3602" t="s">
        <v>7546</v>
      </c>
    </row>
    <row r="3603" spans="1:17" x14ac:dyDescent="0.3">
      <c r="A3603" t="s">
        <v>75</v>
      </c>
      <c r="B3603" t="str">
        <f>"301106"</f>
        <v>301106</v>
      </c>
      <c r="C3603" t="s">
        <v>7547</v>
      </c>
      <c r="E3603">
        <v>144889600</v>
      </c>
      <c r="P3603">
        <v>8</v>
      </c>
      <c r="Q3603" t="s">
        <v>7548</v>
      </c>
    </row>
    <row r="3604" spans="1:17" x14ac:dyDescent="0.3">
      <c r="A3604" t="s">
        <v>17</v>
      </c>
      <c r="B3604" t="str">
        <f>"603102"</f>
        <v>603102</v>
      </c>
      <c r="C3604" t="s">
        <v>7549</v>
      </c>
      <c r="E3604">
        <v>144758670</v>
      </c>
      <c r="P3604">
        <v>13</v>
      </c>
      <c r="Q3604" t="s">
        <v>7550</v>
      </c>
    </row>
    <row r="3605" spans="1:17" x14ac:dyDescent="0.3">
      <c r="A3605" t="s">
        <v>75</v>
      </c>
      <c r="B3605" t="str">
        <f>"002553"</f>
        <v>002553</v>
      </c>
      <c r="C3605" t="s">
        <v>7551</v>
      </c>
      <c r="D3605" t="s">
        <v>172</v>
      </c>
      <c r="E3605">
        <v>144725243</v>
      </c>
      <c r="F3605">
        <v>142120460</v>
      </c>
      <c r="G3605">
        <v>98771730</v>
      </c>
      <c r="H3605">
        <v>99931164</v>
      </c>
      <c r="I3605">
        <v>118195783</v>
      </c>
      <c r="J3605">
        <v>91502850</v>
      </c>
      <c r="K3605">
        <v>82033911</v>
      </c>
      <c r="L3605">
        <v>78019417</v>
      </c>
      <c r="M3605">
        <v>75133913</v>
      </c>
      <c r="N3605">
        <v>67293714</v>
      </c>
      <c r="O3605">
        <v>59291283</v>
      </c>
      <c r="P3605">
        <v>140</v>
      </c>
      <c r="Q3605" t="s">
        <v>7552</v>
      </c>
    </row>
    <row r="3606" spans="1:17" x14ac:dyDescent="0.3">
      <c r="A3606" t="s">
        <v>75</v>
      </c>
      <c r="B3606" t="str">
        <f>"002296"</f>
        <v>002296</v>
      </c>
      <c r="C3606" t="s">
        <v>7553</v>
      </c>
      <c r="D3606" t="s">
        <v>169</v>
      </c>
      <c r="E3606">
        <v>144676594</v>
      </c>
      <c r="F3606">
        <v>267370500</v>
      </c>
      <c r="G3606">
        <v>87486546</v>
      </c>
      <c r="H3606">
        <v>128108544</v>
      </c>
      <c r="I3606">
        <v>129697781</v>
      </c>
      <c r="J3606">
        <v>92868636</v>
      </c>
      <c r="K3606">
        <v>124899903</v>
      </c>
      <c r="L3606">
        <v>106332468</v>
      </c>
      <c r="M3606">
        <v>54122849</v>
      </c>
      <c r="N3606">
        <v>54869830</v>
      </c>
      <c r="O3606">
        <v>65961857</v>
      </c>
      <c r="P3606">
        <v>160</v>
      </c>
      <c r="Q3606" t="s">
        <v>7554</v>
      </c>
    </row>
    <row r="3607" spans="1:17" x14ac:dyDescent="0.3">
      <c r="A3607" t="s">
        <v>75</v>
      </c>
      <c r="B3607" t="str">
        <f>"200025"</f>
        <v>200025</v>
      </c>
      <c r="C3607" t="s">
        <v>7555</v>
      </c>
      <c r="E3607">
        <v>144659205.15400001</v>
      </c>
      <c r="F3607">
        <v>130114980.87450001</v>
      </c>
      <c r="G3607">
        <v>102714492.8328</v>
      </c>
      <c r="H3607">
        <v>126950167.66859999</v>
      </c>
      <c r="I3607">
        <v>105474646.7395</v>
      </c>
      <c r="J3607">
        <v>96325668.615600005</v>
      </c>
      <c r="K3607">
        <v>87088767.266800001</v>
      </c>
      <c r="L3607">
        <v>103421078.75</v>
      </c>
      <c r="M3607">
        <v>153136758.72799999</v>
      </c>
      <c r="N3607">
        <v>138163582.78920001</v>
      </c>
      <c r="O3607">
        <v>119009942.955</v>
      </c>
      <c r="P3607">
        <v>7</v>
      </c>
      <c r="Q3607" t="s">
        <v>7556</v>
      </c>
    </row>
    <row r="3608" spans="1:17" x14ac:dyDescent="0.3">
      <c r="A3608" t="s">
        <v>75</v>
      </c>
      <c r="B3608" t="str">
        <f>"301100"</f>
        <v>301100</v>
      </c>
      <c r="C3608" t="s">
        <v>7557</v>
      </c>
      <c r="D3608" t="s">
        <v>292</v>
      </c>
      <c r="E3608">
        <v>144533037</v>
      </c>
      <c r="P3608">
        <v>11</v>
      </c>
      <c r="Q3608" t="s">
        <v>7558</v>
      </c>
    </row>
    <row r="3609" spans="1:17" x14ac:dyDescent="0.3">
      <c r="A3609" t="s">
        <v>75</v>
      </c>
      <c r="B3609" t="str">
        <f>"300495"</f>
        <v>300495</v>
      </c>
      <c r="C3609" t="s">
        <v>7559</v>
      </c>
      <c r="D3609" t="s">
        <v>1523</v>
      </c>
      <c r="E3609">
        <v>144482687</v>
      </c>
      <c r="F3609">
        <v>316619539</v>
      </c>
      <c r="G3609">
        <v>254308127</v>
      </c>
      <c r="H3609">
        <v>296008150</v>
      </c>
      <c r="I3609">
        <v>371938847</v>
      </c>
      <c r="J3609">
        <v>66382656</v>
      </c>
      <c r="K3609">
        <v>26546303</v>
      </c>
      <c r="L3609">
        <v>0</v>
      </c>
      <c r="M3609">
        <v>0</v>
      </c>
      <c r="P3609">
        <v>103</v>
      </c>
      <c r="Q3609" t="s">
        <v>7560</v>
      </c>
    </row>
    <row r="3610" spans="1:17" x14ac:dyDescent="0.3">
      <c r="A3610" t="s">
        <v>75</v>
      </c>
      <c r="B3610" t="str">
        <f>"002515"</f>
        <v>002515</v>
      </c>
      <c r="C3610" t="s">
        <v>7561</v>
      </c>
      <c r="D3610" t="s">
        <v>399</v>
      </c>
      <c r="E3610">
        <v>144338820</v>
      </c>
      <c r="F3610">
        <v>242781233</v>
      </c>
      <c r="G3610">
        <v>189314245</v>
      </c>
      <c r="H3610">
        <v>86534686</v>
      </c>
      <c r="I3610">
        <v>116371987</v>
      </c>
      <c r="J3610">
        <v>97671166</v>
      </c>
      <c r="K3610">
        <v>68982618</v>
      </c>
      <c r="L3610">
        <v>87354064</v>
      </c>
      <c r="M3610">
        <v>79164037</v>
      </c>
      <c r="N3610">
        <v>82440600</v>
      </c>
      <c r="O3610">
        <v>77931734</v>
      </c>
      <c r="P3610">
        <v>296</v>
      </c>
      <c r="Q3610" t="s">
        <v>7562</v>
      </c>
    </row>
    <row r="3611" spans="1:17" x14ac:dyDescent="0.3">
      <c r="A3611" t="s">
        <v>17</v>
      </c>
      <c r="B3611" t="str">
        <f>"600238"</f>
        <v>600238</v>
      </c>
      <c r="C3611" t="s">
        <v>7563</v>
      </c>
      <c r="D3611" t="s">
        <v>2575</v>
      </c>
      <c r="E3611">
        <v>144275731</v>
      </c>
      <c r="F3611">
        <v>219145547</v>
      </c>
      <c r="G3611">
        <v>110201507</v>
      </c>
      <c r="H3611">
        <v>206421538</v>
      </c>
      <c r="I3611">
        <v>233192906</v>
      </c>
      <c r="J3611">
        <v>147574759</v>
      </c>
      <c r="K3611">
        <v>126450782</v>
      </c>
      <c r="L3611">
        <v>100323193</v>
      </c>
      <c r="M3611">
        <v>78316830</v>
      </c>
      <c r="N3611">
        <v>239220359</v>
      </c>
      <c r="O3611">
        <v>138570540</v>
      </c>
      <c r="P3611">
        <v>146</v>
      </c>
      <c r="Q3611" t="s">
        <v>7564</v>
      </c>
    </row>
    <row r="3612" spans="1:17" x14ac:dyDescent="0.3">
      <c r="A3612" t="s">
        <v>75</v>
      </c>
      <c r="B3612" t="str">
        <f>"300812"</f>
        <v>300812</v>
      </c>
      <c r="C3612" t="s">
        <v>7565</v>
      </c>
      <c r="D3612" t="s">
        <v>1859</v>
      </c>
      <c r="E3612">
        <v>143642486</v>
      </c>
      <c r="F3612">
        <v>117586073</v>
      </c>
      <c r="G3612">
        <v>100651865</v>
      </c>
      <c r="H3612">
        <v>77704719</v>
      </c>
      <c r="P3612">
        <v>111</v>
      </c>
      <c r="Q3612" t="s">
        <v>7566</v>
      </c>
    </row>
    <row r="3613" spans="1:17" x14ac:dyDescent="0.3">
      <c r="A3613" t="s">
        <v>17</v>
      </c>
      <c r="B3613" t="str">
        <f>"688369"</f>
        <v>688369</v>
      </c>
      <c r="C3613" t="s">
        <v>7567</v>
      </c>
      <c r="D3613" t="s">
        <v>989</v>
      </c>
      <c r="E3613">
        <v>143592661</v>
      </c>
      <c r="F3613">
        <v>151383171</v>
      </c>
      <c r="G3613">
        <v>91283518</v>
      </c>
      <c r="H3613">
        <v>89889501</v>
      </c>
      <c r="P3613">
        <v>168</v>
      </c>
      <c r="Q3613" t="s">
        <v>7568</v>
      </c>
    </row>
    <row r="3614" spans="1:17" x14ac:dyDescent="0.3">
      <c r="A3614" t="s">
        <v>17</v>
      </c>
      <c r="B3614" t="str">
        <f>"605118"</f>
        <v>605118</v>
      </c>
      <c r="C3614" t="s">
        <v>7569</v>
      </c>
      <c r="D3614" t="s">
        <v>337</v>
      </c>
      <c r="E3614">
        <v>143387422</v>
      </c>
      <c r="F3614">
        <v>114707257</v>
      </c>
      <c r="G3614">
        <v>99367657</v>
      </c>
      <c r="H3614">
        <v>137365247</v>
      </c>
      <c r="P3614">
        <v>114</v>
      </c>
      <c r="Q3614" t="s">
        <v>7570</v>
      </c>
    </row>
    <row r="3615" spans="1:17" x14ac:dyDescent="0.3">
      <c r="A3615" t="s">
        <v>17</v>
      </c>
      <c r="B3615" t="str">
        <f>"688138"</f>
        <v>688138</v>
      </c>
      <c r="C3615" t="s">
        <v>7571</v>
      </c>
      <c r="D3615" t="s">
        <v>489</v>
      </c>
      <c r="E3615">
        <v>143263190</v>
      </c>
      <c r="F3615">
        <v>97136416</v>
      </c>
      <c r="G3615">
        <v>131471077</v>
      </c>
      <c r="H3615">
        <v>106818735</v>
      </c>
      <c r="P3615">
        <v>92</v>
      </c>
      <c r="Q3615" t="s">
        <v>7572</v>
      </c>
    </row>
    <row r="3616" spans="1:17" x14ac:dyDescent="0.3">
      <c r="A3616" t="s">
        <v>17</v>
      </c>
      <c r="B3616" t="str">
        <f>"688185"</f>
        <v>688185</v>
      </c>
      <c r="C3616" t="s">
        <v>7573</v>
      </c>
      <c r="D3616" t="s">
        <v>928</v>
      </c>
      <c r="E3616">
        <v>143191000</v>
      </c>
      <c r="F3616">
        <v>363358069</v>
      </c>
      <c r="G3616">
        <v>131995</v>
      </c>
      <c r="H3616">
        <v>276300</v>
      </c>
      <c r="P3616">
        <v>266</v>
      </c>
      <c r="Q3616" t="s">
        <v>7574</v>
      </c>
    </row>
    <row r="3617" spans="1:17" x14ac:dyDescent="0.3">
      <c r="A3617" t="s">
        <v>75</v>
      </c>
      <c r="B3617" t="str">
        <f>"301181"</f>
        <v>301181</v>
      </c>
      <c r="C3617" t="s">
        <v>7575</v>
      </c>
      <c r="E3617">
        <v>142965508</v>
      </c>
      <c r="P3617">
        <v>5</v>
      </c>
      <c r="Q3617" t="s">
        <v>7576</v>
      </c>
    </row>
    <row r="3618" spans="1:17" x14ac:dyDescent="0.3">
      <c r="A3618" t="s">
        <v>17</v>
      </c>
      <c r="B3618" t="str">
        <f>"688329"</f>
        <v>688329</v>
      </c>
      <c r="C3618" t="s">
        <v>7577</v>
      </c>
      <c r="D3618" t="s">
        <v>2910</v>
      </c>
      <c r="E3618">
        <v>142904987</v>
      </c>
      <c r="F3618">
        <v>87023820</v>
      </c>
      <c r="G3618">
        <v>38730374</v>
      </c>
      <c r="P3618">
        <v>43</v>
      </c>
      <c r="Q3618" t="s">
        <v>7578</v>
      </c>
    </row>
    <row r="3619" spans="1:17" x14ac:dyDescent="0.3">
      <c r="A3619" t="s">
        <v>75</v>
      </c>
      <c r="B3619" t="str">
        <f>"300802"</f>
        <v>300802</v>
      </c>
      <c r="C3619" t="s">
        <v>7579</v>
      </c>
      <c r="D3619" t="s">
        <v>2910</v>
      </c>
      <c r="E3619">
        <v>142888419</v>
      </c>
      <c r="F3619">
        <v>105094754</v>
      </c>
      <c r="G3619">
        <v>120327594</v>
      </c>
      <c r="H3619">
        <v>116625951</v>
      </c>
      <c r="P3619">
        <v>182</v>
      </c>
      <c r="Q3619" t="s">
        <v>7580</v>
      </c>
    </row>
    <row r="3620" spans="1:17" x14ac:dyDescent="0.3">
      <c r="A3620" t="s">
        <v>75</v>
      </c>
      <c r="B3620" t="str">
        <f>"002425"</f>
        <v>002425</v>
      </c>
      <c r="C3620" t="s">
        <v>7581</v>
      </c>
      <c r="D3620" t="s">
        <v>1165</v>
      </c>
      <c r="E3620">
        <v>142620253</v>
      </c>
      <c r="F3620">
        <v>160770924</v>
      </c>
      <c r="G3620">
        <v>122427320</v>
      </c>
      <c r="H3620">
        <v>135392339</v>
      </c>
      <c r="I3620">
        <v>172677113</v>
      </c>
      <c r="J3620">
        <v>120211992</v>
      </c>
      <c r="K3620">
        <v>133685065</v>
      </c>
      <c r="L3620">
        <v>135244277</v>
      </c>
      <c r="M3620">
        <v>133841433</v>
      </c>
      <c r="N3620">
        <v>184279158</v>
      </c>
      <c r="O3620">
        <v>136330190</v>
      </c>
      <c r="P3620">
        <v>257</v>
      </c>
      <c r="Q3620" t="s">
        <v>7582</v>
      </c>
    </row>
    <row r="3621" spans="1:17" x14ac:dyDescent="0.3">
      <c r="A3621" t="s">
        <v>75</v>
      </c>
      <c r="B3621" t="str">
        <f>"002322"</f>
        <v>002322</v>
      </c>
      <c r="C3621" t="s">
        <v>7583</v>
      </c>
      <c r="D3621" t="s">
        <v>116</v>
      </c>
      <c r="E3621">
        <v>142538743</v>
      </c>
      <c r="F3621">
        <v>187426630</v>
      </c>
      <c r="G3621">
        <v>139896393</v>
      </c>
      <c r="H3621">
        <v>142249930</v>
      </c>
      <c r="I3621">
        <v>116240245</v>
      </c>
      <c r="J3621">
        <v>176388388</v>
      </c>
      <c r="K3621">
        <v>95680711</v>
      </c>
      <c r="L3621">
        <v>36004127</v>
      </c>
      <c r="M3621">
        <v>86699232</v>
      </c>
      <c r="N3621">
        <v>115027716</v>
      </c>
      <c r="O3621">
        <v>68914286</v>
      </c>
      <c r="P3621">
        <v>180</v>
      </c>
      <c r="Q3621" t="s">
        <v>7584</v>
      </c>
    </row>
    <row r="3622" spans="1:17" x14ac:dyDescent="0.3">
      <c r="A3622" t="s">
        <v>75</v>
      </c>
      <c r="B3622" t="str">
        <f>"300370"</f>
        <v>300370</v>
      </c>
      <c r="C3622" t="s">
        <v>7585</v>
      </c>
      <c r="D3622" t="s">
        <v>2549</v>
      </c>
      <c r="E3622">
        <v>142442159</v>
      </c>
      <c r="F3622">
        <v>172195021</v>
      </c>
      <c r="G3622">
        <v>206404922</v>
      </c>
      <c r="H3622">
        <v>398339256</v>
      </c>
      <c r="I3622">
        <v>334647202</v>
      </c>
      <c r="J3622">
        <v>248441534</v>
      </c>
      <c r="K3622">
        <v>130128123</v>
      </c>
      <c r="L3622">
        <v>107552824</v>
      </c>
      <c r="M3622">
        <v>38190137</v>
      </c>
      <c r="N3622">
        <v>19663055</v>
      </c>
      <c r="P3622">
        <v>103</v>
      </c>
      <c r="Q3622" t="s">
        <v>7586</v>
      </c>
    </row>
    <row r="3623" spans="1:17" x14ac:dyDescent="0.3">
      <c r="A3623" t="s">
        <v>75</v>
      </c>
      <c r="B3623" t="str">
        <f>"300050"</f>
        <v>300050</v>
      </c>
      <c r="C3623" t="s">
        <v>7587</v>
      </c>
      <c r="D3623" t="s">
        <v>1647</v>
      </c>
      <c r="E3623">
        <v>142342377</v>
      </c>
      <c r="F3623">
        <v>200324070</v>
      </c>
      <c r="G3623">
        <v>165088831</v>
      </c>
      <c r="H3623">
        <v>199788831</v>
      </c>
      <c r="I3623">
        <v>230858385</v>
      </c>
      <c r="J3623">
        <v>126134434</v>
      </c>
      <c r="K3623">
        <v>161744276</v>
      </c>
      <c r="L3623">
        <v>133838668</v>
      </c>
      <c r="M3623">
        <v>97313957</v>
      </c>
      <c r="N3623">
        <v>84284548</v>
      </c>
      <c r="O3623">
        <v>58375180</v>
      </c>
      <c r="P3623">
        <v>164</v>
      </c>
      <c r="Q3623" t="s">
        <v>7588</v>
      </c>
    </row>
    <row r="3624" spans="1:17" x14ac:dyDescent="0.3">
      <c r="A3624" t="s">
        <v>17</v>
      </c>
      <c r="B3624" t="str">
        <f>"688069"</f>
        <v>688069</v>
      </c>
      <c r="C3624" t="s">
        <v>7589</v>
      </c>
      <c r="D3624" t="s">
        <v>1107</v>
      </c>
      <c r="E3624">
        <v>142202670</v>
      </c>
      <c r="F3624">
        <v>57788014</v>
      </c>
      <c r="G3624">
        <v>29686478</v>
      </c>
      <c r="H3624">
        <v>23624519</v>
      </c>
      <c r="P3624">
        <v>79</v>
      </c>
      <c r="Q3624" t="s">
        <v>7590</v>
      </c>
    </row>
    <row r="3625" spans="1:17" x14ac:dyDescent="0.3">
      <c r="A3625" t="s">
        <v>75</v>
      </c>
      <c r="B3625" t="str">
        <f>"300992"</f>
        <v>300992</v>
      </c>
      <c r="C3625" t="s">
        <v>7591</v>
      </c>
      <c r="D3625" t="s">
        <v>1424</v>
      </c>
      <c r="E3625">
        <v>142164423</v>
      </c>
      <c r="F3625">
        <v>138300008</v>
      </c>
      <c r="G3625">
        <v>110319342</v>
      </c>
      <c r="P3625">
        <v>26</v>
      </c>
      <c r="Q3625" t="s">
        <v>7592</v>
      </c>
    </row>
    <row r="3626" spans="1:17" x14ac:dyDescent="0.3">
      <c r="A3626" t="s">
        <v>75</v>
      </c>
      <c r="B3626" t="str">
        <f>"301093"</f>
        <v>301093</v>
      </c>
      <c r="C3626" t="s">
        <v>7593</v>
      </c>
      <c r="D3626" t="s">
        <v>1538</v>
      </c>
      <c r="E3626">
        <v>142008940</v>
      </c>
      <c r="P3626">
        <v>30</v>
      </c>
      <c r="Q3626" t="s">
        <v>7594</v>
      </c>
    </row>
    <row r="3627" spans="1:17" x14ac:dyDescent="0.3">
      <c r="A3627" t="s">
        <v>17</v>
      </c>
      <c r="B3627" t="str">
        <f>"688722"</f>
        <v>688722</v>
      </c>
      <c r="C3627" t="s">
        <v>7595</v>
      </c>
      <c r="D3627" t="s">
        <v>1806</v>
      </c>
      <c r="E3627">
        <v>141986269</v>
      </c>
      <c r="P3627">
        <v>13</v>
      </c>
      <c r="Q3627" t="s">
        <v>7596</v>
      </c>
    </row>
    <row r="3628" spans="1:17" x14ac:dyDescent="0.3">
      <c r="A3628" t="s">
        <v>75</v>
      </c>
      <c r="B3628" t="str">
        <f>"300386"</f>
        <v>300386</v>
      </c>
      <c r="C3628" t="s">
        <v>7597</v>
      </c>
      <c r="D3628" t="s">
        <v>508</v>
      </c>
      <c r="E3628">
        <v>141932933</v>
      </c>
      <c r="F3628">
        <v>126085952</v>
      </c>
      <c r="G3628">
        <v>111093053</v>
      </c>
      <c r="H3628">
        <v>143196841</v>
      </c>
      <c r="I3628">
        <v>101826954</v>
      </c>
      <c r="J3628">
        <v>131742819</v>
      </c>
      <c r="K3628">
        <v>122881069</v>
      </c>
      <c r="L3628">
        <v>141816161</v>
      </c>
      <c r="M3628">
        <v>0</v>
      </c>
      <c r="P3628">
        <v>188</v>
      </c>
      <c r="Q3628" t="s">
        <v>7598</v>
      </c>
    </row>
    <row r="3629" spans="1:17" x14ac:dyDescent="0.3">
      <c r="A3629" t="s">
        <v>17</v>
      </c>
      <c r="B3629" t="str">
        <f>"688170"</f>
        <v>688170</v>
      </c>
      <c r="C3629" t="s">
        <v>7599</v>
      </c>
      <c r="E3629">
        <v>141817049</v>
      </c>
      <c r="P3629">
        <v>2</v>
      </c>
      <c r="Q3629" t="s">
        <v>7600</v>
      </c>
    </row>
    <row r="3630" spans="1:17" x14ac:dyDescent="0.3">
      <c r="A3630" t="s">
        <v>17</v>
      </c>
      <c r="B3630" t="str">
        <f>"688566"</f>
        <v>688566</v>
      </c>
      <c r="C3630" t="s">
        <v>7601</v>
      </c>
      <c r="D3630" t="s">
        <v>543</v>
      </c>
      <c r="E3630">
        <v>141738546</v>
      </c>
      <c r="F3630">
        <v>151673305</v>
      </c>
      <c r="G3630">
        <v>123672190</v>
      </c>
      <c r="H3630">
        <v>123229695</v>
      </c>
      <c r="P3630">
        <v>69</v>
      </c>
      <c r="Q3630" t="s">
        <v>7602</v>
      </c>
    </row>
    <row r="3631" spans="1:17" x14ac:dyDescent="0.3">
      <c r="A3631" t="s">
        <v>75</v>
      </c>
      <c r="B3631" t="str">
        <f>"300291"</f>
        <v>300291</v>
      </c>
      <c r="C3631" t="s">
        <v>7603</v>
      </c>
      <c r="D3631" t="s">
        <v>2532</v>
      </c>
      <c r="E3631">
        <v>141643632</v>
      </c>
      <c r="F3631">
        <v>204376302</v>
      </c>
      <c r="G3631">
        <v>131536703</v>
      </c>
      <c r="H3631">
        <v>169855563</v>
      </c>
      <c r="I3631">
        <v>380225381</v>
      </c>
      <c r="J3631">
        <v>435727816</v>
      </c>
      <c r="K3631">
        <v>402261054</v>
      </c>
      <c r="L3631">
        <v>232533284</v>
      </c>
      <c r="M3631">
        <v>101198767</v>
      </c>
      <c r="N3631">
        <v>130765255</v>
      </c>
      <c r="O3631">
        <v>20350335</v>
      </c>
      <c r="P3631">
        <v>93</v>
      </c>
      <c r="Q3631" t="s">
        <v>7604</v>
      </c>
    </row>
    <row r="3632" spans="1:17" x14ac:dyDescent="0.3">
      <c r="A3632" t="s">
        <v>17</v>
      </c>
      <c r="B3632" t="str">
        <f>"605258"</f>
        <v>605258</v>
      </c>
      <c r="C3632" t="s">
        <v>7605</v>
      </c>
      <c r="D3632" t="s">
        <v>567</v>
      </c>
      <c r="E3632">
        <v>141064103</v>
      </c>
      <c r="F3632">
        <v>132339826</v>
      </c>
      <c r="G3632">
        <v>81539399</v>
      </c>
      <c r="P3632">
        <v>51</v>
      </c>
      <c r="Q3632" t="s">
        <v>7606</v>
      </c>
    </row>
    <row r="3633" spans="1:17" x14ac:dyDescent="0.3">
      <c r="A3633" t="s">
        <v>75</v>
      </c>
      <c r="B3633" t="str">
        <f>"002770"</f>
        <v>002770</v>
      </c>
      <c r="C3633" t="s">
        <v>7607</v>
      </c>
      <c r="D3633" t="s">
        <v>215</v>
      </c>
      <c r="E3633">
        <v>141047643</v>
      </c>
      <c r="F3633">
        <v>136148997</v>
      </c>
      <c r="G3633">
        <v>81642108</v>
      </c>
      <c r="H3633">
        <v>272381684</v>
      </c>
      <c r="I3633">
        <v>322977126</v>
      </c>
      <c r="J3633">
        <v>268867858</v>
      </c>
      <c r="K3633">
        <v>119620384</v>
      </c>
      <c r="L3633">
        <v>143630180</v>
      </c>
      <c r="M3633">
        <v>154674401</v>
      </c>
      <c r="P3633">
        <v>163</v>
      </c>
      <c r="Q3633" t="s">
        <v>7608</v>
      </c>
    </row>
    <row r="3634" spans="1:17" x14ac:dyDescent="0.3">
      <c r="A3634" t="s">
        <v>75</v>
      </c>
      <c r="B3634" t="str">
        <f>"300239"</f>
        <v>300239</v>
      </c>
      <c r="C3634" t="s">
        <v>7609</v>
      </c>
      <c r="D3634" t="s">
        <v>1533</v>
      </c>
      <c r="E3634">
        <v>141030887</v>
      </c>
      <c r="F3634">
        <v>83988900</v>
      </c>
      <c r="G3634">
        <v>81360303</v>
      </c>
      <c r="H3634">
        <v>72970147</v>
      </c>
      <c r="I3634">
        <v>46755010</v>
      </c>
      <c r="J3634">
        <v>29111802</v>
      </c>
      <c r="K3634">
        <v>28047000</v>
      </c>
      <c r="L3634">
        <v>34464357</v>
      </c>
      <c r="M3634">
        <v>26240642</v>
      </c>
      <c r="N3634">
        <v>91956451</v>
      </c>
      <c r="O3634">
        <v>23938586</v>
      </c>
      <c r="P3634">
        <v>107</v>
      </c>
      <c r="Q3634" t="s">
        <v>7610</v>
      </c>
    </row>
    <row r="3635" spans="1:17" x14ac:dyDescent="0.3">
      <c r="A3635" t="s">
        <v>75</v>
      </c>
      <c r="B3635" t="str">
        <f>"002041"</f>
        <v>002041</v>
      </c>
      <c r="C3635" t="s">
        <v>7611</v>
      </c>
      <c r="D3635" t="s">
        <v>3670</v>
      </c>
      <c r="E3635">
        <v>141028526</v>
      </c>
      <c r="F3635">
        <v>112650511</v>
      </c>
      <c r="G3635">
        <v>98479631</v>
      </c>
      <c r="H3635">
        <v>74487196</v>
      </c>
      <c r="I3635">
        <v>59219472</v>
      </c>
      <c r="J3635">
        <v>84658654</v>
      </c>
      <c r="K3635">
        <v>273014358</v>
      </c>
      <c r="L3635">
        <v>135422954</v>
      </c>
      <c r="M3635">
        <v>222740558</v>
      </c>
      <c r="N3635">
        <v>161732123</v>
      </c>
      <c r="O3635">
        <v>148037067</v>
      </c>
      <c r="P3635">
        <v>446</v>
      </c>
      <c r="Q3635" t="s">
        <v>7612</v>
      </c>
    </row>
    <row r="3636" spans="1:17" x14ac:dyDescent="0.3">
      <c r="A3636" t="s">
        <v>75</v>
      </c>
      <c r="B3636" t="str">
        <f>"002117"</f>
        <v>002117</v>
      </c>
      <c r="C3636" t="s">
        <v>7613</v>
      </c>
      <c r="D3636" t="s">
        <v>3395</v>
      </c>
      <c r="E3636">
        <v>140920132</v>
      </c>
      <c r="F3636">
        <v>176724147</v>
      </c>
      <c r="G3636">
        <v>177593068</v>
      </c>
      <c r="H3636">
        <v>221219210</v>
      </c>
      <c r="I3636">
        <v>219304025</v>
      </c>
      <c r="J3636">
        <v>186504740</v>
      </c>
      <c r="K3636">
        <v>170431215</v>
      </c>
      <c r="L3636">
        <v>175045137</v>
      </c>
      <c r="M3636">
        <v>188267544</v>
      </c>
      <c r="N3636">
        <v>164353817</v>
      </c>
      <c r="O3636">
        <v>169440011</v>
      </c>
      <c r="P3636">
        <v>392</v>
      </c>
      <c r="Q3636" t="s">
        <v>7614</v>
      </c>
    </row>
    <row r="3637" spans="1:17" x14ac:dyDescent="0.3">
      <c r="A3637" t="s">
        <v>17</v>
      </c>
      <c r="B3637" t="str">
        <f>"600249"</f>
        <v>600249</v>
      </c>
      <c r="C3637" t="s">
        <v>7615</v>
      </c>
      <c r="D3637" t="s">
        <v>3592</v>
      </c>
      <c r="E3637">
        <v>140725655</v>
      </c>
      <c r="F3637">
        <v>166463128</v>
      </c>
      <c r="G3637">
        <v>117306772</v>
      </c>
      <c r="H3637">
        <v>281090679</v>
      </c>
      <c r="I3637">
        <v>276805415</v>
      </c>
      <c r="J3637">
        <v>275570643</v>
      </c>
      <c r="K3637">
        <v>290150267</v>
      </c>
      <c r="L3637">
        <v>250045655</v>
      </c>
      <c r="M3637">
        <v>256921808</v>
      </c>
      <c r="N3637">
        <v>259924747</v>
      </c>
      <c r="O3637">
        <v>238669694</v>
      </c>
      <c r="P3637">
        <v>90</v>
      </c>
      <c r="Q3637" t="s">
        <v>7616</v>
      </c>
    </row>
    <row r="3638" spans="1:17" x14ac:dyDescent="0.3">
      <c r="A3638" t="s">
        <v>75</v>
      </c>
      <c r="B3638" t="str">
        <f>"300964"</f>
        <v>300964</v>
      </c>
      <c r="C3638" t="s">
        <v>7617</v>
      </c>
      <c r="D3638" t="s">
        <v>567</v>
      </c>
      <c r="E3638">
        <v>140498603</v>
      </c>
      <c r="F3638">
        <v>69463686</v>
      </c>
      <c r="G3638">
        <v>71584274</v>
      </c>
      <c r="P3638">
        <v>20</v>
      </c>
      <c r="Q3638" t="s">
        <v>7618</v>
      </c>
    </row>
    <row r="3639" spans="1:17" x14ac:dyDescent="0.3">
      <c r="A3639" t="s">
        <v>75</v>
      </c>
      <c r="B3639" t="str">
        <f>"000014"</f>
        <v>000014</v>
      </c>
      <c r="C3639" t="s">
        <v>7619</v>
      </c>
      <c r="D3639" t="s">
        <v>65</v>
      </c>
      <c r="E3639">
        <v>140247737</v>
      </c>
      <c r="F3639">
        <v>124612803</v>
      </c>
      <c r="G3639">
        <v>57351686</v>
      </c>
      <c r="H3639">
        <v>134519403</v>
      </c>
      <c r="I3639">
        <v>221704961</v>
      </c>
      <c r="J3639">
        <v>231942675</v>
      </c>
      <c r="K3639">
        <v>81621227</v>
      </c>
      <c r="L3639">
        <v>61383065</v>
      </c>
      <c r="M3639">
        <v>143806639</v>
      </c>
      <c r="N3639">
        <v>78762585</v>
      </c>
      <c r="O3639">
        <v>38703863</v>
      </c>
      <c r="P3639">
        <v>96</v>
      </c>
      <c r="Q3639" t="s">
        <v>7620</v>
      </c>
    </row>
    <row r="3640" spans="1:17" x14ac:dyDescent="0.3">
      <c r="A3640" t="s">
        <v>75</v>
      </c>
      <c r="B3640" t="str">
        <f>"301068"</f>
        <v>301068</v>
      </c>
      <c r="C3640" t="s">
        <v>7621</v>
      </c>
      <c r="D3640" t="s">
        <v>1187</v>
      </c>
      <c r="E3640">
        <v>139841556</v>
      </c>
      <c r="P3640">
        <v>14</v>
      </c>
      <c r="Q3640" t="s">
        <v>7622</v>
      </c>
    </row>
    <row r="3641" spans="1:17" x14ac:dyDescent="0.3">
      <c r="A3641" t="s">
        <v>17</v>
      </c>
      <c r="B3641" t="str">
        <f>"688095"</f>
        <v>688095</v>
      </c>
      <c r="C3641" t="s">
        <v>7623</v>
      </c>
      <c r="D3641" t="s">
        <v>989</v>
      </c>
      <c r="E3641">
        <v>139827356</v>
      </c>
      <c r="F3641">
        <v>139629951</v>
      </c>
      <c r="G3641">
        <v>113988067</v>
      </c>
      <c r="P3641">
        <v>141</v>
      </c>
      <c r="Q3641" t="s">
        <v>7624</v>
      </c>
    </row>
    <row r="3642" spans="1:17" x14ac:dyDescent="0.3">
      <c r="A3642" t="s">
        <v>75</v>
      </c>
      <c r="B3642" t="str">
        <f>"300930"</f>
        <v>300930</v>
      </c>
      <c r="C3642" t="s">
        <v>7625</v>
      </c>
      <c r="D3642" t="s">
        <v>1526</v>
      </c>
      <c r="E3642">
        <v>139539623</v>
      </c>
      <c r="F3642">
        <v>106425670</v>
      </c>
      <c r="G3642">
        <v>84290831</v>
      </c>
      <c r="P3642">
        <v>75</v>
      </c>
      <c r="Q3642" t="s">
        <v>7626</v>
      </c>
    </row>
    <row r="3643" spans="1:17" x14ac:dyDescent="0.3">
      <c r="A3643" t="s">
        <v>17</v>
      </c>
      <c r="B3643" t="str">
        <f>"688150"</f>
        <v>688150</v>
      </c>
      <c r="C3643" t="s">
        <v>7627</v>
      </c>
      <c r="E3643">
        <v>139517960</v>
      </c>
      <c r="P3643">
        <v>4</v>
      </c>
      <c r="Q3643" t="s">
        <v>7628</v>
      </c>
    </row>
    <row r="3644" spans="1:17" x14ac:dyDescent="0.3">
      <c r="A3644" t="s">
        <v>75</v>
      </c>
      <c r="B3644" t="str">
        <f>"300248"</f>
        <v>300248</v>
      </c>
      <c r="C3644" t="s">
        <v>7629</v>
      </c>
      <c r="D3644" t="s">
        <v>508</v>
      </c>
      <c r="E3644">
        <v>139438709</v>
      </c>
      <c r="F3644">
        <v>169214048</v>
      </c>
      <c r="G3644">
        <v>125808566</v>
      </c>
      <c r="H3644">
        <v>136936091</v>
      </c>
      <c r="I3644">
        <v>119557770</v>
      </c>
      <c r="J3644">
        <v>89890449</v>
      </c>
      <c r="K3644">
        <v>93328882</v>
      </c>
      <c r="L3644">
        <v>58957712</v>
      </c>
      <c r="M3644">
        <v>48194730</v>
      </c>
      <c r="N3644">
        <v>39956404</v>
      </c>
      <c r="O3644">
        <v>25317583</v>
      </c>
      <c r="P3644">
        <v>209</v>
      </c>
      <c r="Q3644" t="s">
        <v>7630</v>
      </c>
    </row>
    <row r="3645" spans="1:17" x14ac:dyDescent="0.3">
      <c r="A3645" t="s">
        <v>75</v>
      </c>
      <c r="B3645" t="str">
        <f>"300998"</f>
        <v>300998</v>
      </c>
      <c r="C3645" t="s">
        <v>7631</v>
      </c>
      <c r="D3645" t="s">
        <v>1321</v>
      </c>
      <c r="E3645">
        <v>139396529</v>
      </c>
      <c r="F3645">
        <v>168663029</v>
      </c>
      <c r="P3645">
        <v>26</v>
      </c>
      <c r="Q3645" t="s">
        <v>7632</v>
      </c>
    </row>
    <row r="3646" spans="1:17" x14ac:dyDescent="0.3">
      <c r="A3646" t="s">
        <v>75</v>
      </c>
      <c r="B3646" t="str">
        <f>"002144"</f>
        <v>002144</v>
      </c>
      <c r="C3646" t="s">
        <v>7633</v>
      </c>
      <c r="D3646" t="s">
        <v>2832</v>
      </c>
      <c r="E3646">
        <v>139321884</v>
      </c>
      <c r="F3646">
        <v>118957713</v>
      </c>
      <c r="G3646">
        <v>86168803</v>
      </c>
      <c r="H3646">
        <v>148255357</v>
      </c>
      <c r="I3646">
        <v>145946836</v>
      </c>
      <c r="J3646">
        <v>183880694</v>
      </c>
      <c r="K3646">
        <v>160214167</v>
      </c>
      <c r="L3646">
        <v>121429546</v>
      </c>
      <c r="M3646">
        <v>119319481</v>
      </c>
      <c r="N3646">
        <v>115202931</v>
      </c>
      <c r="O3646">
        <v>192210747</v>
      </c>
      <c r="P3646">
        <v>115</v>
      </c>
      <c r="Q3646" t="s">
        <v>7634</v>
      </c>
    </row>
    <row r="3647" spans="1:17" x14ac:dyDescent="0.3">
      <c r="A3647" t="s">
        <v>17</v>
      </c>
      <c r="B3647" t="str">
        <f>"605128"</f>
        <v>605128</v>
      </c>
      <c r="C3647" t="s">
        <v>7635</v>
      </c>
      <c r="D3647" t="s">
        <v>194</v>
      </c>
      <c r="E3647">
        <v>139272308</v>
      </c>
      <c r="F3647">
        <v>178019095</v>
      </c>
      <c r="G3647">
        <v>120017113</v>
      </c>
      <c r="P3647">
        <v>53</v>
      </c>
      <c r="Q3647" t="s">
        <v>7636</v>
      </c>
    </row>
    <row r="3648" spans="1:17" x14ac:dyDescent="0.3">
      <c r="A3648" t="s">
        <v>17</v>
      </c>
      <c r="B3648" t="str">
        <f>"688316"</f>
        <v>688316</v>
      </c>
      <c r="C3648" t="s">
        <v>7637</v>
      </c>
      <c r="D3648" t="s">
        <v>224</v>
      </c>
      <c r="E3648">
        <v>139132088</v>
      </c>
      <c r="F3648">
        <v>125679527</v>
      </c>
      <c r="G3648">
        <v>74506662</v>
      </c>
      <c r="P3648">
        <v>31</v>
      </c>
      <c r="Q3648" t="s">
        <v>7638</v>
      </c>
    </row>
    <row r="3649" spans="1:17" x14ac:dyDescent="0.3">
      <c r="A3649" t="s">
        <v>75</v>
      </c>
      <c r="B3649" t="str">
        <f>"300912"</f>
        <v>300912</v>
      </c>
      <c r="C3649" t="s">
        <v>7639</v>
      </c>
      <c r="D3649" t="s">
        <v>1321</v>
      </c>
      <c r="E3649">
        <v>138950755</v>
      </c>
      <c r="F3649">
        <v>237049593</v>
      </c>
      <c r="G3649">
        <v>141792417</v>
      </c>
      <c r="P3649">
        <v>39</v>
      </c>
      <c r="Q3649" t="s">
        <v>7640</v>
      </c>
    </row>
    <row r="3650" spans="1:17" x14ac:dyDescent="0.3">
      <c r="A3650" t="s">
        <v>17</v>
      </c>
      <c r="B3650" t="str">
        <f>"688689"</f>
        <v>688689</v>
      </c>
      <c r="C3650" t="s">
        <v>7641</v>
      </c>
      <c r="D3650" t="s">
        <v>2728</v>
      </c>
      <c r="E3650">
        <v>138844503</v>
      </c>
      <c r="F3650">
        <v>150837525</v>
      </c>
      <c r="G3650">
        <v>0</v>
      </c>
      <c r="H3650">
        <v>0</v>
      </c>
      <c r="P3650">
        <v>46</v>
      </c>
      <c r="Q3650" t="s">
        <v>7642</v>
      </c>
    </row>
    <row r="3651" spans="1:17" x14ac:dyDescent="0.3">
      <c r="A3651" t="s">
        <v>17</v>
      </c>
      <c r="B3651" t="str">
        <f>"603015"</f>
        <v>603015</v>
      </c>
      <c r="C3651" t="s">
        <v>7643</v>
      </c>
      <c r="D3651" t="s">
        <v>1352</v>
      </c>
      <c r="E3651">
        <v>138615778</v>
      </c>
      <c r="F3651">
        <v>153137509</v>
      </c>
      <c r="G3651">
        <v>127000278</v>
      </c>
      <c r="H3651">
        <v>131370111</v>
      </c>
      <c r="I3651">
        <v>187245492</v>
      </c>
      <c r="J3651">
        <v>116964240</v>
      </c>
      <c r="K3651">
        <v>93101905</v>
      </c>
      <c r="L3651">
        <v>77273431</v>
      </c>
      <c r="M3651">
        <v>105471692</v>
      </c>
      <c r="P3651">
        <v>91</v>
      </c>
      <c r="Q3651" t="s">
        <v>7644</v>
      </c>
    </row>
    <row r="3652" spans="1:17" x14ac:dyDescent="0.3">
      <c r="A3652" t="s">
        <v>17</v>
      </c>
      <c r="B3652" t="str">
        <f>"600980"</f>
        <v>600980</v>
      </c>
      <c r="C3652" t="s">
        <v>7645</v>
      </c>
      <c r="D3652" t="s">
        <v>1096</v>
      </c>
      <c r="E3652">
        <v>138577728</v>
      </c>
      <c r="F3652">
        <v>112521583</v>
      </c>
      <c r="G3652">
        <v>104738332</v>
      </c>
      <c r="H3652">
        <v>99756261</v>
      </c>
      <c r="I3652">
        <v>64110949</v>
      </c>
      <c r="J3652">
        <v>61475578</v>
      </c>
      <c r="K3652">
        <v>51872692</v>
      </c>
      <c r="L3652">
        <v>41149311</v>
      </c>
      <c r="M3652">
        <v>57647434</v>
      </c>
      <c r="N3652">
        <v>55742656</v>
      </c>
      <c r="O3652">
        <v>61762577</v>
      </c>
      <c r="P3652">
        <v>97</v>
      </c>
      <c r="Q3652" t="s">
        <v>7646</v>
      </c>
    </row>
    <row r="3653" spans="1:17" x14ac:dyDescent="0.3">
      <c r="A3653" t="s">
        <v>17</v>
      </c>
      <c r="B3653" t="str">
        <f>"603200"</f>
        <v>603200</v>
      </c>
      <c r="C3653" t="s">
        <v>7647</v>
      </c>
      <c r="D3653" t="s">
        <v>1107</v>
      </c>
      <c r="E3653">
        <v>138245516</v>
      </c>
      <c r="F3653">
        <v>126061381</v>
      </c>
      <c r="G3653">
        <v>126427179</v>
      </c>
      <c r="H3653">
        <v>98499108</v>
      </c>
      <c r="I3653">
        <v>72199549</v>
      </c>
      <c r="J3653">
        <v>113433445</v>
      </c>
      <c r="P3653">
        <v>101</v>
      </c>
      <c r="Q3653" t="s">
        <v>7648</v>
      </c>
    </row>
    <row r="3654" spans="1:17" x14ac:dyDescent="0.3">
      <c r="A3654" t="s">
        <v>17</v>
      </c>
      <c r="B3654" t="str">
        <f>"688468"</f>
        <v>688468</v>
      </c>
      <c r="C3654" t="s">
        <v>7649</v>
      </c>
      <c r="D3654" t="s">
        <v>967</v>
      </c>
      <c r="E3654">
        <v>138049874</v>
      </c>
      <c r="F3654">
        <v>128183080</v>
      </c>
      <c r="G3654">
        <v>75518176</v>
      </c>
      <c r="P3654">
        <v>39</v>
      </c>
      <c r="Q3654" t="s">
        <v>7650</v>
      </c>
    </row>
    <row r="3655" spans="1:17" x14ac:dyDescent="0.3">
      <c r="A3655" t="s">
        <v>75</v>
      </c>
      <c r="B3655" t="str">
        <f>"300535"</f>
        <v>300535</v>
      </c>
      <c r="C3655" t="s">
        <v>7651</v>
      </c>
      <c r="D3655" t="s">
        <v>292</v>
      </c>
      <c r="E3655">
        <v>137579424</v>
      </c>
      <c r="F3655">
        <v>156191447</v>
      </c>
      <c r="G3655">
        <v>72596920</v>
      </c>
      <c r="H3655">
        <v>82774850</v>
      </c>
      <c r="I3655">
        <v>64030404</v>
      </c>
      <c r="J3655">
        <v>46659083</v>
      </c>
      <c r="K3655">
        <v>27828046</v>
      </c>
      <c r="L3655">
        <v>27347116</v>
      </c>
      <c r="P3655">
        <v>73</v>
      </c>
      <c r="Q3655" t="s">
        <v>7652</v>
      </c>
    </row>
    <row r="3656" spans="1:17" x14ac:dyDescent="0.3">
      <c r="A3656" t="s">
        <v>75</v>
      </c>
      <c r="B3656" t="str">
        <f>"300854"</f>
        <v>300854</v>
      </c>
      <c r="C3656" t="s">
        <v>7653</v>
      </c>
      <c r="D3656" t="s">
        <v>1187</v>
      </c>
      <c r="E3656">
        <v>137566652</v>
      </c>
      <c r="P3656">
        <v>19</v>
      </c>
      <c r="Q3656" t="s">
        <v>7654</v>
      </c>
    </row>
    <row r="3657" spans="1:17" x14ac:dyDescent="0.3">
      <c r="A3657" t="s">
        <v>75</v>
      </c>
      <c r="B3657" t="str">
        <f>"300865"</f>
        <v>300865</v>
      </c>
      <c r="C3657" t="s">
        <v>7655</v>
      </c>
      <c r="D3657" t="s">
        <v>786</v>
      </c>
      <c r="E3657">
        <v>137262348</v>
      </c>
      <c r="F3657">
        <v>122579560</v>
      </c>
      <c r="G3657">
        <v>96293169</v>
      </c>
      <c r="P3657">
        <v>43</v>
      </c>
      <c r="Q3657" t="s">
        <v>7656</v>
      </c>
    </row>
    <row r="3658" spans="1:17" x14ac:dyDescent="0.3">
      <c r="A3658" t="s">
        <v>75</v>
      </c>
      <c r="B3658" t="str">
        <f>"000056"</f>
        <v>000056</v>
      </c>
      <c r="C3658" t="s">
        <v>7657</v>
      </c>
      <c r="D3658" t="s">
        <v>1742</v>
      </c>
      <c r="E3658">
        <v>136442135</v>
      </c>
      <c r="F3658">
        <v>163297161</v>
      </c>
      <c r="G3658">
        <v>152082997</v>
      </c>
      <c r="H3658">
        <v>287697176</v>
      </c>
      <c r="I3658">
        <v>330390744</v>
      </c>
      <c r="J3658">
        <v>59186640</v>
      </c>
      <c r="K3658">
        <v>58395272</v>
      </c>
      <c r="L3658">
        <v>64818096</v>
      </c>
      <c r="M3658">
        <v>8524545</v>
      </c>
      <c r="N3658">
        <v>7928386</v>
      </c>
      <c r="O3658">
        <v>9146283</v>
      </c>
      <c r="P3658">
        <v>100</v>
      </c>
      <c r="Q3658" t="s">
        <v>7658</v>
      </c>
    </row>
    <row r="3659" spans="1:17" x14ac:dyDescent="0.3">
      <c r="A3659" t="s">
        <v>17</v>
      </c>
      <c r="B3659" t="str">
        <f>"600272"</f>
        <v>600272</v>
      </c>
      <c r="C3659" t="s">
        <v>7659</v>
      </c>
      <c r="D3659" t="s">
        <v>123</v>
      </c>
      <c r="E3659">
        <v>136420137</v>
      </c>
      <c r="F3659">
        <v>187993688</v>
      </c>
      <c r="G3659">
        <v>199107034</v>
      </c>
      <c r="H3659">
        <v>211173985</v>
      </c>
      <c r="I3659">
        <v>225383906</v>
      </c>
      <c r="J3659">
        <v>232545335</v>
      </c>
      <c r="K3659">
        <v>233071334</v>
      </c>
      <c r="L3659">
        <v>238836078</v>
      </c>
      <c r="M3659">
        <v>238193531</v>
      </c>
      <c r="N3659">
        <v>218645153</v>
      </c>
      <c r="O3659">
        <v>211710662</v>
      </c>
      <c r="P3659">
        <v>66</v>
      </c>
      <c r="Q3659" t="s">
        <v>7660</v>
      </c>
    </row>
    <row r="3660" spans="1:17" x14ac:dyDescent="0.3">
      <c r="A3660" t="s">
        <v>17</v>
      </c>
      <c r="B3660" t="str">
        <f>"688357"</f>
        <v>688357</v>
      </c>
      <c r="C3660" t="s">
        <v>7661</v>
      </c>
      <c r="D3660" t="s">
        <v>996</v>
      </c>
      <c r="E3660">
        <v>136151945</v>
      </c>
      <c r="F3660">
        <v>94203120</v>
      </c>
      <c r="G3660">
        <v>44621914</v>
      </c>
      <c r="H3660">
        <v>52124280</v>
      </c>
      <c r="P3660">
        <v>157</v>
      </c>
      <c r="Q3660" t="s">
        <v>7662</v>
      </c>
    </row>
    <row r="3661" spans="1:17" x14ac:dyDescent="0.3">
      <c r="A3661" t="s">
        <v>75</v>
      </c>
      <c r="B3661" t="str">
        <f>"000029"</f>
        <v>000029</v>
      </c>
      <c r="C3661" t="s">
        <v>7663</v>
      </c>
      <c r="D3661" t="s">
        <v>65</v>
      </c>
      <c r="E3661">
        <v>135938495</v>
      </c>
      <c r="F3661">
        <v>560507403</v>
      </c>
      <c r="G3661">
        <v>261043476</v>
      </c>
      <c r="H3661">
        <v>687255636</v>
      </c>
      <c r="I3661">
        <v>508376103</v>
      </c>
      <c r="J3661">
        <v>349371613</v>
      </c>
      <c r="K3661">
        <v>590586568</v>
      </c>
      <c r="L3661">
        <v>427573238</v>
      </c>
      <c r="M3661">
        <v>536867934</v>
      </c>
      <c r="N3661">
        <v>627871868</v>
      </c>
      <c r="O3661">
        <v>194328246</v>
      </c>
      <c r="P3661">
        <v>137</v>
      </c>
      <c r="Q3661" t="s">
        <v>7664</v>
      </c>
    </row>
    <row r="3662" spans="1:17" x14ac:dyDescent="0.3">
      <c r="A3662" t="s">
        <v>75</v>
      </c>
      <c r="B3662" t="str">
        <f>"300652"</f>
        <v>300652</v>
      </c>
      <c r="C3662" t="s">
        <v>7665</v>
      </c>
      <c r="D3662" t="s">
        <v>904</v>
      </c>
      <c r="E3662">
        <v>135729619</v>
      </c>
      <c r="F3662">
        <v>104663300</v>
      </c>
      <c r="G3662">
        <v>94529407</v>
      </c>
      <c r="H3662">
        <v>101978851</v>
      </c>
      <c r="I3662">
        <v>113508911</v>
      </c>
      <c r="J3662">
        <v>90989262</v>
      </c>
      <c r="K3662">
        <v>73187756</v>
      </c>
      <c r="P3662">
        <v>92</v>
      </c>
      <c r="Q3662" t="s">
        <v>7666</v>
      </c>
    </row>
    <row r="3663" spans="1:17" x14ac:dyDescent="0.3">
      <c r="A3663" t="s">
        <v>75</v>
      </c>
      <c r="B3663" t="str">
        <f>"300084"</f>
        <v>300084</v>
      </c>
      <c r="C3663" t="s">
        <v>7667</v>
      </c>
      <c r="D3663" t="s">
        <v>786</v>
      </c>
      <c r="E3663">
        <v>135716156</v>
      </c>
      <c r="F3663">
        <v>179853967</v>
      </c>
      <c r="G3663">
        <v>142113629</v>
      </c>
      <c r="H3663">
        <v>150854448</v>
      </c>
      <c r="I3663">
        <v>186378027</v>
      </c>
      <c r="J3663">
        <v>85259568</v>
      </c>
      <c r="K3663">
        <v>68008294</v>
      </c>
      <c r="L3663">
        <v>127413647</v>
      </c>
      <c r="M3663">
        <v>71986367</v>
      </c>
      <c r="N3663">
        <v>46121646</v>
      </c>
      <c r="O3663">
        <v>27832656</v>
      </c>
      <c r="P3663">
        <v>69</v>
      </c>
      <c r="Q3663" t="s">
        <v>7668</v>
      </c>
    </row>
    <row r="3664" spans="1:17" x14ac:dyDescent="0.3">
      <c r="A3664" t="s">
        <v>75</v>
      </c>
      <c r="B3664" t="str">
        <f>"300452"</f>
        <v>300452</v>
      </c>
      <c r="C3664" t="s">
        <v>7669</v>
      </c>
      <c r="D3664" t="s">
        <v>1242</v>
      </c>
      <c r="E3664">
        <v>135561525</v>
      </c>
      <c r="F3664">
        <v>117567923</v>
      </c>
      <c r="G3664">
        <v>85822565</v>
      </c>
      <c r="H3664">
        <v>74917766</v>
      </c>
      <c r="I3664">
        <v>88314231</v>
      </c>
      <c r="J3664">
        <v>57328145</v>
      </c>
      <c r="K3664">
        <v>51828178</v>
      </c>
      <c r="L3664">
        <v>0</v>
      </c>
      <c r="P3664">
        <v>300</v>
      </c>
      <c r="Q3664" t="s">
        <v>7670</v>
      </c>
    </row>
    <row r="3665" spans="1:17" x14ac:dyDescent="0.3">
      <c r="A3665" t="s">
        <v>17</v>
      </c>
      <c r="B3665" t="str">
        <f>"603048"</f>
        <v>603048</v>
      </c>
      <c r="C3665" t="s">
        <v>7671</v>
      </c>
      <c r="D3665" t="s">
        <v>1321</v>
      </c>
      <c r="E3665">
        <v>135501317</v>
      </c>
      <c r="P3665">
        <v>16</v>
      </c>
      <c r="Q3665" t="s">
        <v>7672</v>
      </c>
    </row>
    <row r="3666" spans="1:17" x14ac:dyDescent="0.3">
      <c r="A3666" t="s">
        <v>75</v>
      </c>
      <c r="B3666" t="str">
        <f>"003040"</f>
        <v>003040</v>
      </c>
      <c r="C3666" t="s">
        <v>7673</v>
      </c>
      <c r="D3666" t="s">
        <v>556</v>
      </c>
      <c r="E3666">
        <v>135470032</v>
      </c>
      <c r="F3666">
        <v>96783814</v>
      </c>
      <c r="G3666">
        <v>78781397</v>
      </c>
      <c r="P3666">
        <v>61</v>
      </c>
      <c r="Q3666" t="s">
        <v>7674</v>
      </c>
    </row>
    <row r="3667" spans="1:17" x14ac:dyDescent="0.3">
      <c r="A3667" t="s">
        <v>75</v>
      </c>
      <c r="B3667" t="str">
        <f>"300808"</f>
        <v>300808</v>
      </c>
      <c r="C3667" t="s">
        <v>7675</v>
      </c>
      <c r="D3667" t="s">
        <v>1044</v>
      </c>
      <c r="E3667">
        <v>135389778</v>
      </c>
      <c r="F3667">
        <v>158934707</v>
      </c>
      <c r="G3667">
        <v>96664949</v>
      </c>
      <c r="H3667">
        <v>237528482</v>
      </c>
      <c r="P3667">
        <v>55</v>
      </c>
      <c r="Q3667" t="s">
        <v>7676</v>
      </c>
    </row>
    <row r="3668" spans="1:17" x14ac:dyDescent="0.3">
      <c r="A3668" t="s">
        <v>17</v>
      </c>
      <c r="B3668" t="str">
        <f>"688308"</f>
        <v>688308</v>
      </c>
      <c r="C3668" t="s">
        <v>7677</v>
      </c>
      <c r="D3668" t="s">
        <v>153</v>
      </c>
      <c r="E3668">
        <v>134842444</v>
      </c>
      <c r="F3668">
        <v>104969227</v>
      </c>
      <c r="G3668">
        <v>52818396</v>
      </c>
      <c r="P3668">
        <v>91</v>
      </c>
      <c r="Q3668" t="s">
        <v>7678</v>
      </c>
    </row>
    <row r="3669" spans="1:17" x14ac:dyDescent="0.3">
      <c r="A3669" t="s">
        <v>75</v>
      </c>
      <c r="B3669" t="str">
        <f>"300797"</f>
        <v>300797</v>
      </c>
      <c r="C3669" t="s">
        <v>7679</v>
      </c>
      <c r="D3669" t="s">
        <v>1284</v>
      </c>
      <c r="E3669">
        <v>134725263</v>
      </c>
      <c r="F3669">
        <v>127300157</v>
      </c>
      <c r="G3669">
        <v>86686076</v>
      </c>
      <c r="H3669">
        <v>112274170</v>
      </c>
      <c r="P3669">
        <v>67</v>
      </c>
      <c r="Q3669" t="s">
        <v>7680</v>
      </c>
    </row>
    <row r="3670" spans="1:17" x14ac:dyDescent="0.3">
      <c r="A3670" t="s">
        <v>75</v>
      </c>
      <c r="B3670" t="str">
        <f>"301101"</f>
        <v>301101</v>
      </c>
      <c r="C3670" t="s">
        <v>7681</v>
      </c>
      <c r="D3670" t="s">
        <v>1072</v>
      </c>
      <c r="E3670">
        <v>134684305</v>
      </c>
      <c r="F3670">
        <v>144337307</v>
      </c>
      <c r="P3670">
        <v>19</v>
      </c>
      <c r="Q3670" t="s">
        <v>7682</v>
      </c>
    </row>
    <row r="3671" spans="1:17" x14ac:dyDescent="0.3">
      <c r="A3671" t="s">
        <v>75</v>
      </c>
      <c r="B3671" t="str">
        <f>"300379"</f>
        <v>300379</v>
      </c>
      <c r="C3671" t="s">
        <v>7683</v>
      </c>
      <c r="D3671" t="s">
        <v>116</v>
      </c>
      <c r="E3671">
        <v>134639988</v>
      </c>
      <c r="F3671">
        <v>165026373</v>
      </c>
      <c r="G3671">
        <v>83257576</v>
      </c>
      <c r="H3671">
        <v>62051775</v>
      </c>
      <c r="I3671">
        <v>69013668</v>
      </c>
      <c r="J3671">
        <v>53101719</v>
      </c>
      <c r="K3671">
        <v>66625750</v>
      </c>
      <c r="L3671">
        <v>58043755</v>
      </c>
      <c r="M3671">
        <v>26380219</v>
      </c>
      <c r="N3671">
        <v>28413621</v>
      </c>
      <c r="P3671">
        <v>395</v>
      </c>
      <c r="Q3671" t="s">
        <v>7684</v>
      </c>
    </row>
    <row r="3672" spans="1:17" x14ac:dyDescent="0.3">
      <c r="A3672" t="s">
        <v>75</v>
      </c>
      <c r="B3672" t="str">
        <f>"300365"</f>
        <v>300365</v>
      </c>
      <c r="C3672" t="s">
        <v>7685</v>
      </c>
      <c r="D3672" t="s">
        <v>116</v>
      </c>
      <c r="E3672">
        <v>134141749</v>
      </c>
      <c r="F3672">
        <v>110895671</v>
      </c>
      <c r="G3672">
        <v>166431011</v>
      </c>
      <c r="H3672">
        <v>126064064</v>
      </c>
      <c r="I3672">
        <v>92238311</v>
      </c>
      <c r="J3672">
        <v>85525488</v>
      </c>
      <c r="K3672">
        <v>87733691</v>
      </c>
      <c r="L3672">
        <v>36683867</v>
      </c>
      <c r="M3672">
        <v>51122096</v>
      </c>
      <c r="N3672">
        <v>21235079</v>
      </c>
      <c r="P3672">
        <v>334</v>
      </c>
      <c r="Q3672" t="s">
        <v>7686</v>
      </c>
    </row>
    <row r="3673" spans="1:17" x14ac:dyDescent="0.3">
      <c r="A3673" t="s">
        <v>75</v>
      </c>
      <c r="B3673" t="str">
        <f>"301041"</f>
        <v>301041</v>
      </c>
      <c r="C3673" t="s">
        <v>7687</v>
      </c>
      <c r="D3673" t="s">
        <v>567</v>
      </c>
      <c r="E3673">
        <v>134084327</v>
      </c>
      <c r="F3673">
        <v>130579732</v>
      </c>
      <c r="G3673">
        <v>114839772</v>
      </c>
      <c r="P3673">
        <v>31</v>
      </c>
      <c r="Q3673" t="s">
        <v>7688</v>
      </c>
    </row>
    <row r="3674" spans="1:17" x14ac:dyDescent="0.3">
      <c r="A3674" t="s">
        <v>17</v>
      </c>
      <c r="B3674" t="str">
        <f>"688337"</f>
        <v>688337</v>
      </c>
      <c r="C3674" t="s">
        <v>7689</v>
      </c>
      <c r="E3674">
        <v>134021477</v>
      </c>
      <c r="P3674">
        <v>3</v>
      </c>
      <c r="Q3674" t="s">
        <v>7690</v>
      </c>
    </row>
    <row r="3675" spans="1:17" x14ac:dyDescent="0.3">
      <c r="A3675" t="s">
        <v>75</v>
      </c>
      <c r="B3675" t="str">
        <f>"002476"</f>
        <v>002476</v>
      </c>
      <c r="C3675" t="s">
        <v>7691</v>
      </c>
      <c r="D3675" t="s">
        <v>422</v>
      </c>
      <c r="E3675">
        <v>133886143</v>
      </c>
      <c r="F3675">
        <v>103151684</v>
      </c>
      <c r="G3675">
        <v>120842281</v>
      </c>
      <c r="H3675">
        <v>142426632</v>
      </c>
      <c r="I3675">
        <v>149284350</v>
      </c>
      <c r="J3675">
        <v>158556161</v>
      </c>
      <c r="K3675">
        <v>273438142</v>
      </c>
      <c r="L3675">
        <v>190170299</v>
      </c>
      <c r="M3675">
        <v>45616112</v>
      </c>
      <c r="N3675">
        <v>115285555</v>
      </c>
      <c r="O3675">
        <v>148219449</v>
      </c>
      <c r="P3675">
        <v>85</v>
      </c>
      <c r="Q3675" t="s">
        <v>7692</v>
      </c>
    </row>
    <row r="3676" spans="1:17" x14ac:dyDescent="0.3">
      <c r="A3676" t="s">
        <v>17</v>
      </c>
      <c r="B3676" t="str">
        <f>"688398"</f>
        <v>688398</v>
      </c>
      <c r="C3676" t="s">
        <v>7693</v>
      </c>
      <c r="D3676" t="s">
        <v>292</v>
      </c>
      <c r="E3676">
        <v>133771747</v>
      </c>
      <c r="F3676">
        <v>147594451</v>
      </c>
      <c r="G3676">
        <v>96148536</v>
      </c>
      <c r="H3676">
        <v>76479209</v>
      </c>
      <c r="P3676">
        <v>81</v>
      </c>
      <c r="Q3676" t="s">
        <v>7694</v>
      </c>
    </row>
    <row r="3677" spans="1:17" x14ac:dyDescent="0.3">
      <c r="A3677" t="s">
        <v>75</v>
      </c>
      <c r="B3677" t="str">
        <f>"300155"</f>
        <v>300155</v>
      </c>
      <c r="C3677" t="s">
        <v>7695</v>
      </c>
      <c r="D3677" t="s">
        <v>337</v>
      </c>
      <c r="E3677">
        <v>133549108</v>
      </c>
      <c r="F3677">
        <v>175936628</v>
      </c>
      <c r="G3677">
        <v>153456047</v>
      </c>
      <c r="H3677">
        <v>223903648</v>
      </c>
      <c r="I3677">
        <v>162083898</v>
      </c>
      <c r="J3677">
        <v>166895535</v>
      </c>
      <c r="K3677">
        <v>165675285</v>
      </c>
      <c r="L3677">
        <v>126656886</v>
      </c>
      <c r="M3677">
        <v>86220825</v>
      </c>
      <c r="N3677">
        <v>60900759</v>
      </c>
      <c r="O3677">
        <v>44991649</v>
      </c>
      <c r="P3677">
        <v>68</v>
      </c>
      <c r="Q3677" t="s">
        <v>7696</v>
      </c>
    </row>
    <row r="3678" spans="1:17" x14ac:dyDescent="0.3">
      <c r="A3678" t="s">
        <v>17</v>
      </c>
      <c r="B3678" t="str">
        <f>"603496"</f>
        <v>603496</v>
      </c>
      <c r="C3678" t="s">
        <v>7697</v>
      </c>
      <c r="D3678" t="s">
        <v>508</v>
      </c>
      <c r="E3678">
        <v>133415485</v>
      </c>
      <c r="F3678">
        <v>143350839</v>
      </c>
      <c r="G3678">
        <v>104890842</v>
      </c>
      <c r="H3678">
        <v>101642009</v>
      </c>
      <c r="I3678">
        <v>85000478</v>
      </c>
      <c r="J3678">
        <v>55461078</v>
      </c>
      <c r="P3678">
        <v>194</v>
      </c>
      <c r="Q3678" t="s">
        <v>7698</v>
      </c>
    </row>
    <row r="3679" spans="1:17" x14ac:dyDescent="0.3">
      <c r="A3679" t="s">
        <v>17</v>
      </c>
      <c r="B3679" t="str">
        <f>"688076"</f>
        <v>688076</v>
      </c>
      <c r="C3679" t="s">
        <v>7699</v>
      </c>
      <c r="D3679" t="s">
        <v>716</v>
      </c>
      <c r="E3679">
        <v>133395367</v>
      </c>
      <c r="F3679">
        <v>163333685</v>
      </c>
      <c r="G3679">
        <v>56798329</v>
      </c>
      <c r="P3679">
        <v>53</v>
      </c>
      <c r="Q3679" t="s">
        <v>7700</v>
      </c>
    </row>
    <row r="3680" spans="1:17" x14ac:dyDescent="0.3">
      <c r="A3680" t="s">
        <v>75</v>
      </c>
      <c r="B3680" t="str">
        <f>"001288"</f>
        <v>001288</v>
      </c>
      <c r="C3680" t="s">
        <v>7701</v>
      </c>
      <c r="D3680" t="s">
        <v>786</v>
      </c>
      <c r="E3680">
        <v>133336878</v>
      </c>
      <c r="F3680">
        <v>155144820</v>
      </c>
      <c r="P3680">
        <v>14</v>
      </c>
      <c r="Q3680" t="s">
        <v>7702</v>
      </c>
    </row>
    <row r="3681" spans="1:17" x14ac:dyDescent="0.3">
      <c r="A3681" t="s">
        <v>75</v>
      </c>
      <c r="B3681" t="str">
        <f>"002178"</f>
        <v>002178</v>
      </c>
      <c r="C3681" t="s">
        <v>7703</v>
      </c>
      <c r="D3681" t="s">
        <v>116</v>
      </c>
      <c r="E3681">
        <v>133237690</v>
      </c>
      <c r="F3681">
        <v>213969397</v>
      </c>
      <c r="G3681">
        <v>193342579</v>
      </c>
      <c r="H3681">
        <v>292109514</v>
      </c>
      <c r="I3681">
        <v>334514027</v>
      </c>
      <c r="J3681">
        <v>453409582</v>
      </c>
      <c r="K3681">
        <v>237472870</v>
      </c>
      <c r="L3681">
        <v>173703676</v>
      </c>
      <c r="M3681">
        <v>153635198</v>
      </c>
      <c r="N3681">
        <v>122727464</v>
      </c>
      <c r="O3681">
        <v>92930501</v>
      </c>
      <c r="P3681">
        <v>89</v>
      </c>
      <c r="Q3681" t="s">
        <v>7704</v>
      </c>
    </row>
    <row r="3682" spans="1:17" x14ac:dyDescent="0.3">
      <c r="A3682" t="s">
        <v>75</v>
      </c>
      <c r="B3682" t="str">
        <f>"002193"</f>
        <v>002193</v>
      </c>
      <c r="C3682" t="s">
        <v>7705</v>
      </c>
      <c r="D3682" t="s">
        <v>2832</v>
      </c>
      <c r="E3682">
        <v>132935426</v>
      </c>
      <c r="F3682">
        <v>814064946</v>
      </c>
      <c r="G3682">
        <v>143701860</v>
      </c>
      <c r="H3682">
        <v>246828933</v>
      </c>
      <c r="I3682">
        <v>194619001</v>
      </c>
      <c r="J3682">
        <v>218644954</v>
      </c>
      <c r="K3682">
        <v>92462045</v>
      </c>
      <c r="L3682">
        <v>73994073</v>
      </c>
      <c r="M3682">
        <v>95584245</v>
      </c>
      <c r="N3682">
        <v>109287832</v>
      </c>
      <c r="O3682">
        <v>175022268</v>
      </c>
      <c r="P3682">
        <v>93</v>
      </c>
      <c r="Q3682" t="s">
        <v>7706</v>
      </c>
    </row>
    <row r="3683" spans="1:17" x14ac:dyDescent="0.3">
      <c r="A3683" t="s">
        <v>17</v>
      </c>
      <c r="B3683" t="str">
        <f>"688178"</f>
        <v>688178</v>
      </c>
      <c r="C3683" t="s">
        <v>7707</v>
      </c>
      <c r="D3683" t="s">
        <v>1107</v>
      </c>
      <c r="E3683">
        <v>132403163</v>
      </c>
      <c r="F3683">
        <v>141803031</v>
      </c>
      <c r="G3683">
        <v>73520783</v>
      </c>
      <c r="H3683">
        <v>75711645</v>
      </c>
      <c r="P3683">
        <v>69</v>
      </c>
      <c r="Q3683" t="s">
        <v>7708</v>
      </c>
    </row>
    <row r="3684" spans="1:17" x14ac:dyDescent="0.3">
      <c r="A3684" t="s">
        <v>75</v>
      </c>
      <c r="B3684" t="str">
        <f>"300086"</f>
        <v>300086</v>
      </c>
      <c r="C3684" t="s">
        <v>7709</v>
      </c>
      <c r="D3684" t="s">
        <v>543</v>
      </c>
      <c r="E3684">
        <v>132218696</v>
      </c>
      <c r="F3684">
        <v>223160462</v>
      </c>
      <c r="G3684">
        <v>172632844</v>
      </c>
      <c r="H3684">
        <v>224364898</v>
      </c>
      <c r="I3684">
        <v>146144381</v>
      </c>
      <c r="J3684">
        <v>125176077</v>
      </c>
      <c r="K3684">
        <v>142983493</v>
      </c>
      <c r="L3684">
        <v>60707690</v>
      </c>
      <c r="M3684">
        <v>94986960</v>
      </c>
      <c r="N3684">
        <v>77872559</v>
      </c>
      <c r="O3684">
        <v>109365904</v>
      </c>
      <c r="P3684">
        <v>106</v>
      </c>
      <c r="Q3684" t="s">
        <v>7710</v>
      </c>
    </row>
    <row r="3685" spans="1:17" x14ac:dyDescent="0.3">
      <c r="A3685" t="s">
        <v>75</v>
      </c>
      <c r="B3685" t="str">
        <f>"301081"</f>
        <v>301081</v>
      </c>
      <c r="C3685" t="s">
        <v>7711</v>
      </c>
      <c r="D3685" t="s">
        <v>1642</v>
      </c>
      <c r="E3685">
        <v>132194354</v>
      </c>
      <c r="P3685">
        <v>21</v>
      </c>
      <c r="Q3685" t="s">
        <v>7712</v>
      </c>
    </row>
    <row r="3686" spans="1:17" x14ac:dyDescent="0.3">
      <c r="A3686" t="s">
        <v>75</v>
      </c>
      <c r="B3686" t="str">
        <f>"002829"</f>
        <v>002829</v>
      </c>
      <c r="C3686" t="s">
        <v>7713</v>
      </c>
      <c r="D3686" t="s">
        <v>2083</v>
      </c>
      <c r="E3686">
        <v>132181880</v>
      </c>
      <c r="F3686">
        <v>109852616</v>
      </c>
      <c r="G3686">
        <v>93937164</v>
      </c>
      <c r="H3686">
        <v>47721939</v>
      </c>
      <c r="I3686">
        <v>79505740</v>
      </c>
      <c r="J3686">
        <v>27892153</v>
      </c>
      <c r="K3686">
        <v>44683766</v>
      </c>
      <c r="P3686">
        <v>132</v>
      </c>
      <c r="Q3686" t="s">
        <v>7714</v>
      </c>
    </row>
    <row r="3687" spans="1:17" x14ac:dyDescent="0.3">
      <c r="A3687" t="s">
        <v>17</v>
      </c>
      <c r="B3687" t="str">
        <f>"688177"</f>
        <v>688177</v>
      </c>
      <c r="C3687" t="s">
        <v>7715</v>
      </c>
      <c r="D3687" t="s">
        <v>1533</v>
      </c>
      <c r="E3687">
        <v>132161441</v>
      </c>
      <c r="F3687">
        <v>65966491</v>
      </c>
      <c r="G3687">
        <v>13426034</v>
      </c>
      <c r="H3687">
        <v>0</v>
      </c>
      <c r="P3687">
        <v>98</v>
      </c>
      <c r="Q3687" t="s">
        <v>7716</v>
      </c>
    </row>
    <row r="3688" spans="1:17" x14ac:dyDescent="0.3">
      <c r="A3688" t="s">
        <v>75</v>
      </c>
      <c r="B3688" t="str">
        <f>"300290"</f>
        <v>300290</v>
      </c>
      <c r="C3688" t="s">
        <v>7717</v>
      </c>
      <c r="D3688" t="s">
        <v>224</v>
      </c>
      <c r="E3688">
        <v>132148083</v>
      </c>
      <c r="F3688">
        <v>147783147</v>
      </c>
      <c r="G3688">
        <v>79597009</v>
      </c>
      <c r="H3688">
        <v>132600549</v>
      </c>
      <c r="I3688">
        <v>87515805</v>
      </c>
      <c r="J3688">
        <v>55941444</v>
      </c>
      <c r="K3688">
        <v>100769549</v>
      </c>
      <c r="L3688">
        <v>58585839</v>
      </c>
      <c r="M3688">
        <v>70608863</v>
      </c>
      <c r="N3688">
        <v>59870207</v>
      </c>
      <c r="O3688">
        <v>15072743</v>
      </c>
      <c r="P3688">
        <v>113</v>
      </c>
      <c r="Q3688" t="s">
        <v>7718</v>
      </c>
    </row>
    <row r="3689" spans="1:17" x14ac:dyDescent="0.3">
      <c r="A3689" t="s">
        <v>17</v>
      </c>
      <c r="B3689" t="str">
        <f>"688558"</f>
        <v>688558</v>
      </c>
      <c r="C3689" t="s">
        <v>7719</v>
      </c>
      <c r="D3689" t="s">
        <v>3360</v>
      </c>
      <c r="E3689">
        <v>131928268</v>
      </c>
      <c r="F3689">
        <v>86643733</v>
      </c>
      <c r="G3689">
        <v>108719230</v>
      </c>
      <c r="H3689">
        <v>142294315</v>
      </c>
      <c r="P3689">
        <v>95</v>
      </c>
      <c r="Q3689" t="s">
        <v>7720</v>
      </c>
    </row>
    <row r="3690" spans="1:17" x14ac:dyDescent="0.3">
      <c r="A3690" t="s">
        <v>17</v>
      </c>
      <c r="B3690" t="str">
        <f>"688257"</f>
        <v>688257</v>
      </c>
      <c r="C3690" t="s">
        <v>7721</v>
      </c>
      <c r="D3690" t="s">
        <v>153</v>
      </c>
      <c r="E3690">
        <v>131879174</v>
      </c>
      <c r="P3690">
        <v>17</v>
      </c>
      <c r="Q3690" t="s">
        <v>7722</v>
      </c>
    </row>
    <row r="3691" spans="1:17" x14ac:dyDescent="0.3">
      <c r="A3691" t="s">
        <v>75</v>
      </c>
      <c r="B3691" t="str">
        <f>"001219"</f>
        <v>001219</v>
      </c>
      <c r="C3691" t="s">
        <v>7723</v>
      </c>
      <c r="D3691" t="s">
        <v>2178</v>
      </c>
      <c r="E3691">
        <v>131782600</v>
      </c>
      <c r="F3691">
        <v>106153254</v>
      </c>
      <c r="P3691">
        <v>33</v>
      </c>
      <c r="Q3691" t="s">
        <v>7724</v>
      </c>
    </row>
    <row r="3692" spans="1:17" x14ac:dyDescent="0.3">
      <c r="A3692" t="s">
        <v>17</v>
      </c>
      <c r="B3692" t="str">
        <f>"600136"</f>
        <v>600136</v>
      </c>
      <c r="C3692" t="s">
        <v>7725</v>
      </c>
      <c r="D3692" t="s">
        <v>4124</v>
      </c>
      <c r="E3692">
        <v>131657068</v>
      </c>
      <c r="F3692">
        <v>305684120</v>
      </c>
      <c r="G3692">
        <v>354932844</v>
      </c>
      <c r="H3692">
        <v>640092457</v>
      </c>
      <c r="I3692">
        <v>355293329</v>
      </c>
      <c r="J3692">
        <v>0</v>
      </c>
      <c r="K3692">
        <v>195274271</v>
      </c>
      <c r="L3692">
        <v>24801604</v>
      </c>
      <c r="M3692">
        <v>7247816</v>
      </c>
      <c r="N3692">
        <v>12900732</v>
      </c>
      <c r="O3692">
        <v>14279414</v>
      </c>
      <c r="P3692">
        <v>136</v>
      </c>
      <c r="Q3692" t="s">
        <v>7726</v>
      </c>
    </row>
    <row r="3693" spans="1:17" x14ac:dyDescent="0.3">
      <c r="A3693" t="s">
        <v>75</v>
      </c>
      <c r="B3693" t="str">
        <f>"002198"</f>
        <v>002198</v>
      </c>
      <c r="C3693" t="s">
        <v>7727</v>
      </c>
      <c r="D3693" t="s">
        <v>321</v>
      </c>
      <c r="E3693">
        <v>131580780</v>
      </c>
      <c r="F3693">
        <v>130152814</v>
      </c>
      <c r="G3693">
        <v>116156843</v>
      </c>
      <c r="H3693">
        <v>129268558</v>
      </c>
      <c r="I3693">
        <v>133029346</v>
      </c>
      <c r="J3693">
        <v>116413533</v>
      </c>
      <c r="K3693">
        <v>138348335</v>
      </c>
      <c r="L3693">
        <v>137146837</v>
      </c>
      <c r="M3693">
        <v>112782332</v>
      </c>
      <c r="N3693">
        <v>55650950</v>
      </c>
      <c r="O3693">
        <v>39575308</v>
      </c>
      <c r="P3693">
        <v>120</v>
      </c>
      <c r="Q3693" t="s">
        <v>7728</v>
      </c>
    </row>
    <row r="3694" spans="1:17" x14ac:dyDescent="0.3">
      <c r="A3694" t="s">
        <v>75</v>
      </c>
      <c r="B3694" t="str">
        <f>"300247"</f>
        <v>300247</v>
      </c>
      <c r="C3694" t="s">
        <v>7729</v>
      </c>
      <c r="D3694" t="s">
        <v>2051</v>
      </c>
      <c r="E3694">
        <v>131546520</v>
      </c>
      <c r="F3694">
        <v>163279963</v>
      </c>
      <c r="G3694">
        <v>133666343</v>
      </c>
      <c r="H3694">
        <v>250250372</v>
      </c>
      <c r="I3694">
        <v>303628316</v>
      </c>
      <c r="J3694">
        <v>274342073</v>
      </c>
      <c r="K3694">
        <v>115047942</v>
      </c>
      <c r="L3694">
        <v>91177941</v>
      </c>
      <c r="M3694">
        <v>66488244</v>
      </c>
      <c r="N3694">
        <v>67997444</v>
      </c>
      <c r="O3694">
        <v>47587228</v>
      </c>
      <c r="P3694">
        <v>107</v>
      </c>
      <c r="Q3694" t="s">
        <v>7730</v>
      </c>
    </row>
    <row r="3695" spans="1:17" x14ac:dyDescent="0.3">
      <c r="A3695" t="s">
        <v>75</v>
      </c>
      <c r="B3695" t="str">
        <f>"002634"</f>
        <v>002634</v>
      </c>
      <c r="C3695" t="s">
        <v>7731</v>
      </c>
      <c r="D3695" t="s">
        <v>2921</v>
      </c>
      <c r="E3695">
        <v>131450547</v>
      </c>
      <c r="F3695">
        <v>154320325</v>
      </c>
      <c r="G3695">
        <v>154617969</v>
      </c>
      <c r="H3695">
        <v>87143009</v>
      </c>
      <c r="I3695">
        <v>84266797</v>
      </c>
      <c r="J3695">
        <v>63445900</v>
      </c>
      <c r="K3695">
        <v>65450476</v>
      </c>
      <c r="L3695">
        <v>68394391</v>
      </c>
      <c r="M3695">
        <v>71552230</v>
      </c>
      <c r="N3695">
        <v>88733439</v>
      </c>
      <c r="O3695">
        <v>54803106</v>
      </c>
      <c r="P3695">
        <v>88</v>
      </c>
      <c r="Q3695" t="s">
        <v>7732</v>
      </c>
    </row>
    <row r="3696" spans="1:17" x14ac:dyDescent="0.3">
      <c r="A3696" t="s">
        <v>17</v>
      </c>
      <c r="B3696" t="str">
        <f>"605069"</f>
        <v>605069</v>
      </c>
      <c r="C3696" t="s">
        <v>7733</v>
      </c>
      <c r="D3696" t="s">
        <v>2307</v>
      </c>
      <c r="E3696">
        <v>131282406</v>
      </c>
      <c r="P3696">
        <v>16</v>
      </c>
      <c r="Q3696" t="s">
        <v>7734</v>
      </c>
    </row>
    <row r="3697" spans="1:17" x14ac:dyDescent="0.3">
      <c r="A3697" t="s">
        <v>75</v>
      </c>
      <c r="B3697" t="str">
        <f>"002260"</f>
        <v>002260</v>
      </c>
      <c r="C3697" t="s">
        <v>7735</v>
      </c>
      <c r="D3697" t="s">
        <v>939</v>
      </c>
      <c r="E3697">
        <v>130964929</v>
      </c>
      <c r="F3697">
        <v>172598428</v>
      </c>
      <c r="G3697">
        <v>79987047</v>
      </c>
      <c r="H3697">
        <v>111956092</v>
      </c>
      <c r="I3697">
        <v>156007114</v>
      </c>
      <c r="J3697">
        <v>166741894</v>
      </c>
      <c r="K3697">
        <v>162079032</v>
      </c>
      <c r="L3697">
        <v>161567169</v>
      </c>
      <c r="M3697">
        <v>146969360</v>
      </c>
      <c r="N3697">
        <v>150382752</v>
      </c>
      <c r="O3697">
        <v>152918726</v>
      </c>
      <c r="P3697">
        <v>57</v>
      </c>
      <c r="Q3697" t="s">
        <v>7736</v>
      </c>
    </row>
    <row r="3698" spans="1:17" x14ac:dyDescent="0.3">
      <c r="A3698" t="s">
        <v>75</v>
      </c>
      <c r="B3698" t="str">
        <f>"301011"</f>
        <v>301011</v>
      </c>
      <c r="C3698" t="s">
        <v>7737</v>
      </c>
      <c r="D3698" t="s">
        <v>1624</v>
      </c>
      <c r="E3698">
        <v>130920242</v>
      </c>
      <c r="F3698">
        <v>129426929</v>
      </c>
      <c r="G3698">
        <v>35639807</v>
      </c>
      <c r="P3698">
        <v>28</v>
      </c>
      <c r="Q3698" t="s">
        <v>7738</v>
      </c>
    </row>
    <row r="3699" spans="1:17" x14ac:dyDescent="0.3">
      <c r="A3699" t="s">
        <v>75</v>
      </c>
      <c r="B3699" t="str">
        <f>"002827"</f>
        <v>002827</v>
      </c>
      <c r="C3699" t="s">
        <v>7739</v>
      </c>
      <c r="D3699" t="s">
        <v>1830</v>
      </c>
      <c r="E3699">
        <v>130849516</v>
      </c>
      <c r="F3699">
        <v>111519586</v>
      </c>
      <c r="G3699">
        <v>66425073</v>
      </c>
      <c r="H3699">
        <v>53507225</v>
      </c>
      <c r="I3699">
        <v>72593903</v>
      </c>
      <c r="J3699">
        <v>95013255</v>
      </c>
      <c r="K3699">
        <v>62903304</v>
      </c>
      <c r="P3699">
        <v>89</v>
      </c>
      <c r="Q3699" t="s">
        <v>7740</v>
      </c>
    </row>
    <row r="3700" spans="1:17" x14ac:dyDescent="0.3">
      <c r="A3700" t="s">
        <v>17</v>
      </c>
      <c r="B3700" t="str">
        <f>"600864"</f>
        <v>600864</v>
      </c>
      <c r="C3700" t="s">
        <v>7741</v>
      </c>
      <c r="D3700" t="s">
        <v>2823</v>
      </c>
      <c r="E3700">
        <v>130681851</v>
      </c>
      <c r="F3700">
        <v>118600382</v>
      </c>
      <c r="G3700">
        <v>96894973</v>
      </c>
      <c r="H3700">
        <v>122632611</v>
      </c>
      <c r="I3700">
        <v>137718659</v>
      </c>
      <c r="J3700">
        <v>173417064</v>
      </c>
      <c r="K3700">
        <v>145424265</v>
      </c>
      <c r="L3700">
        <v>179017051</v>
      </c>
      <c r="M3700">
        <v>184637328</v>
      </c>
      <c r="N3700">
        <v>180888246</v>
      </c>
      <c r="O3700">
        <v>164485382</v>
      </c>
      <c r="P3700">
        <v>412</v>
      </c>
      <c r="Q3700" t="s">
        <v>7742</v>
      </c>
    </row>
    <row r="3701" spans="1:17" x14ac:dyDescent="0.3">
      <c r="A3701" t="s">
        <v>17</v>
      </c>
      <c r="B3701" t="str">
        <f>"600054"</f>
        <v>600054</v>
      </c>
      <c r="C3701" t="s">
        <v>7743</v>
      </c>
      <c r="D3701" t="s">
        <v>7744</v>
      </c>
      <c r="E3701">
        <v>130659095</v>
      </c>
      <c r="F3701">
        <v>148185094</v>
      </c>
      <c r="G3701">
        <v>70993655</v>
      </c>
      <c r="H3701">
        <v>259079213</v>
      </c>
      <c r="I3701">
        <v>257532541</v>
      </c>
      <c r="J3701">
        <v>327058584</v>
      </c>
      <c r="K3701">
        <v>301156040</v>
      </c>
      <c r="L3701">
        <v>221788031</v>
      </c>
      <c r="M3701">
        <v>204590644</v>
      </c>
      <c r="N3701">
        <v>221537664</v>
      </c>
      <c r="O3701">
        <v>188210936</v>
      </c>
      <c r="P3701">
        <v>380</v>
      </c>
      <c r="Q3701" t="s">
        <v>7745</v>
      </c>
    </row>
    <row r="3702" spans="1:17" x14ac:dyDescent="0.3">
      <c r="A3702" t="s">
        <v>75</v>
      </c>
      <c r="B3702" t="str">
        <f>"002355"</f>
        <v>002355</v>
      </c>
      <c r="C3702" t="s">
        <v>7746</v>
      </c>
      <c r="D3702" t="s">
        <v>904</v>
      </c>
      <c r="E3702">
        <v>130621713</v>
      </c>
      <c r="F3702">
        <v>250578599</v>
      </c>
      <c r="G3702">
        <v>265918796</v>
      </c>
      <c r="H3702">
        <v>221726392</v>
      </c>
      <c r="I3702">
        <v>317632426</v>
      </c>
      <c r="J3702">
        <v>274763334</v>
      </c>
      <c r="K3702">
        <v>226903116</v>
      </c>
      <c r="L3702">
        <v>182958490</v>
      </c>
      <c r="M3702">
        <v>259603970</v>
      </c>
      <c r="N3702">
        <v>385680735</v>
      </c>
      <c r="O3702">
        <v>382534972</v>
      </c>
      <c r="P3702">
        <v>120</v>
      </c>
      <c r="Q3702" t="s">
        <v>7747</v>
      </c>
    </row>
    <row r="3703" spans="1:17" x14ac:dyDescent="0.3">
      <c r="A3703" t="s">
        <v>17</v>
      </c>
      <c r="B3703" t="str">
        <f>"688377"</f>
        <v>688377</v>
      </c>
      <c r="C3703" t="s">
        <v>7748</v>
      </c>
      <c r="D3703" t="s">
        <v>786</v>
      </c>
      <c r="E3703">
        <v>130615482</v>
      </c>
      <c r="F3703">
        <v>160617502</v>
      </c>
      <c r="G3703">
        <v>175995894</v>
      </c>
      <c r="H3703">
        <v>139402285</v>
      </c>
      <c r="P3703">
        <v>52</v>
      </c>
      <c r="Q3703" t="s">
        <v>7749</v>
      </c>
    </row>
    <row r="3704" spans="1:17" x14ac:dyDescent="0.3">
      <c r="A3704" t="s">
        <v>17</v>
      </c>
      <c r="B3704" t="str">
        <f>"603578"</f>
        <v>603578</v>
      </c>
      <c r="C3704" t="s">
        <v>7750</v>
      </c>
      <c r="D3704" t="s">
        <v>1063</v>
      </c>
      <c r="E3704">
        <v>130512231</v>
      </c>
      <c r="F3704">
        <v>135620406</v>
      </c>
      <c r="G3704">
        <v>59758499</v>
      </c>
      <c r="H3704">
        <v>111510238</v>
      </c>
      <c r="I3704">
        <v>32184267</v>
      </c>
      <c r="J3704">
        <v>22060141</v>
      </c>
      <c r="K3704">
        <v>67360687</v>
      </c>
      <c r="P3704">
        <v>131</v>
      </c>
      <c r="Q3704" t="s">
        <v>7751</v>
      </c>
    </row>
    <row r="3705" spans="1:17" x14ac:dyDescent="0.3">
      <c r="A3705" t="s">
        <v>17</v>
      </c>
      <c r="B3705" t="str">
        <f>"603999"</f>
        <v>603999</v>
      </c>
      <c r="C3705" t="s">
        <v>7752</v>
      </c>
      <c r="D3705" t="s">
        <v>1703</v>
      </c>
      <c r="E3705">
        <v>130482955</v>
      </c>
      <c r="F3705">
        <v>92666719</v>
      </c>
      <c r="G3705">
        <v>104709073</v>
      </c>
      <c r="H3705">
        <v>69253809</v>
      </c>
      <c r="I3705">
        <v>70049988</v>
      </c>
      <c r="J3705">
        <v>107615279</v>
      </c>
      <c r="K3705">
        <v>56205388</v>
      </c>
      <c r="L3705">
        <v>0</v>
      </c>
      <c r="M3705">
        <v>0</v>
      </c>
      <c r="P3705">
        <v>85</v>
      </c>
      <c r="Q3705" t="s">
        <v>7753</v>
      </c>
    </row>
    <row r="3706" spans="1:17" x14ac:dyDescent="0.3">
      <c r="A3706" t="s">
        <v>17</v>
      </c>
      <c r="B3706" t="str">
        <f>"688079"</f>
        <v>688079</v>
      </c>
      <c r="C3706" t="s">
        <v>7754</v>
      </c>
      <c r="D3706" t="s">
        <v>975</v>
      </c>
      <c r="E3706">
        <v>130317734</v>
      </c>
      <c r="F3706">
        <v>122707432</v>
      </c>
      <c r="G3706">
        <v>87793139</v>
      </c>
      <c r="P3706">
        <v>36</v>
      </c>
      <c r="Q3706" t="s">
        <v>7755</v>
      </c>
    </row>
    <row r="3707" spans="1:17" x14ac:dyDescent="0.3">
      <c r="A3707" t="s">
        <v>17</v>
      </c>
      <c r="B3707" t="str">
        <f>"600243"</f>
        <v>600243</v>
      </c>
      <c r="C3707" t="s">
        <v>7756</v>
      </c>
      <c r="D3707" t="s">
        <v>1424</v>
      </c>
      <c r="E3707">
        <v>130272371</v>
      </c>
      <c r="F3707">
        <v>86585940</v>
      </c>
      <c r="G3707">
        <v>84375002</v>
      </c>
      <c r="H3707">
        <v>127987181</v>
      </c>
      <c r="I3707">
        <v>255408572</v>
      </c>
      <c r="J3707">
        <v>194952368</v>
      </c>
      <c r="K3707">
        <v>197490256</v>
      </c>
      <c r="L3707">
        <v>165041548</v>
      </c>
      <c r="M3707">
        <v>172263105</v>
      </c>
      <c r="N3707">
        <v>221137570</v>
      </c>
      <c r="O3707">
        <v>184708953</v>
      </c>
      <c r="P3707">
        <v>72</v>
      </c>
      <c r="Q3707" t="s">
        <v>7757</v>
      </c>
    </row>
    <row r="3708" spans="1:17" x14ac:dyDescent="0.3">
      <c r="A3708" t="s">
        <v>17</v>
      </c>
      <c r="B3708" t="str">
        <f>"688686"</f>
        <v>688686</v>
      </c>
      <c r="C3708" t="s">
        <v>7758</v>
      </c>
      <c r="D3708" t="s">
        <v>2910</v>
      </c>
      <c r="E3708">
        <v>130265911</v>
      </c>
      <c r="F3708">
        <v>187009592</v>
      </c>
      <c r="G3708">
        <v>0</v>
      </c>
      <c r="H3708">
        <v>0</v>
      </c>
      <c r="P3708">
        <v>117</v>
      </c>
      <c r="Q3708" t="s">
        <v>7759</v>
      </c>
    </row>
    <row r="3709" spans="1:17" x14ac:dyDescent="0.3">
      <c r="A3709" t="s">
        <v>17</v>
      </c>
      <c r="B3709" t="str">
        <f>"600608"</f>
        <v>600608</v>
      </c>
      <c r="C3709" t="s">
        <v>7760</v>
      </c>
      <c r="D3709" t="s">
        <v>142</v>
      </c>
      <c r="E3709">
        <v>130229877</v>
      </c>
      <c r="F3709">
        <v>246317092</v>
      </c>
      <c r="G3709">
        <v>295122392</v>
      </c>
      <c r="H3709">
        <v>276636912</v>
      </c>
      <c r="I3709">
        <v>224795011</v>
      </c>
      <c r="J3709">
        <v>27390692</v>
      </c>
      <c r="K3709">
        <v>36016395</v>
      </c>
      <c r="L3709">
        <v>42791243</v>
      </c>
      <c r="M3709">
        <v>75769121</v>
      </c>
      <c r="N3709">
        <v>50042700</v>
      </c>
      <c r="O3709">
        <v>50248148</v>
      </c>
      <c r="P3709">
        <v>47</v>
      </c>
      <c r="Q3709" t="s">
        <v>7761</v>
      </c>
    </row>
    <row r="3710" spans="1:17" x14ac:dyDescent="0.3">
      <c r="A3710" t="s">
        <v>75</v>
      </c>
      <c r="B3710" t="str">
        <f>"000561"</f>
        <v>000561</v>
      </c>
      <c r="C3710" t="s">
        <v>7762</v>
      </c>
      <c r="D3710" t="s">
        <v>1551</v>
      </c>
      <c r="E3710">
        <v>130063810</v>
      </c>
      <c r="F3710">
        <v>328581712</v>
      </c>
      <c r="G3710">
        <v>202909163</v>
      </c>
      <c r="H3710">
        <v>201373419</v>
      </c>
      <c r="I3710">
        <v>245710860</v>
      </c>
      <c r="J3710">
        <v>182037912</v>
      </c>
      <c r="K3710">
        <v>211154028</v>
      </c>
      <c r="L3710">
        <v>174871644</v>
      </c>
      <c r="M3710">
        <v>125519306</v>
      </c>
      <c r="N3710">
        <v>229793530</v>
      </c>
      <c r="O3710">
        <v>118992831</v>
      </c>
      <c r="P3710">
        <v>134</v>
      </c>
      <c r="Q3710" t="s">
        <v>7763</v>
      </c>
    </row>
    <row r="3711" spans="1:17" x14ac:dyDescent="0.3">
      <c r="A3711" t="s">
        <v>75</v>
      </c>
      <c r="B3711" t="str">
        <f>"002173"</f>
        <v>002173</v>
      </c>
      <c r="C3711" t="s">
        <v>7764</v>
      </c>
      <c r="D3711" t="s">
        <v>1129</v>
      </c>
      <c r="E3711">
        <v>130050061</v>
      </c>
      <c r="F3711">
        <v>165090681</v>
      </c>
      <c r="G3711">
        <v>205916007</v>
      </c>
      <c r="H3711">
        <v>203808218</v>
      </c>
      <c r="I3711">
        <v>205384329</v>
      </c>
      <c r="J3711">
        <v>192146298</v>
      </c>
      <c r="K3711">
        <v>157648834</v>
      </c>
      <c r="L3711">
        <v>51453229</v>
      </c>
      <c r="M3711">
        <v>64975309</v>
      </c>
      <c r="N3711">
        <v>97564695</v>
      </c>
      <c r="O3711">
        <v>123763992</v>
      </c>
      <c r="P3711">
        <v>125</v>
      </c>
      <c r="Q3711" t="s">
        <v>7765</v>
      </c>
    </row>
    <row r="3712" spans="1:17" x14ac:dyDescent="0.3">
      <c r="A3712" t="s">
        <v>75</v>
      </c>
      <c r="B3712" t="str">
        <f>"000888"</f>
        <v>000888</v>
      </c>
      <c r="C3712" t="s">
        <v>7766</v>
      </c>
      <c r="D3712" t="s">
        <v>7744</v>
      </c>
      <c r="E3712">
        <v>129998435</v>
      </c>
      <c r="F3712">
        <v>124245598</v>
      </c>
      <c r="G3712">
        <v>65924682</v>
      </c>
      <c r="H3712">
        <v>269832451</v>
      </c>
      <c r="I3712">
        <v>260607869</v>
      </c>
      <c r="J3712">
        <v>248731718</v>
      </c>
      <c r="K3712">
        <v>233042825</v>
      </c>
      <c r="L3712">
        <v>207817339</v>
      </c>
      <c r="M3712">
        <v>184477884</v>
      </c>
      <c r="N3712">
        <v>162371487</v>
      </c>
      <c r="O3712">
        <v>154699088</v>
      </c>
      <c r="P3712">
        <v>218</v>
      </c>
      <c r="Q3712" t="s">
        <v>7767</v>
      </c>
    </row>
    <row r="3713" spans="1:17" x14ac:dyDescent="0.3">
      <c r="A3713" t="s">
        <v>75</v>
      </c>
      <c r="B3713" t="str">
        <f>"301211"</f>
        <v>301211</v>
      </c>
      <c r="C3713" t="s">
        <v>7768</v>
      </c>
      <c r="D3713" t="s">
        <v>1242</v>
      </c>
      <c r="E3713">
        <v>129945261</v>
      </c>
      <c r="P3713">
        <v>14</v>
      </c>
      <c r="Q3713" t="s">
        <v>7769</v>
      </c>
    </row>
    <row r="3714" spans="1:17" x14ac:dyDescent="0.3">
      <c r="A3714" t="s">
        <v>75</v>
      </c>
      <c r="B3714" t="str">
        <f>"002919"</f>
        <v>002919</v>
      </c>
      <c r="C3714" t="s">
        <v>7770</v>
      </c>
      <c r="D3714" t="s">
        <v>3592</v>
      </c>
      <c r="E3714">
        <v>129876373</v>
      </c>
      <c r="F3714">
        <v>195720955</v>
      </c>
      <c r="G3714">
        <v>87229254</v>
      </c>
      <c r="H3714">
        <v>107789022</v>
      </c>
      <c r="I3714">
        <v>97590383</v>
      </c>
      <c r="J3714">
        <v>100288891</v>
      </c>
      <c r="P3714">
        <v>146</v>
      </c>
      <c r="Q3714" t="s">
        <v>7771</v>
      </c>
    </row>
    <row r="3715" spans="1:17" x14ac:dyDescent="0.3">
      <c r="A3715" t="s">
        <v>17</v>
      </c>
      <c r="B3715" t="str">
        <f>"600082"</f>
        <v>600082</v>
      </c>
      <c r="C3715" t="s">
        <v>7772</v>
      </c>
      <c r="D3715" t="s">
        <v>806</v>
      </c>
      <c r="E3715">
        <v>129653436</v>
      </c>
      <c r="F3715">
        <v>31419636</v>
      </c>
      <c r="G3715">
        <v>70733047</v>
      </c>
      <c r="H3715">
        <v>250385847</v>
      </c>
      <c r="I3715">
        <v>95141132</v>
      </c>
      <c r="J3715">
        <v>151266514</v>
      </c>
      <c r="K3715">
        <v>322357009</v>
      </c>
      <c r="L3715">
        <v>208217788</v>
      </c>
      <c r="M3715">
        <v>122158814</v>
      </c>
      <c r="N3715">
        <v>187380654</v>
      </c>
      <c r="O3715">
        <v>150516058</v>
      </c>
      <c r="P3715">
        <v>75</v>
      </c>
      <c r="Q3715" t="s">
        <v>7773</v>
      </c>
    </row>
    <row r="3716" spans="1:17" x14ac:dyDescent="0.3">
      <c r="A3716" t="s">
        <v>17</v>
      </c>
      <c r="B3716" t="str">
        <f>"603669"</f>
        <v>603669</v>
      </c>
      <c r="C3716" t="s">
        <v>7774</v>
      </c>
      <c r="D3716" t="s">
        <v>543</v>
      </c>
      <c r="E3716">
        <v>129351719</v>
      </c>
      <c r="F3716">
        <v>266448595</v>
      </c>
      <c r="G3716">
        <v>258681514</v>
      </c>
      <c r="H3716">
        <v>444266624</v>
      </c>
      <c r="I3716">
        <v>409961776</v>
      </c>
      <c r="J3716">
        <v>122149188</v>
      </c>
      <c r="K3716">
        <v>124355672</v>
      </c>
      <c r="L3716">
        <v>0</v>
      </c>
      <c r="M3716">
        <v>0</v>
      </c>
      <c r="P3716">
        <v>194</v>
      </c>
      <c r="Q3716" t="s">
        <v>7775</v>
      </c>
    </row>
    <row r="3717" spans="1:17" x14ac:dyDescent="0.3">
      <c r="A3717" t="s">
        <v>17</v>
      </c>
      <c r="B3717" t="str">
        <f>"688088"</f>
        <v>688088</v>
      </c>
      <c r="C3717" t="s">
        <v>7776</v>
      </c>
      <c r="D3717" t="s">
        <v>224</v>
      </c>
      <c r="E3717">
        <v>129292586</v>
      </c>
      <c r="F3717">
        <v>262521280</v>
      </c>
      <c r="G3717">
        <v>156839712</v>
      </c>
      <c r="H3717">
        <v>87066221</v>
      </c>
      <c r="I3717">
        <v>57605679</v>
      </c>
      <c r="P3717">
        <v>271</v>
      </c>
      <c r="Q3717" t="s">
        <v>7777</v>
      </c>
    </row>
    <row r="3718" spans="1:17" x14ac:dyDescent="0.3">
      <c r="A3718" t="s">
        <v>75</v>
      </c>
      <c r="B3718" t="str">
        <f>"300864"</f>
        <v>300864</v>
      </c>
      <c r="C3718" t="s">
        <v>7778</v>
      </c>
      <c r="D3718" t="s">
        <v>2307</v>
      </c>
      <c r="E3718">
        <v>129159687</v>
      </c>
      <c r="F3718">
        <v>133733273</v>
      </c>
      <c r="G3718">
        <v>75183420</v>
      </c>
      <c r="P3718">
        <v>121</v>
      </c>
      <c r="Q3718" t="s">
        <v>7779</v>
      </c>
    </row>
    <row r="3719" spans="1:17" x14ac:dyDescent="0.3">
      <c r="A3719" t="s">
        <v>75</v>
      </c>
      <c r="B3719" t="str">
        <f>"300480"</f>
        <v>300480</v>
      </c>
      <c r="C3719" t="s">
        <v>7780</v>
      </c>
      <c r="D3719" t="s">
        <v>786</v>
      </c>
      <c r="E3719">
        <v>128932347</v>
      </c>
      <c r="F3719">
        <v>86837810</v>
      </c>
      <c r="G3719">
        <v>64303240</v>
      </c>
      <c r="H3719">
        <v>80913591</v>
      </c>
      <c r="I3719">
        <v>70419947</v>
      </c>
      <c r="J3719">
        <v>20893402</v>
      </c>
      <c r="K3719">
        <v>16191995</v>
      </c>
      <c r="L3719">
        <v>0</v>
      </c>
      <c r="M3719">
        <v>0</v>
      </c>
      <c r="P3719">
        <v>84</v>
      </c>
      <c r="Q3719" t="s">
        <v>7781</v>
      </c>
    </row>
    <row r="3720" spans="1:17" x14ac:dyDescent="0.3">
      <c r="A3720" t="s">
        <v>17</v>
      </c>
      <c r="B3720" t="str">
        <f>"600824"</f>
        <v>600824</v>
      </c>
      <c r="C3720" t="s">
        <v>7782</v>
      </c>
      <c r="D3720" t="s">
        <v>359</v>
      </c>
      <c r="E3720">
        <v>128829583</v>
      </c>
      <c r="F3720">
        <v>217740422</v>
      </c>
      <c r="G3720">
        <v>232020534</v>
      </c>
      <c r="H3720">
        <v>322574885</v>
      </c>
      <c r="I3720">
        <v>381012578</v>
      </c>
      <c r="J3720">
        <v>544080784</v>
      </c>
      <c r="K3720">
        <v>753248121</v>
      </c>
      <c r="L3720">
        <v>1053939622</v>
      </c>
      <c r="M3720">
        <v>819833942</v>
      </c>
      <c r="N3720">
        <v>741327662</v>
      </c>
      <c r="O3720">
        <v>634288269</v>
      </c>
      <c r="P3720">
        <v>81</v>
      </c>
      <c r="Q3720" t="s">
        <v>7783</v>
      </c>
    </row>
    <row r="3721" spans="1:17" x14ac:dyDescent="0.3">
      <c r="A3721" t="s">
        <v>75</v>
      </c>
      <c r="B3721" t="str">
        <f>"002927"</f>
        <v>002927</v>
      </c>
      <c r="C3721" t="s">
        <v>7784</v>
      </c>
      <c r="D3721" t="s">
        <v>546</v>
      </c>
      <c r="E3721">
        <v>128733784</v>
      </c>
      <c r="F3721">
        <v>162234403</v>
      </c>
      <c r="G3721">
        <v>77433451</v>
      </c>
      <c r="H3721">
        <v>51198715</v>
      </c>
      <c r="I3721">
        <v>45257891</v>
      </c>
      <c r="J3721">
        <v>48287003</v>
      </c>
      <c r="P3721">
        <v>117</v>
      </c>
      <c r="Q3721" t="s">
        <v>7785</v>
      </c>
    </row>
    <row r="3722" spans="1:17" x14ac:dyDescent="0.3">
      <c r="A3722" t="s">
        <v>17</v>
      </c>
      <c r="B3722" t="str">
        <f>"600354"</f>
        <v>600354</v>
      </c>
      <c r="C3722" t="s">
        <v>7786</v>
      </c>
      <c r="D3722" t="s">
        <v>3670</v>
      </c>
      <c r="E3722">
        <v>128717135</v>
      </c>
      <c r="F3722">
        <v>122916689</v>
      </c>
      <c r="G3722">
        <v>134269839</v>
      </c>
      <c r="H3722">
        <v>159808489</v>
      </c>
      <c r="I3722">
        <v>83728640</v>
      </c>
      <c r="J3722">
        <v>80534062</v>
      </c>
      <c r="K3722">
        <v>122391310</v>
      </c>
      <c r="L3722">
        <v>197021721</v>
      </c>
      <c r="M3722">
        <v>218377730</v>
      </c>
      <c r="N3722">
        <v>385579915</v>
      </c>
      <c r="O3722">
        <v>379267909</v>
      </c>
      <c r="P3722">
        <v>121</v>
      </c>
      <c r="Q3722" t="s">
        <v>7787</v>
      </c>
    </row>
    <row r="3723" spans="1:17" x14ac:dyDescent="0.3">
      <c r="A3723" t="s">
        <v>75</v>
      </c>
      <c r="B3723" t="str">
        <f>"002917"</f>
        <v>002917</v>
      </c>
      <c r="C3723" t="s">
        <v>7788</v>
      </c>
      <c r="D3723" t="s">
        <v>1830</v>
      </c>
      <c r="E3723">
        <v>128646272</v>
      </c>
      <c r="F3723">
        <v>83252026</v>
      </c>
      <c r="G3723">
        <v>42870457</v>
      </c>
      <c r="H3723">
        <v>39872185</v>
      </c>
      <c r="I3723">
        <v>51433638</v>
      </c>
      <c r="J3723">
        <v>63548309</v>
      </c>
      <c r="P3723">
        <v>67</v>
      </c>
      <c r="Q3723" t="s">
        <v>7789</v>
      </c>
    </row>
    <row r="3724" spans="1:17" x14ac:dyDescent="0.3">
      <c r="A3724" t="s">
        <v>75</v>
      </c>
      <c r="B3724" t="str">
        <f>"300977"</f>
        <v>300977</v>
      </c>
      <c r="C3724" t="s">
        <v>7790</v>
      </c>
      <c r="D3724" t="s">
        <v>2118</v>
      </c>
      <c r="E3724">
        <v>128545600</v>
      </c>
      <c r="F3724">
        <v>146766275</v>
      </c>
      <c r="G3724">
        <v>96429417</v>
      </c>
      <c r="P3724">
        <v>46</v>
      </c>
      <c r="Q3724" t="s">
        <v>7791</v>
      </c>
    </row>
    <row r="3725" spans="1:17" x14ac:dyDescent="0.3">
      <c r="A3725" t="s">
        <v>75</v>
      </c>
      <c r="B3725" t="str">
        <f>"002577"</f>
        <v>002577</v>
      </c>
      <c r="C3725" t="s">
        <v>7792</v>
      </c>
      <c r="D3725" t="s">
        <v>508</v>
      </c>
      <c r="E3725">
        <v>128449973</v>
      </c>
      <c r="F3725">
        <v>138405800</v>
      </c>
      <c r="G3725">
        <v>82927628</v>
      </c>
      <c r="H3725">
        <v>116784729</v>
      </c>
      <c r="I3725">
        <v>175526772</v>
      </c>
      <c r="J3725">
        <v>124521367</v>
      </c>
      <c r="K3725">
        <v>157058021</v>
      </c>
      <c r="L3725">
        <v>96983322</v>
      </c>
      <c r="M3725">
        <v>168343205</v>
      </c>
      <c r="N3725">
        <v>106947962</v>
      </c>
      <c r="O3725">
        <v>132547687</v>
      </c>
      <c r="P3725">
        <v>83</v>
      </c>
      <c r="Q3725" t="s">
        <v>7793</v>
      </c>
    </row>
    <row r="3726" spans="1:17" x14ac:dyDescent="0.3">
      <c r="A3726" t="s">
        <v>75</v>
      </c>
      <c r="B3726" t="str">
        <f>"300105"</f>
        <v>300105</v>
      </c>
      <c r="C3726" t="s">
        <v>7794</v>
      </c>
      <c r="D3726" t="s">
        <v>3011</v>
      </c>
      <c r="E3726">
        <v>128294645</v>
      </c>
      <c r="F3726">
        <v>141688014</v>
      </c>
      <c r="G3726">
        <v>107520930</v>
      </c>
      <c r="H3726">
        <v>86653083</v>
      </c>
      <c r="I3726">
        <v>147662490</v>
      </c>
      <c r="J3726">
        <v>127466158</v>
      </c>
      <c r="K3726">
        <v>209854124</v>
      </c>
      <c r="L3726">
        <v>297088280</v>
      </c>
      <c r="M3726">
        <v>266019986</v>
      </c>
      <c r="N3726">
        <v>134407502</v>
      </c>
      <c r="O3726">
        <v>175851103</v>
      </c>
      <c r="P3726">
        <v>56</v>
      </c>
      <c r="Q3726" t="s">
        <v>7795</v>
      </c>
    </row>
    <row r="3727" spans="1:17" x14ac:dyDescent="0.3">
      <c r="A3727" t="s">
        <v>17</v>
      </c>
      <c r="B3727" t="str">
        <f>"603040"</f>
        <v>603040</v>
      </c>
      <c r="C3727" t="s">
        <v>7796</v>
      </c>
      <c r="D3727" t="s">
        <v>172</v>
      </c>
      <c r="E3727">
        <v>128201249</v>
      </c>
      <c r="F3727">
        <v>117034185</v>
      </c>
      <c r="G3727">
        <v>95210462</v>
      </c>
      <c r="H3727">
        <v>86942409</v>
      </c>
      <c r="I3727">
        <v>70807506</v>
      </c>
      <c r="J3727">
        <v>53678234</v>
      </c>
      <c r="K3727">
        <v>32597229</v>
      </c>
      <c r="P3727">
        <v>619</v>
      </c>
      <c r="Q3727" t="s">
        <v>7797</v>
      </c>
    </row>
    <row r="3728" spans="1:17" x14ac:dyDescent="0.3">
      <c r="A3728" t="s">
        <v>17</v>
      </c>
      <c r="B3728" t="str">
        <f>"600706"</f>
        <v>600706</v>
      </c>
      <c r="C3728" t="s">
        <v>7798</v>
      </c>
      <c r="D3728" t="s">
        <v>2078</v>
      </c>
      <c r="E3728">
        <v>128001674</v>
      </c>
      <c r="F3728">
        <v>190075044</v>
      </c>
      <c r="G3728">
        <v>182799268</v>
      </c>
      <c r="H3728">
        <v>287617227</v>
      </c>
      <c r="I3728">
        <v>310638909</v>
      </c>
      <c r="J3728">
        <v>230424717</v>
      </c>
      <c r="K3728">
        <v>199267721</v>
      </c>
      <c r="L3728">
        <v>221366658</v>
      </c>
      <c r="M3728">
        <v>211089976</v>
      </c>
      <c r="N3728">
        <v>190809782</v>
      </c>
      <c r="O3728">
        <v>0</v>
      </c>
      <c r="P3728">
        <v>122</v>
      </c>
      <c r="Q3728" t="s">
        <v>7799</v>
      </c>
    </row>
    <row r="3729" spans="1:17" x14ac:dyDescent="0.3">
      <c r="A3729" t="s">
        <v>75</v>
      </c>
      <c r="B3729" t="str">
        <f>"002308"</f>
        <v>002308</v>
      </c>
      <c r="C3729" t="s">
        <v>7800</v>
      </c>
      <c r="D3729" t="s">
        <v>508</v>
      </c>
      <c r="E3729">
        <v>127991396</v>
      </c>
      <c r="F3729">
        <v>148185839</v>
      </c>
      <c r="G3729">
        <v>105726692</v>
      </c>
      <c r="H3729">
        <v>218869941</v>
      </c>
      <c r="I3729">
        <v>251238819</v>
      </c>
      <c r="J3729">
        <v>226126081</v>
      </c>
      <c r="K3729">
        <v>239474759</v>
      </c>
      <c r="L3729">
        <v>228020658</v>
      </c>
      <c r="M3729">
        <v>189569421</v>
      </c>
      <c r="N3729">
        <v>259720945</v>
      </c>
      <c r="O3729">
        <v>219681939</v>
      </c>
      <c r="P3729">
        <v>218</v>
      </c>
      <c r="Q3729" t="s">
        <v>7801</v>
      </c>
    </row>
    <row r="3730" spans="1:17" x14ac:dyDescent="0.3">
      <c r="A3730" t="s">
        <v>75</v>
      </c>
      <c r="B3730" t="str">
        <f>"001212"</f>
        <v>001212</v>
      </c>
      <c r="C3730" t="s">
        <v>7802</v>
      </c>
      <c r="D3730" t="s">
        <v>1257</v>
      </c>
      <c r="E3730">
        <v>127919862</v>
      </c>
      <c r="F3730">
        <v>135899558</v>
      </c>
      <c r="G3730">
        <v>121812668</v>
      </c>
      <c r="P3730">
        <v>19</v>
      </c>
      <c r="Q3730" t="s">
        <v>7803</v>
      </c>
    </row>
    <row r="3731" spans="1:17" x14ac:dyDescent="0.3">
      <c r="A3731" t="s">
        <v>75</v>
      </c>
      <c r="B3731" t="str">
        <f>"300506"</f>
        <v>300506</v>
      </c>
      <c r="C3731" t="s">
        <v>7804</v>
      </c>
      <c r="D3731" t="s">
        <v>707</v>
      </c>
      <c r="E3731">
        <v>127897807</v>
      </c>
      <c r="F3731">
        <v>271089332</v>
      </c>
      <c r="G3731">
        <v>236192597</v>
      </c>
      <c r="H3731">
        <v>190838174</v>
      </c>
      <c r="I3731">
        <v>77089747</v>
      </c>
      <c r="J3731">
        <v>52472572</v>
      </c>
      <c r="K3731">
        <v>56780459</v>
      </c>
      <c r="L3731">
        <v>34576570</v>
      </c>
      <c r="P3731">
        <v>294</v>
      </c>
      <c r="Q3731" t="s">
        <v>7805</v>
      </c>
    </row>
    <row r="3732" spans="1:17" x14ac:dyDescent="0.3">
      <c r="A3732" t="s">
        <v>75</v>
      </c>
      <c r="B3732" t="str">
        <f>"300983"</f>
        <v>300983</v>
      </c>
      <c r="C3732" t="s">
        <v>7806</v>
      </c>
      <c r="D3732" t="s">
        <v>2118</v>
      </c>
      <c r="E3732">
        <v>127673162</v>
      </c>
      <c r="F3732">
        <v>116863759</v>
      </c>
      <c r="G3732">
        <v>152243108</v>
      </c>
      <c r="P3732">
        <v>34</v>
      </c>
      <c r="Q3732" t="s">
        <v>7807</v>
      </c>
    </row>
    <row r="3733" spans="1:17" x14ac:dyDescent="0.3">
      <c r="A3733" t="s">
        <v>75</v>
      </c>
      <c r="B3733" t="str">
        <f>"300137"</f>
        <v>300137</v>
      </c>
      <c r="C3733" t="s">
        <v>7808</v>
      </c>
      <c r="D3733" t="s">
        <v>1642</v>
      </c>
      <c r="E3733">
        <v>127599682</v>
      </c>
      <c r="F3733">
        <v>147606720</v>
      </c>
      <c r="G3733">
        <v>133481377</v>
      </c>
      <c r="H3733">
        <v>337321060</v>
      </c>
      <c r="I3733">
        <v>130104327</v>
      </c>
      <c r="J3733">
        <v>76110172</v>
      </c>
      <c r="K3733">
        <v>62495950</v>
      </c>
      <c r="L3733">
        <v>71544550</v>
      </c>
      <c r="M3733">
        <v>47242470</v>
      </c>
      <c r="N3733">
        <v>23129739</v>
      </c>
      <c r="O3733">
        <v>14023519</v>
      </c>
      <c r="P3733">
        <v>253</v>
      </c>
      <c r="Q3733" t="s">
        <v>7809</v>
      </c>
    </row>
    <row r="3734" spans="1:17" x14ac:dyDescent="0.3">
      <c r="A3734" t="s">
        <v>75</v>
      </c>
      <c r="B3734" t="str">
        <f>"002830"</f>
        <v>002830</v>
      </c>
      <c r="C3734" t="s">
        <v>7810</v>
      </c>
      <c r="D3734" t="s">
        <v>707</v>
      </c>
      <c r="E3734">
        <v>127264200</v>
      </c>
      <c r="F3734">
        <v>190816432</v>
      </c>
      <c r="G3734">
        <v>79876619</v>
      </c>
      <c r="H3734">
        <v>130390701</v>
      </c>
      <c r="I3734">
        <v>124066812</v>
      </c>
      <c r="J3734">
        <v>128157733</v>
      </c>
      <c r="K3734">
        <v>100658298</v>
      </c>
      <c r="P3734">
        <v>78</v>
      </c>
      <c r="Q3734" t="s">
        <v>7811</v>
      </c>
    </row>
    <row r="3735" spans="1:17" x14ac:dyDescent="0.3">
      <c r="A3735" t="s">
        <v>17</v>
      </c>
      <c r="B3735" t="str">
        <f>"603516"</f>
        <v>603516</v>
      </c>
      <c r="C3735" t="s">
        <v>7812</v>
      </c>
      <c r="D3735" t="s">
        <v>508</v>
      </c>
      <c r="E3735">
        <v>127235603</v>
      </c>
      <c r="F3735">
        <v>90618922</v>
      </c>
      <c r="G3735">
        <v>62411342</v>
      </c>
      <c r="H3735">
        <v>50346970</v>
      </c>
      <c r="I3735">
        <v>60552883</v>
      </c>
      <c r="J3735">
        <v>40113315</v>
      </c>
      <c r="P3735">
        <v>202</v>
      </c>
      <c r="Q3735" t="s">
        <v>7813</v>
      </c>
    </row>
    <row r="3736" spans="1:17" x14ac:dyDescent="0.3">
      <c r="A3736" t="s">
        <v>75</v>
      </c>
      <c r="B3736" t="str">
        <f>"300620"</f>
        <v>300620</v>
      </c>
      <c r="C3736" t="s">
        <v>7814</v>
      </c>
      <c r="D3736" t="s">
        <v>169</v>
      </c>
      <c r="E3736">
        <v>126971047</v>
      </c>
      <c r="F3736">
        <v>129473269</v>
      </c>
      <c r="G3736">
        <v>90050406</v>
      </c>
      <c r="H3736">
        <v>78516688</v>
      </c>
      <c r="I3736">
        <v>58117170</v>
      </c>
      <c r="J3736">
        <v>46268892</v>
      </c>
      <c r="K3736">
        <v>35108695</v>
      </c>
      <c r="P3736">
        <v>245</v>
      </c>
      <c r="Q3736" t="s">
        <v>7815</v>
      </c>
    </row>
    <row r="3737" spans="1:17" x14ac:dyDescent="0.3">
      <c r="A3737" t="s">
        <v>75</v>
      </c>
      <c r="B3737" t="str">
        <f>"301229"</f>
        <v>301229</v>
      </c>
      <c r="C3737" t="s">
        <v>7816</v>
      </c>
      <c r="E3737">
        <v>126795550</v>
      </c>
      <c r="P3737">
        <v>6</v>
      </c>
      <c r="Q3737" t="s">
        <v>7817</v>
      </c>
    </row>
    <row r="3738" spans="1:17" x14ac:dyDescent="0.3">
      <c r="A3738" t="s">
        <v>17</v>
      </c>
      <c r="B3738" t="str">
        <f>"688233"</f>
        <v>688233</v>
      </c>
      <c r="C3738" t="s">
        <v>7818</v>
      </c>
      <c r="D3738" t="s">
        <v>489</v>
      </c>
      <c r="E3738">
        <v>126776650</v>
      </c>
      <c r="F3738">
        <v>61763283</v>
      </c>
      <c r="G3738">
        <v>17103172</v>
      </c>
      <c r="H3738">
        <v>79434751</v>
      </c>
      <c r="P3738">
        <v>170</v>
      </c>
      <c r="Q3738" t="s">
        <v>7819</v>
      </c>
    </row>
    <row r="3739" spans="1:17" x14ac:dyDescent="0.3">
      <c r="A3739" t="s">
        <v>17</v>
      </c>
      <c r="B3739" t="str">
        <f>"603090"</f>
        <v>603090</v>
      </c>
      <c r="C3739" t="s">
        <v>7820</v>
      </c>
      <c r="D3739" t="s">
        <v>1424</v>
      </c>
      <c r="E3739">
        <v>126649531</v>
      </c>
      <c r="F3739">
        <v>97715323</v>
      </c>
      <c r="G3739">
        <v>78191787</v>
      </c>
      <c r="H3739">
        <v>99177445</v>
      </c>
      <c r="I3739">
        <v>92794578</v>
      </c>
      <c r="J3739">
        <v>62701335</v>
      </c>
      <c r="K3739">
        <v>52706367</v>
      </c>
      <c r="P3739">
        <v>51</v>
      </c>
      <c r="Q3739" t="s">
        <v>7821</v>
      </c>
    </row>
    <row r="3740" spans="1:17" x14ac:dyDescent="0.3">
      <c r="A3740" t="s">
        <v>75</v>
      </c>
      <c r="B3740" t="str">
        <f>"002893"</f>
        <v>002893</v>
      </c>
      <c r="C3740" t="s">
        <v>7822</v>
      </c>
      <c r="D3740" t="s">
        <v>446</v>
      </c>
      <c r="E3740">
        <v>126533949</v>
      </c>
      <c r="F3740">
        <v>137701773</v>
      </c>
      <c r="G3740">
        <v>94040256</v>
      </c>
      <c r="H3740">
        <v>141016193</v>
      </c>
      <c r="I3740">
        <v>135221562</v>
      </c>
      <c r="J3740">
        <v>109751851</v>
      </c>
      <c r="P3740">
        <v>92</v>
      </c>
      <c r="Q3740" t="s">
        <v>7823</v>
      </c>
    </row>
    <row r="3741" spans="1:17" x14ac:dyDescent="0.3">
      <c r="A3741" t="s">
        <v>75</v>
      </c>
      <c r="B3741" t="str">
        <f>"300774"</f>
        <v>300774</v>
      </c>
      <c r="C3741" t="s">
        <v>7824</v>
      </c>
      <c r="D3741" t="s">
        <v>1107</v>
      </c>
      <c r="E3741">
        <v>126488461</v>
      </c>
      <c r="F3741">
        <v>38940607</v>
      </c>
      <c r="G3741">
        <v>59298223</v>
      </c>
      <c r="P3741">
        <v>24</v>
      </c>
      <c r="Q3741" t="s">
        <v>7825</v>
      </c>
    </row>
    <row r="3742" spans="1:17" x14ac:dyDescent="0.3">
      <c r="A3742" t="s">
        <v>75</v>
      </c>
      <c r="B3742" t="str">
        <f>"300350"</f>
        <v>300350</v>
      </c>
      <c r="C3742" t="s">
        <v>7826</v>
      </c>
      <c r="D3742" t="s">
        <v>367</v>
      </c>
      <c r="E3742">
        <v>126431881</v>
      </c>
      <c r="F3742">
        <v>254973132</v>
      </c>
      <c r="G3742">
        <v>124386196</v>
      </c>
      <c r="H3742">
        <v>235091082</v>
      </c>
      <c r="I3742">
        <v>272881474</v>
      </c>
      <c r="J3742">
        <v>228689921</v>
      </c>
      <c r="K3742">
        <v>154818133</v>
      </c>
      <c r="L3742">
        <v>159941526</v>
      </c>
      <c r="M3742">
        <v>108022136</v>
      </c>
      <c r="N3742">
        <v>24511290</v>
      </c>
      <c r="O3742">
        <v>73497399</v>
      </c>
      <c r="P3742">
        <v>106</v>
      </c>
      <c r="Q3742" t="s">
        <v>7827</v>
      </c>
    </row>
    <row r="3743" spans="1:17" x14ac:dyDescent="0.3">
      <c r="A3743" t="s">
        <v>17</v>
      </c>
      <c r="B3743" t="str">
        <f>"603776"</f>
        <v>603776</v>
      </c>
      <c r="C3743" t="s">
        <v>7828</v>
      </c>
      <c r="D3743" t="s">
        <v>1457</v>
      </c>
      <c r="E3743">
        <v>126368150</v>
      </c>
      <c r="F3743">
        <v>151189984</v>
      </c>
      <c r="G3743">
        <v>155315606</v>
      </c>
      <c r="H3743">
        <v>145636269</v>
      </c>
      <c r="I3743">
        <v>154200509</v>
      </c>
      <c r="J3743">
        <v>178716302</v>
      </c>
      <c r="K3743">
        <v>0</v>
      </c>
      <c r="P3743">
        <v>189</v>
      </c>
      <c r="Q3743" t="s">
        <v>7829</v>
      </c>
    </row>
    <row r="3744" spans="1:17" x14ac:dyDescent="0.3">
      <c r="A3744" t="s">
        <v>75</v>
      </c>
      <c r="B3744" t="str">
        <f>"300837"</f>
        <v>300837</v>
      </c>
      <c r="C3744" t="s">
        <v>7830</v>
      </c>
      <c r="D3744" t="s">
        <v>786</v>
      </c>
      <c r="E3744">
        <v>126353288</v>
      </c>
      <c r="F3744">
        <v>117945075</v>
      </c>
      <c r="G3744">
        <v>74573604</v>
      </c>
      <c r="H3744">
        <v>67938991</v>
      </c>
      <c r="P3744">
        <v>154</v>
      </c>
      <c r="Q3744" t="s">
        <v>7831</v>
      </c>
    </row>
    <row r="3745" spans="1:17" x14ac:dyDescent="0.3">
      <c r="A3745" t="s">
        <v>75</v>
      </c>
      <c r="B3745" t="str">
        <f>"300053"</f>
        <v>300053</v>
      </c>
      <c r="C3745" t="s">
        <v>7832</v>
      </c>
      <c r="D3745" t="s">
        <v>883</v>
      </c>
      <c r="E3745">
        <v>125991512</v>
      </c>
      <c r="F3745">
        <v>196822261</v>
      </c>
      <c r="G3745">
        <v>151253702</v>
      </c>
      <c r="H3745">
        <v>164783446</v>
      </c>
      <c r="I3745">
        <v>177899578</v>
      </c>
      <c r="J3745">
        <v>109426179</v>
      </c>
      <c r="K3745">
        <v>47820877</v>
      </c>
      <c r="L3745">
        <v>29054323</v>
      </c>
      <c r="M3745">
        <v>40598170</v>
      </c>
      <c r="N3745">
        <v>22791929</v>
      </c>
      <c r="O3745">
        <v>50654967</v>
      </c>
      <c r="P3745">
        <v>264</v>
      </c>
      <c r="Q3745" t="s">
        <v>7833</v>
      </c>
    </row>
    <row r="3746" spans="1:17" x14ac:dyDescent="0.3">
      <c r="A3746" t="s">
        <v>17</v>
      </c>
      <c r="B3746" t="str">
        <f>"688093"</f>
        <v>688093</v>
      </c>
      <c r="C3746" t="s">
        <v>7834</v>
      </c>
      <c r="D3746" t="s">
        <v>221</v>
      </c>
      <c r="E3746">
        <v>125297624</v>
      </c>
      <c r="F3746">
        <v>125205869</v>
      </c>
      <c r="G3746">
        <v>87255145</v>
      </c>
      <c r="H3746">
        <v>0</v>
      </c>
      <c r="P3746">
        <v>59</v>
      </c>
      <c r="Q3746" t="s">
        <v>7835</v>
      </c>
    </row>
    <row r="3747" spans="1:17" x14ac:dyDescent="0.3">
      <c r="A3747" t="s">
        <v>17</v>
      </c>
      <c r="B3747" t="str">
        <f>"688321"</f>
        <v>688321</v>
      </c>
      <c r="C3747" t="s">
        <v>7836</v>
      </c>
      <c r="D3747" t="s">
        <v>543</v>
      </c>
      <c r="E3747">
        <v>125263168</v>
      </c>
      <c r="F3747">
        <v>112973406</v>
      </c>
      <c r="G3747">
        <v>74456220</v>
      </c>
      <c r="H3747">
        <v>55195202</v>
      </c>
      <c r="I3747">
        <v>27366548</v>
      </c>
      <c r="P3747">
        <v>157</v>
      </c>
      <c r="Q3747" t="s">
        <v>7837</v>
      </c>
    </row>
    <row r="3748" spans="1:17" x14ac:dyDescent="0.3">
      <c r="A3748" t="s">
        <v>17</v>
      </c>
      <c r="B3748" t="str">
        <f>"603530"</f>
        <v>603530</v>
      </c>
      <c r="C3748" t="s">
        <v>7838</v>
      </c>
      <c r="D3748" t="s">
        <v>562</v>
      </c>
      <c r="E3748">
        <v>125202011</v>
      </c>
      <c r="F3748">
        <v>106901444</v>
      </c>
      <c r="G3748">
        <v>91574543</v>
      </c>
      <c r="H3748">
        <v>132234130</v>
      </c>
      <c r="P3748">
        <v>88</v>
      </c>
      <c r="Q3748" t="s">
        <v>7839</v>
      </c>
    </row>
    <row r="3749" spans="1:17" x14ac:dyDescent="0.3">
      <c r="A3749" t="s">
        <v>75</v>
      </c>
      <c r="B3749" t="str">
        <f>"301057"</f>
        <v>301057</v>
      </c>
      <c r="C3749" t="s">
        <v>7840</v>
      </c>
      <c r="D3749" t="s">
        <v>519</v>
      </c>
      <c r="E3749">
        <v>125068967</v>
      </c>
      <c r="P3749">
        <v>16</v>
      </c>
      <c r="Q3749" t="s">
        <v>7841</v>
      </c>
    </row>
    <row r="3750" spans="1:17" x14ac:dyDescent="0.3">
      <c r="A3750" t="s">
        <v>17</v>
      </c>
      <c r="B3750" t="str">
        <f>"603696"</f>
        <v>603696</v>
      </c>
      <c r="C3750" t="s">
        <v>7842</v>
      </c>
      <c r="D3750" t="s">
        <v>774</v>
      </c>
      <c r="E3750">
        <v>125012747</v>
      </c>
      <c r="F3750">
        <v>125185743</v>
      </c>
      <c r="G3750">
        <v>72993924</v>
      </c>
      <c r="H3750">
        <v>119818154</v>
      </c>
      <c r="I3750">
        <v>65083910</v>
      </c>
      <c r="J3750">
        <v>45148816</v>
      </c>
      <c r="K3750">
        <v>57460018</v>
      </c>
      <c r="L3750">
        <v>60824334</v>
      </c>
      <c r="P3750">
        <v>195</v>
      </c>
      <c r="Q3750" t="s">
        <v>7843</v>
      </c>
    </row>
    <row r="3751" spans="1:17" x14ac:dyDescent="0.3">
      <c r="A3751" t="s">
        <v>75</v>
      </c>
      <c r="B3751" t="str">
        <f>"002652"</f>
        <v>002652</v>
      </c>
      <c r="C3751" t="s">
        <v>7844</v>
      </c>
      <c r="D3751" t="s">
        <v>1257</v>
      </c>
      <c r="E3751">
        <v>124996006</v>
      </c>
      <c r="F3751">
        <v>280985211</v>
      </c>
      <c r="G3751">
        <v>494940499</v>
      </c>
      <c r="H3751">
        <v>551014447</v>
      </c>
      <c r="I3751">
        <v>653485272</v>
      </c>
      <c r="J3751">
        <v>1583314787</v>
      </c>
      <c r="K3751">
        <v>352186239</v>
      </c>
      <c r="L3751">
        <v>314052704</v>
      </c>
      <c r="M3751">
        <v>352117133</v>
      </c>
      <c r="N3751">
        <v>315627032</v>
      </c>
      <c r="O3751">
        <v>351329559</v>
      </c>
      <c r="P3751">
        <v>58</v>
      </c>
      <c r="Q3751" t="s">
        <v>7845</v>
      </c>
    </row>
    <row r="3752" spans="1:17" x14ac:dyDescent="0.3">
      <c r="A3752" t="s">
        <v>17</v>
      </c>
      <c r="B3752" t="str">
        <f>"603159"</f>
        <v>603159</v>
      </c>
      <c r="C3752" t="s">
        <v>7846</v>
      </c>
      <c r="D3752" t="s">
        <v>1624</v>
      </c>
      <c r="E3752">
        <v>124959211</v>
      </c>
      <c r="F3752">
        <v>184627520</v>
      </c>
      <c r="G3752">
        <v>140588021</v>
      </c>
      <c r="H3752">
        <v>188467716</v>
      </c>
      <c r="I3752">
        <v>206293630</v>
      </c>
      <c r="J3752">
        <v>164055681</v>
      </c>
      <c r="K3752">
        <v>119808948</v>
      </c>
      <c r="L3752">
        <v>0</v>
      </c>
      <c r="P3752">
        <v>62</v>
      </c>
      <c r="Q3752" t="s">
        <v>7847</v>
      </c>
    </row>
    <row r="3753" spans="1:17" x14ac:dyDescent="0.3">
      <c r="A3753" t="s">
        <v>17</v>
      </c>
      <c r="B3753" t="str">
        <f>"603912"</f>
        <v>603912</v>
      </c>
      <c r="C3753" t="s">
        <v>7848</v>
      </c>
      <c r="D3753" t="s">
        <v>2626</v>
      </c>
      <c r="E3753">
        <v>124939569</v>
      </c>
      <c r="F3753">
        <v>113409165</v>
      </c>
      <c r="G3753">
        <v>64421493</v>
      </c>
      <c r="H3753">
        <v>98945127</v>
      </c>
      <c r="I3753">
        <v>80313119</v>
      </c>
      <c r="J3753">
        <v>83371109</v>
      </c>
      <c r="P3753">
        <v>286</v>
      </c>
      <c r="Q3753" t="s">
        <v>7849</v>
      </c>
    </row>
    <row r="3754" spans="1:17" x14ac:dyDescent="0.3">
      <c r="A3754" t="s">
        <v>75</v>
      </c>
      <c r="B3754" t="str">
        <f>"002181"</f>
        <v>002181</v>
      </c>
      <c r="C3754" t="s">
        <v>7850</v>
      </c>
      <c r="D3754" t="s">
        <v>1703</v>
      </c>
      <c r="E3754">
        <v>124931649</v>
      </c>
      <c r="F3754">
        <v>114920801</v>
      </c>
      <c r="G3754">
        <v>119238588</v>
      </c>
      <c r="H3754">
        <v>145165183</v>
      </c>
      <c r="I3754">
        <v>202965246</v>
      </c>
      <c r="J3754">
        <v>233360146</v>
      </c>
      <c r="K3754">
        <v>248816297</v>
      </c>
      <c r="L3754">
        <v>305801863</v>
      </c>
      <c r="M3754">
        <v>316409985</v>
      </c>
      <c r="N3754">
        <v>387729780</v>
      </c>
      <c r="O3754">
        <v>101363108</v>
      </c>
      <c r="P3754">
        <v>107</v>
      </c>
      <c r="Q3754" t="s">
        <v>7851</v>
      </c>
    </row>
    <row r="3755" spans="1:17" x14ac:dyDescent="0.3">
      <c r="A3755" t="s">
        <v>75</v>
      </c>
      <c r="B3755" t="str">
        <f>"300466"</f>
        <v>300466</v>
      </c>
      <c r="C3755" t="s">
        <v>7852</v>
      </c>
      <c r="D3755" t="s">
        <v>2251</v>
      </c>
      <c r="E3755">
        <v>124863840</v>
      </c>
      <c r="F3755">
        <v>99648851</v>
      </c>
      <c r="G3755">
        <v>75960695</v>
      </c>
      <c r="H3755">
        <v>107637502</v>
      </c>
      <c r="I3755">
        <v>85117203</v>
      </c>
      <c r="J3755">
        <v>62295346</v>
      </c>
      <c r="K3755">
        <v>35363593</v>
      </c>
      <c r="L3755">
        <v>29726101</v>
      </c>
      <c r="P3755">
        <v>121</v>
      </c>
      <c r="Q3755" t="s">
        <v>7853</v>
      </c>
    </row>
    <row r="3756" spans="1:17" x14ac:dyDescent="0.3">
      <c r="A3756" t="s">
        <v>75</v>
      </c>
      <c r="B3756" t="str">
        <f>"301186"</f>
        <v>301186</v>
      </c>
      <c r="C3756" t="s">
        <v>7854</v>
      </c>
      <c r="D3756" t="s">
        <v>1321</v>
      </c>
      <c r="E3756">
        <v>124809947</v>
      </c>
      <c r="P3756">
        <v>10</v>
      </c>
      <c r="Q3756" t="s">
        <v>7855</v>
      </c>
    </row>
    <row r="3757" spans="1:17" x14ac:dyDescent="0.3">
      <c r="A3757" t="s">
        <v>75</v>
      </c>
      <c r="B3757" t="str">
        <f>"301248"</f>
        <v>301248</v>
      </c>
      <c r="C3757" t="s">
        <v>7856</v>
      </c>
      <c r="E3757">
        <v>124381552</v>
      </c>
      <c r="P3757">
        <v>2</v>
      </c>
      <c r="Q3757" t="s">
        <v>7857</v>
      </c>
    </row>
    <row r="3758" spans="1:17" x14ac:dyDescent="0.3">
      <c r="A3758" t="s">
        <v>75</v>
      </c>
      <c r="B3758" t="str">
        <f>"300027"</f>
        <v>300027</v>
      </c>
      <c r="C3758" t="s">
        <v>7858</v>
      </c>
      <c r="D3758" t="s">
        <v>2532</v>
      </c>
      <c r="E3758">
        <v>124280009</v>
      </c>
      <c r="F3758">
        <v>674566036</v>
      </c>
      <c r="G3758">
        <v>154506674</v>
      </c>
      <c r="H3758">
        <v>775007963</v>
      </c>
      <c r="I3758">
        <v>1979704252</v>
      </c>
      <c r="J3758">
        <v>803998059</v>
      </c>
      <c r="K3758">
        <v>1002973669</v>
      </c>
      <c r="L3758">
        <v>928132884</v>
      </c>
      <c r="M3758">
        <v>515001798</v>
      </c>
      <c r="N3758">
        <v>433307455</v>
      </c>
      <c r="O3758">
        <v>197464486</v>
      </c>
      <c r="P3758">
        <v>475</v>
      </c>
      <c r="Q3758" t="s">
        <v>7859</v>
      </c>
    </row>
    <row r="3759" spans="1:17" x14ac:dyDescent="0.3">
      <c r="A3759" t="s">
        <v>75</v>
      </c>
      <c r="B3759" t="str">
        <f>"002802"</f>
        <v>002802</v>
      </c>
      <c r="C3759" t="s">
        <v>7860</v>
      </c>
      <c r="D3759" t="s">
        <v>292</v>
      </c>
      <c r="E3759">
        <v>124255378</v>
      </c>
      <c r="F3759">
        <v>98738423</v>
      </c>
      <c r="G3759">
        <v>98324951</v>
      </c>
      <c r="H3759">
        <v>81712298</v>
      </c>
      <c r="I3759">
        <v>65502991</v>
      </c>
      <c r="J3759">
        <v>46148253</v>
      </c>
      <c r="K3759">
        <v>55756180</v>
      </c>
      <c r="L3759">
        <v>42206331</v>
      </c>
      <c r="P3759">
        <v>102</v>
      </c>
      <c r="Q3759" t="s">
        <v>7861</v>
      </c>
    </row>
    <row r="3760" spans="1:17" x14ac:dyDescent="0.3">
      <c r="A3760" t="s">
        <v>17</v>
      </c>
      <c r="B3760" t="str">
        <f>"603779"</f>
        <v>603779</v>
      </c>
      <c r="C3760" t="s">
        <v>7862</v>
      </c>
      <c r="D3760" t="s">
        <v>2575</v>
      </c>
      <c r="E3760">
        <v>123951287</v>
      </c>
      <c r="F3760">
        <v>122392128</v>
      </c>
      <c r="G3760">
        <v>106064520</v>
      </c>
      <c r="H3760">
        <v>224521044</v>
      </c>
      <c r="I3760">
        <v>249102618</v>
      </c>
      <c r="J3760">
        <v>238258228</v>
      </c>
      <c r="K3760">
        <v>188026869</v>
      </c>
      <c r="L3760">
        <v>250872815</v>
      </c>
      <c r="P3760">
        <v>101</v>
      </c>
      <c r="Q3760" t="s">
        <v>7863</v>
      </c>
    </row>
    <row r="3761" spans="1:17" x14ac:dyDescent="0.3">
      <c r="A3761" t="s">
        <v>75</v>
      </c>
      <c r="B3761" t="str">
        <f>"002943"</f>
        <v>002943</v>
      </c>
      <c r="C3761" t="s">
        <v>7864</v>
      </c>
      <c r="D3761" t="s">
        <v>3360</v>
      </c>
      <c r="E3761">
        <v>123910020</v>
      </c>
      <c r="F3761">
        <v>72309004</v>
      </c>
      <c r="G3761">
        <v>118305387</v>
      </c>
      <c r="H3761">
        <v>51047824</v>
      </c>
      <c r="I3761">
        <v>78847500</v>
      </c>
      <c r="P3761">
        <v>74</v>
      </c>
      <c r="Q3761" t="s">
        <v>7865</v>
      </c>
    </row>
    <row r="3762" spans="1:17" x14ac:dyDescent="0.3">
      <c r="A3762" t="s">
        <v>75</v>
      </c>
      <c r="B3762" t="str">
        <f>"300488"</f>
        <v>300488</v>
      </c>
      <c r="C3762" t="s">
        <v>7866</v>
      </c>
      <c r="D3762" t="s">
        <v>153</v>
      </c>
      <c r="E3762">
        <v>123890722</v>
      </c>
      <c r="F3762">
        <v>109662724</v>
      </c>
      <c r="G3762">
        <v>60760832</v>
      </c>
      <c r="H3762">
        <v>77515617</v>
      </c>
      <c r="I3762">
        <v>74959470</v>
      </c>
      <c r="J3762">
        <v>53518086</v>
      </c>
      <c r="K3762">
        <v>40860595</v>
      </c>
      <c r="L3762">
        <v>0</v>
      </c>
      <c r="M3762">
        <v>0</v>
      </c>
      <c r="P3762">
        <v>120</v>
      </c>
      <c r="Q3762" t="s">
        <v>7867</v>
      </c>
    </row>
    <row r="3763" spans="1:17" x14ac:dyDescent="0.3">
      <c r="A3763" t="s">
        <v>17</v>
      </c>
      <c r="B3763" t="str">
        <f>"605289"</f>
        <v>605289</v>
      </c>
      <c r="C3763" t="s">
        <v>7868</v>
      </c>
      <c r="D3763" t="s">
        <v>52</v>
      </c>
      <c r="E3763">
        <v>123819504</v>
      </c>
      <c r="F3763">
        <v>73035405</v>
      </c>
      <c r="G3763">
        <v>115198073</v>
      </c>
      <c r="P3763">
        <v>29</v>
      </c>
      <c r="Q3763" t="s">
        <v>7869</v>
      </c>
    </row>
    <row r="3764" spans="1:17" x14ac:dyDescent="0.3">
      <c r="A3764" t="s">
        <v>75</v>
      </c>
      <c r="B3764" t="str">
        <f>"300045"</f>
        <v>300045</v>
      </c>
      <c r="C3764" t="s">
        <v>7870</v>
      </c>
      <c r="D3764" t="s">
        <v>1572</v>
      </c>
      <c r="E3764">
        <v>123707378</v>
      </c>
      <c r="F3764">
        <v>124553078</v>
      </c>
      <c r="G3764">
        <v>131164056</v>
      </c>
      <c r="H3764">
        <v>81117997</v>
      </c>
      <c r="I3764">
        <v>102303579</v>
      </c>
      <c r="J3764">
        <v>46615792</v>
      </c>
      <c r="K3764">
        <v>44268770</v>
      </c>
      <c r="L3764">
        <v>37423254</v>
      </c>
      <c r="M3764">
        <v>57880001</v>
      </c>
      <c r="N3764">
        <v>52729859</v>
      </c>
      <c r="O3764">
        <v>50547365</v>
      </c>
      <c r="P3764">
        <v>158</v>
      </c>
      <c r="Q3764" t="s">
        <v>7871</v>
      </c>
    </row>
    <row r="3765" spans="1:17" x14ac:dyDescent="0.3">
      <c r="A3765" t="s">
        <v>75</v>
      </c>
      <c r="B3765" t="str">
        <f>"300238"</f>
        <v>300238</v>
      </c>
      <c r="C3765" t="s">
        <v>7872</v>
      </c>
      <c r="D3765" t="s">
        <v>1538</v>
      </c>
      <c r="E3765">
        <v>123519152</v>
      </c>
      <c r="F3765">
        <v>124660882</v>
      </c>
      <c r="G3765">
        <v>107446819</v>
      </c>
      <c r="H3765">
        <v>110228990</v>
      </c>
      <c r="I3765">
        <v>117481950</v>
      </c>
      <c r="J3765">
        <v>105709412</v>
      </c>
      <c r="K3765">
        <v>57392554</v>
      </c>
      <c r="L3765">
        <v>47641185</v>
      </c>
      <c r="M3765">
        <v>40027295</v>
      </c>
      <c r="N3765">
        <v>40754926</v>
      </c>
      <c r="O3765">
        <v>43892061</v>
      </c>
      <c r="P3765">
        <v>195</v>
      </c>
      <c r="Q3765" t="s">
        <v>7873</v>
      </c>
    </row>
    <row r="3766" spans="1:17" x14ac:dyDescent="0.3">
      <c r="A3766" t="s">
        <v>75</v>
      </c>
      <c r="B3766" t="str">
        <f>"002887"</f>
        <v>002887</v>
      </c>
      <c r="C3766" t="s">
        <v>7874</v>
      </c>
      <c r="D3766" t="s">
        <v>2307</v>
      </c>
      <c r="E3766">
        <v>123387456</v>
      </c>
      <c r="F3766">
        <v>286417774</v>
      </c>
      <c r="G3766">
        <v>230060498</v>
      </c>
      <c r="H3766">
        <v>130052836</v>
      </c>
      <c r="I3766">
        <v>117477583</v>
      </c>
      <c r="J3766">
        <v>169945444</v>
      </c>
      <c r="K3766">
        <v>202447872</v>
      </c>
      <c r="P3766">
        <v>167</v>
      </c>
      <c r="Q3766" t="s">
        <v>7875</v>
      </c>
    </row>
    <row r="3767" spans="1:17" x14ac:dyDescent="0.3">
      <c r="A3767" t="s">
        <v>75</v>
      </c>
      <c r="B3767" t="str">
        <f>"300074"</f>
        <v>300074</v>
      </c>
      <c r="C3767" t="s">
        <v>7876</v>
      </c>
      <c r="D3767" t="s">
        <v>116</v>
      </c>
      <c r="E3767">
        <v>123240866</v>
      </c>
      <c r="F3767">
        <v>83779914</v>
      </c>
      <c r="G3767">
        <v>63186354</v>
      </c>
      <c r="H3767">
        <v>75075175</v>
      </c>
      <c r="I3767">
        <v>70553412</v>
      </c>
      <c r="J3767">
        <v>46121100</v>
      </c>
      <c r="K3767">
        <v>53570148</v>
      </c>
      <c r="L3767">
        <v>45341155</v>
      </c>
      <c r="M3767">
        <v>60308980</v>
      </c>
      <c r="N3767">
        <v>33520810</v>
      </c>
      <c r="O3767">
        <v>22123116</v>
      </c>
      <c r="P3767">
        <v>162</v>
      </c>
      <c r="Q3767" t="s">
        <v>7877</v>
      </c>
    </row>
    <row r="3768" spans="1:17" x14ac:dyDescent="0.3">
      <c r="A3768" t="s">
        <v>75</v>
      </c>
      <c r="B3768" t="str">
        <f>"003027"</f>
        <v>003027</v>
      </c>
      <c r="C3768" t="s">
        <v>7878</v>
      </c>
      <c r="D3768" t="s">
        <v>2317</v>
      </c>
      <c r="E3768">
        <v>123076789</v>
      </c>
      <c r="F3768">
        <v>111242544</v>
      </c>
      <c r="G3768">
        <v>118977042</v>
      </c>
      <c r="P3768">
        <v>58</v>
      </c>
      <c r="Q3768" t="s">
        <v>7879</v>
      </c>
    </row>
    <row r="3769" spans="1:17" x14ac:dyDescent="0.3">
      <c r="A3769" t="s">
        <v>17</v>
      </c>
      <c r="B3769" t="str">
        <f>"603797"</f>
        <v>603797</v>
      </c>
      <c r="C3769" t="s">
        <v>7880</v>
      </c>
      <c r="D3769" t="s">
        <v>1107</v>
      </c>
      <c r="E3769">
        <v>122889554</v>
      </c>
      <c r="F3769">
        <v>111163636</v>
      </c>
      <c r="G3769">
        <v>145187614</v>
      </c>
      <c r="H3769">
        <v>91185574</v>
      </c>
      <c r="I3769">
        <v>57857039</v>
      </c>
      <c r="J3769">
        <v>55089646</v>
      </c>
      <c r="K3769">
        <v>45597092</v>
      </c>
      <c r="P3769">
        <v>243</v>
      </c>
      <c r="Q3769" t="s">
        <v>7881</v>
      </c>
    </row>
    <row r="3770" spans="1:17" x14ac:dyDescent="0.3">
      <c r="A3770" t="s">
        <v>17</v>
      </c>
      <c r="B3770" t="str">
        <f>"688365"</f>
        <v>688365</v>
      </c>
      <c r="C3770" t="s">
        <v>7882</v>
      </c>
      <c r="D3770" t="s">
        <v>224</v>
      </c>
      <c r="E3770">
        <v>122885609</v>
      </c>
      <c r="F3770">
        <v>123104984</v>
      </c>
      <c r="G3770">
        <v>97632866</v>
      </c>
      <c r="H3770">
        <v>111697693</v>
      </c>
      <c r="P3770">
        <v>72</v>
      </c>
      <c r="Q3770" t="s">
        <v>7883</v>
      </c>
    </row>
    <row r="3771" spans="1:17" x14ac:dyDescent="0.3">
      <c r="A3771" t="s">
        <v>75</v>
      </c>
      <c r="B3771" t="str">
        <f>"301072"</f>
        <v>301072</v>
      </c>
      <c r="C3771" t="s">
        <v>7884</v>
      </c>
      <c r="D3771" t="s">
        <v>172</v>
      </c>
      <c r="E3771">
        <v>122833755</v>
      </c>
      <c r="P3771">
        <v>17</v>
      </c>
      <c r="Q3771" t="s">
        <v>7885</v>
      </c>
    </row>
    <row r="3772" spans="1:17" x14ac:dyDescent="0.3">
      <c r="A3772" t="s">
        <v>75</v>
      </c>
      <c r="B3772" t="str">
        <f>"301091"</f>
        <v>301091</v>
      </c>
      <c r="C3772" t="s">
        <v>7886</v>
      </c>
      <c r="D3772" t="s">
        <v>2118</v>
      </c>
      <c r="E3772">
        <v>122818014</v>
      </c>
      <c r="F3772">
        <v>105862351</v>
      </c>
      <c r="P3772">
        <v>25</v>
      </c>
      <c r="Q3772" t="s">
        <v>7887</v>
      </c>
    </row>
    <row r="3773" spans="1:17" x14ac:dyDescent="0.3">
      <c r="A3773" t="s">
        <v>75</v>
      </c>
      <c r="B3773" t="str">
        <f>"300338"</f>
        <v>300338</v>
      </c>
      <c r="C3773" t="s">
        <v>7888</v>
      </c>
      <c r="D3773" t="s">
        <v>1739</v>
      </c>
      <c r="E3773">
        <v>122749665</v>
      </c>
      <c r="F3773">
        <v>258923670</v>
      </c>
      <c r="G3773">
        <v>225127537</v>
      </c>
      <c r="H3773">
        <v>390578581</v>
      </c>
      <c r="I3773">
        <v>299547418</v>
      </c>
      <c r="J3773">
        <v>113211420</v>
      </c>
      <c r="K3773">
        <v>58963536</v>
      </c>
      <c r="L3773">
        <v>48254182</v>
      </c>
      <c r="M3773">
        <v>52493941</v>
      </c>
      <c r="N3773">
        <v>50716728</v>
      </c>
      <c r="O3773">
        <v>44365393</v>
      </c>
      <c r="P3773">
        <v>118</v>
      </c>
      <c r="Q3773" t="s">
        <v>7889</v>
      </c>
    </row>
    <row r="3774" spans="1:17" x14ac:dyDescent="0.3">
      <c r="A3774" t="s">
        <v>17</v>
      </c>
      <c r="B3774" t="str">
        <f>"688260"</f>
        <v>688260</v>
      </c>
      <c r="C3774" t="s">
        <v>7890</v>
      </c>
      <c r="D3774" t="s">
        <v>55</v>
      </c>
      <c r="E3774">
        <v>122650142</v>
      </c>
      <c r="F3774">
        <v>122721284</v>
      </c>
      <c r="G3774">
        <v>145934876</v>
      </c>
      <c r="P3774">
        <v>24</v>
      </c>
      <c r="Q3774" t="s">
        <v>7891</v>
      </c>
    </row>
    <row r="3775" spans="1:17" x14ac:dyDescent="0.3">
      <c r="A3775" t="s">
        <v>75</v>
      </c>
      <c r="B3775" t="str">
        <f>"300991"</f>
        <v>300991</v>
      </c>
      <c r="C3775" t="s">
        <v>7892</v>
      </c>
      <c r="D3775" t="s">
        <v>221</v>
      </c>
      <c r="E3775">
        <v>122602298</v>
      </c>
      <c r="F3775">
        <v>160593966</v>
      </c>
      <c r="G3775">
        <v>140456352</v>
      </c>
      <c r="P3775">
        <v>58</v>
      </c>
      <c r="Q3775" t="s">
        <v>7893</v>
      </c>
    </row>
    <row r="3776" spans="1:17" x14ac:dyDescent="0.3">
      <c r="A3776" t="s">
        <v>75</v>
      </c>
      <c r="B3776" t="str">
        <f>"301226"</f>
        <v>301226</v>
      </c>
      <c r="C3776" t="s">
        <v>7894</v>
      </c>
      <c r="E3776">
        <v>122596987</v>
      </c>
      <c r="P3776">
        <v>4</v>
      </c>
      <c r="Q3776" t="s">
        <v>7895</v>
      </c>
    </row>
    <row r="3777" spans="1:17" x14ac:dyDescent="0.3">
      <c r="A3777" t="s">
        <v>75</v>
      </c>
      <c r="B3777" t="str">
        <f>"301235"</f>
        <v>301235</v>
      </c>
      <c r="C3777" t="s">
        <v>7896</v>
      </c>
      <c r="E3777">
        <v>122413800</v>
      </c>
      <c r="P3777">
        <v>11</v>
      </c>
      <c r="Q3777" t="s">
        <v>7897</v>
      </c>
    </row>
    <row r="3778" spans="1:17" x14ac:dyDescent="0.3">
      <c r="A3778" t="s">
        <v>17</v>
      </c>
      <c r="B3778" t="str">
        <f>"688157"</f>
        <v>688157</v>
      </c>
      <c r="C3778" t="s">
        <v>7898</v>
      </c>
      <c r="D3778" t="s">
        <v>4853</v>
      </c>
      <c r="E3778">
        <v>122349197</v>
      </c>
      <c r="F3778">
        <v>131194405</v>
      </c>
      <c r="G3778">
        <v>131062124</v>
      </c>
      <c r="H3778">
        <v>78376131</v>
      </c>
      <c r="P3778">
        <v>100</v>
      </c>
      <c r="Q3778" t="s">
        <v>7899</v>
      </c>
    </row>
    <row r="3779" spans="1:17" x14ac:dyDescent="0.3">
      <c r="A3779" t="s">
        <v>75</v>
      </c>
      <c r="B3779" t="str">
        <f>"003018"</f>
        <v>003018</v>
      </c>
      <c r="C3779" t="s">
        <v>7900</v>
      </c>
      <c r="D3779" t="s">
        <v>1603</v>
      </c>
      <c r="E3779">
        <v>122324094</v>
      </c>
      <c r="F3779">
        <v>95349096</v>
      </c>
      <c r="G3779">
        <v>82807295</v>
      </c>
      <c r="P3779">
        <v>38</v>
      </c>
      <c r="Q3779" t="s">
        <v>7901</v>
      </c>
    </row>
    <row r="3780" spans="1:17" x14ac:dyDescent="0.3">
      <c r="A3780" t="s">
        <v>75</v>
      </c>
      <c r="B3780" t="str">
        <f>"300921"</f>
        <v>300921</v>
      </c>
      <c r="C3780" t="s">
        <v>7902</v>
      </c>
      <c r="D3780" t="s">
        <v>3310</v>
      </c>
      <c r="E3780">
        <v>121833377</v>
      </c>
      <c r="F3780">
        <v>125897876</v>
      </c>
      <c r="G3780">
        <v>100968347</v>
      </c>
      <c r="P3780">
        <v>39</v>
      </c>
      <c r="Q3780" t="s">
        <v>7903</v>
      </c>
    </row>
    <row r="3781" spans="1:17" x14ac:dyDescent="0.3">
      <c r="A3781" t="s">
        <v>75</v>
      </c>
      <c r="B3781" t="str">
        <f>"002211"</f>
        <v>002211</v>
      </c>
      <c r="C3781" t="s">
        <v>7904</v>
      </c>
      <c r="D3781" t="s">
        <v>1112</v>
      </c>
      <c r="E3781">
        <v>121752955</v>
      </c>
      <c r="F3781">
        <v>146535681</v>
      </c>
      <c r="G3781">
        <v>132013724</v>
      </c>
      <c r="H3781">
        <v>228190097</v>
      </c>
      <c r="I3781">
        <v>328349984</v>
      </c>
      <c r="J3781">
        <v>254893893</v>
      </c>
      <c r="K3781">
        <v>171220679</v>
      </c>
      <c r="L3781">
        <v>193643953</v>
      </c>
      <c r="M3781">
        <v>197315738</v>
      </c>
      <c r="N3781">
        <v>187053387</v>
      </c>
      <c r="O3781">
        <v>185505270</v>
      </c>
      <c r="P3781">
        <v>85</v>
      </c>
      <c r="Q3781" t="s">
        <v>7905</v>
      </c>
    </row>
    <row r="3782" spans="1:17" x14ac:dyDescent="0.3">
      <c r="A3782" t="s">
        <v>75</v>
      </c>
      <c r="B3782" t="str">
        <f>"300584"</f>
        <v>300584</v>
      </c>
      <c r="C3782" t="s">
        <v>7906</v>
      </c>
      <c r="D3782" t="s">
        <v>543</v>
      </c>
      <c r="E3782">
        <v>121681320</v>
      </c>
      <c r="F3782">
        <v>178421660</v>
      </c>
      <c r="G3782">
        <v>156534466</v>
      </c>
      <c r="H3782">
        <v>216263955</v>
      </c>
      <c r="I3782">
        <v>179348278</v>
      </c>
      <c r="J3782">
        <v>77424898</v>
      </c>
      <c r="K3782">
        <v>51093168</v>
      </c>
      <c r="P3782">
        <v>195</v>
      </c>
      <c r="Q3782" t="s">
        <v>7907</v>
      </c>
    </row>
    <row r="3783" spans="1:17" x14ac:dyDescent="0.3">
      <c r="A3783" t="s">
        <v>75</v>
      </c>
      <c r="B3783" t="str">
        <f>"300462"</f>
        <v>300462</v>
      </c>
      <c r="C3783" t="s">
        <v>7908</v>
      </c>
      <c r="D3783" t="s">
        <v>508</v>
      </c>
      <c r="E3783">
        <v>121630435</v>
      </c>
      <c r="F3783">
        <v>204060602</v>
      </c>
      <c r="G3783">
        <v>259273274</v>
      </c>
      <c r="H3783">
        <v>67220360</v>
      </c>
      <c r="I3783">
        <v>70709870</v>
      </c>
      <c r="J3783">
        <v>18808646</v>
      </c>
      <c r="K3783">
        <v>53796224</v>
      </c>
      <c r="L3783">
        <v>0</v>
      </c>
      <c r="M3783">
        <v>0</v>
      </c>
      <c r="P3783">
        <v>176</v>
      </c>
      <c r="Q3783" t="s">
        <v>7909</v>
      </c>
    </row>
    <row r="3784" spans="1:17" x14ac:dyDescent="0.3">
      <c r="A3784" t="s">
        <v>17</v>
      </c>
      <c r="B3784" t="str">
        <f>"603058"</f>
        <v>603058</v>
      </c>
      <c r="C3784" t="s">
        <v>7910</v>
      </c>
      <c r="D3784" t="s">
        <v>1176</v>
      </c>
      <c r="E3784">
        <v>121583206</v>
      </c>
      <c r="F3784">
        <v>97773302</v>
      </c>
      <c r="G3784">
        <v>91813760</v>
      </c>
      <c r="H3784">
        <v>34903366</v>
      </c>
      <c r="I3784">
        <v>77182045</v>
      </c>
      <c r="J3784">
        <v>60707060</v>
      </c>
      <c r="K3784">
        <v>64693450</v>
      </c>
      <c r="P3784">
        <v>121</v>
      </c>
      <c r="Q3784" t="s">
        <v>7911</v>
      </c>
    </row>
    <row r="3785" spans="1:17" x14ac:dyDescent="0.3">
      <c r="A3785" t="s">
        <v>75</v>
      </c>
      <c r="B3785" t="str">
        <f>"300010"</f>
        <v>300010</v>
      </c>
      <c r="C3785" t="s">
        <v>7912</v>
      </c>
      <c r="D3785" t="s">
        <v>1739</v>
      </c>
      <c r="E3785">
        <v>121552651</v>
      </c>
      <c r="F3785">
        <v>288114162</v>
      </c>
      <c r="G3785">
        <v>209439049</v>
      </c>
      <c r="H3785">
        <v>351805632</v>
      </c>
      <c r="I3785">
        <v>264098180</v>
      </c>
      <c r="J3785">
        <v>281066253</v>
      </c>
      <c r="K3785">
        <v>158564019</v>
      </c>
      <c r="L3785">
        <v>169173455</v>
      </c>
      <c r="M3785">
        <v>109818386</v>
      </c>
      <c r="N3785">
        <v>107582900</v>
      </c>
      <c r="O3785">
        <v>90092115</v>
      </c>
      <c r="P3785">
        <v>262</v>
      </c>
      <c r="Q3785" t="s">
        <v>7913</v>
      </c>
    </row>
    <row r="3786" spans="1:17" x14ac:dyDescent="0.3">
      <c r="A3786" t="s">
        <v>17</v>
      </c>
      <c r="B3786" t="str">
        <f>"688595"</f>
        <v>688595</v>
      </c>
      <c r="C3786" t="s">
        <v>7914</v>
      </c>
      <c r="D3786" t="s">
        <v>2580</v>
      </c>
      <c r="E3786">
        <v>121182741</v>
      </c>
      <c r="F3786">
        <v>118666352</v>
      </c>
      <c r="G3786">
        <v>79542794</v>
      </c>
      <c r="P3786">
        <v>128</v>
      </c>
      <c r="Q3786" t="s">
        <v>7915</v>
      </c>
    </row>
    <row r="3787" spans="1:17" x14ac:dyDescent="0.3">
      <c r="A3787" t="s">
        <v>17</v>
      </c>
      <c r="B3787" t="str">
        <f>"603037"</f>
        <v>603037</v>
      </c>
      <c r="C3787" t="s">
        <v>7916</v>
      </c>
      <c r="D3787" t="s">
        <v>172</v>
      </c>
      <c r="E3787">
        <v>121006261</v>
      </c>
      <c r="F3787">
        <v>106763193</v>
      </c>
      <c r="G3787">
        <v>138587113</v>
      </c>
      <c r="H3787">
        <v>147944128</v>
      </c>
      <c r="I3787">
        <v>151877589</v>
      </c>
      <c r="J3787">
        <v>85129284</v>
      </c>
      <c r="K3787">
        <v>75920567</v>
      </c>
      <c r="P3787">
        <v>230</v>
      </c>
      <c r="Q3787" t="s">
        <v>7917</v>
      </c>
    </row>
    <row r="3788" spans="1:17" x14ac:dyDescent="0.3">
      <c r="A3788" t="s">
        <v>75</v>
      </c>
      <c r="B3788" t="str">
        <f>"300359"</f>
        <v>300359</v>
      </c>
      <c r="C3788" t="s">
        <v>7918</v>
      </c>
      <c r="D3788" t="s">
        <v>1739</v>
      </c>
      <c r="E3788">
        <v>120837764</v>
      </c>
      <c r="F3788">
        <v>93644347</v>
      </c>
      <c r="G3788">
        <v>91545599</v>
      </c>
      <c r="H3788">
        <v>152949396</v>
      </c>
      <c r="I3788">
        <v>168876474</v>
      </c>
      <c r="J3788">
        <v>154421430</v>
      </c>
      <c r="K3788">
        <v>74395972</v>
      </c>
      <c r="L3788">
        <v>52575607</v>
      </c>
      <c r="M3788">
        <v>40386469</v>
      </c>
      <c r="N3788">
        <v>37144121</v>
      </c>
      <c r="P3788">
        <v>166</v>
      </c>
      <c r="Q3788" t="s">
        <v>7919</v>
      </c>
    </row>
    <row r="3789" spans="1:17" x14ac:dyDescent="0.3">
      <c r="A3789" t="s">
        <v>17</v>
      </c>
      <c r="B3789" t="str">
        <f>"688050"</f>
        <v>688050</v>
      </c>
      <c r="C3789" t="s">
        <v>7920</v>
      </c>
      <c r="D3789" t="s">
        <v>1538</v>
      </c>
      <c r="E3789">
        <v>120725490</v>
      </c>
      <c r="F3789">
        <v>88194967</v>
      </c>
      <c r="G3789">
        <v>27340583</v>
      </c>
      <c r="H3789">
        <v>32765046</v>
      </c>
      <c r="P3789">
        <v>411</v>
      </c>
      <c r="Q3789" t="s">
        <v>7921</v>
      </c>
    </row>
    <row r="3790" spans="1:17" x14ac:dyDescent="0.3">
      <c r="A3790" t="s">
        <v>75</v>
      </c>
      <c r="B3790" t="str">
        <f>"301222"</f>
        <v>301222</v>
      </c>
      <c r="C3790" t="s">
        <v>7922</v>
      </c>
      <c r="E3790">
        <v>120561403</v>
      </c>
      <c r="P3790">
        <v>4</v>
      </c>
      <c r="Q3790" t="s">
        <v>7923</v>
      </c>
    </row>
    <row r="3791" spans="1:17" x14ac:dyDescent="0.3">
      <c r="A3791" t="s">
        <v>75</v>
      </c>
      <c r="B3791" t="str">
        <f>"300656"</f>
        <v>300656</v>
      </c>
      <c r="C3791" t="s">
        <v>7924</v>
      </c>
      <c r="D3791" t="s">
        <v>221</v>
      </c>
      <c r="E3791">
        <v>120503173</v>
      </c>
      <c r="F3791">
        <v>120233943</v>
      </c>
      <c r="G3791">
        <v>67566085</v>
      </c>
      <c r="H3791">
        <v>70739141</v>
      </c>
      <c r="I3791">
        <v>29504904</v>
      </c>
      <c r="J3791">
        <v>22123841</v>
      </c>
      <c r="K3791">
        <v>31279109</v>
      </c>
      <c r="P3791">
        <v>80</v>
      </c>
      <c r="Q3791" t="s">
        <v>7925</v>
      </c>
    </row>
    <row r="3792" spans="1:17" x14ac:dyDescent="0.3">
      <c r="A3792" t="s">
        <v>75</v>
      </c>
      <c r="B3792" t="str">
        <f>"002843"</f>
        <v>002843</v>
      </c>
      <c r="C3792" t="s">
        <v>7926</v>
      </c>
      <c r="D3792" t="s">
        <v>153</v>
      </c>
      <c r="E3792">
        <v>120482881</v>
      </c>
      <c r="F3792">
        <v>103240560</v>
      </c>
      <c r="G3792">
        <v>91036434</v>
      </c>
      <c r="H3792">
        <v>106633720</v>
      </c>
      <c r="I3792">
        <v>97053487</v>
      </c>
      <c r="J3792">
        <v>61616057</v>
      </c>
      <c r="K3792">
        <v>59693116</v>
      </c>
      <c r="P3792">
        <v>74</v>
      </c>
      <c r="Q3792" t="s">
        <v>7927</v>
      </c>
    </row>
    <row r="3793" spans="1:17" x14ac:dyDescent="0.3">
      <c r="A3793" t="s">
        <v>75</v>
      </c>
      <c r="B3793" t="str">
        <f>"300126"</f>
        <v>300126</v>
      </c>
      <c r="C3793" t="s">
        <v>7928</v>
      </c>
      <c r="D3793" t="s">
        <v>1424</v>
      </c>
      <c r="E3793">
        <v>120482255</v>
      </c>
      <c r="F3793">
        <v>104105545</v>
      </c>
      <c r="G3793">
        <v>72834816</v>
      </c>
      <c r="H3793">
        <v>136559673</v>
      </c>
      <c r="I3793">
        <v>153081319</v>
      </c>
      <c r="J3793">
        <v>92462312</v>
      </c>
      <c r="K3793">
        <v>99190506</v>
      </c>
      <c r="L3793">
        <v>83499082</v>
      </c>
      <c r="M3793">
        <v>113482833</v>
      </c>
      <c r="N3793">
        <v>132181487</v>
      </c>
      <c r="O3793">
        <v>100417572</v>
      </c>
      <c r="P3793">
        <v>50</v>
      </c>
      <c r="Q3793" t="s">
        <v>7929</v>
      </c>
    </row>
    <row r="3794" spans="1:17" x14ac:dyDescent="0.3">
      <c r="A3794" t="s">
        <v>75</v>
      </c>
      <c r="B3794" t="str">
        <f>"002806"</f>
        <v>002806</v>
      </c>
      <c r="C3794" t="s">
        <v>7930</v>
      </c>
      <c r="D3794" t="s">
        <v>96</v>
      </c>
      <c r="E3794">
        <v>120341619</v>
      </c>
      <c r="F3794">
        <v>51722081</v>
      </c>
      <c r="G3794">
        <v>40224089</v>
      </c>
      <c r="H3794">
        <v>103949568</v>
      </c>
      <c r="I3794">
        <v>91120096</v>
      </c>
      <c r="J3794">
        <v>107664125</v>
      </c>
      <c r="K3794">
        <v>83614875</v>
      </c>
      <c r="L3794">
        <v>71370823</v>
      </c>
      <c r="P3794">
        <v>100</v>
      </c>
      <c r="Q3794" t="s">
        <v>7931</v>
      </c>
    </row>
    <row r="3795" spans="1:17" x14ac:dyDescent="0.3">
      <c r="A3795" t="s">
        <v>75</v>
      </c>
      <c r="B3795" t="str">
        <f>"300551"</f>
        <v>300551</v>
      </c>
      <c r="C3795" t="s">
        <v>7932</v>
      </c>
      <c r="D3795" t="s">
        <v>508</v>
      </c>
      <c r="E3795">
        <v>120322294</v>
      </c>
      <c r="F3795">
        <v>30758280</v>
      </c>
      <c r="G3795">
        <v>28433950</v>
      </c>
      <c r="H3795">
        <v>26371630</v>
      </c>
      <c r="I3795">
        <v>35270588</v>
      </c>
      <c r="J3795">
        <v>42491744</v>
      </c>
      <c r="K3795">
        <v>31580197</v>
      </c>
      <c r="P3795">
        <v>89</v>
      </c>
      <c r="Q3795" t="s">
        <v>7933</v>
      </c>
    </row>
    <row r="3796" spans="1:17" x14ac:dyDescent="0.3">
      <c r="A3796" t="s">
        <v>75</v>
      </c>
      <c r="B3796" t="str">
        <f>"002777"</f>
        <v>002777</v>
      </c>
      <c r="C3796" t="s">
        <v>7934</v>
      </c>
      <c r="D3796" t="s">
        <v>224</v>
      </c>
      <c r="E3796">
        <v>120227994</v>
      </c>
      <c r="F3796">
        <v>154505091</v>
      </c>
      <c r="G3796">
        <v>90637978</v>
      </c>
      <c r="H3796">
        <v>106973235</v>
      </c>
      <c r="I3796">
        <v>81126721</v>
      </c>
      <c r="J3796">
        <v>64812925</v>
      </c>
      <c r="K3796">
        <v>84708224</v>
      </c>
      <c r="L3796">
        <v>0</v>
      </c>
      <c r="P3796">
        <v>372</v>
      </c>
      <c r="Q3796" t="s">
        <v>7935</v>
      </c>
    </row>
    <row r="3797" spans="1:17" x14ac:dyDescent="0.3">
      <c r="A3797" t="s">
        <v>17</v>
      </c>
      <c r="B3797" t="str">
        <f>"688216"</f>
        <v>688216</v>
      </c>
      <c r="C3797" t="s">
        <v>7936</v>
      </c>
      <c r="D3797" t="s">
        <v>613</v>
      </c>
      <c r="E3797">
        <v>120115285</v>
      </c>
      <c r="F3797">
        <v>134826648</v>
      </c>
      <c r="G3797">
        <v>74259467</v>
      </c>
      <c r="P3797">
        <v>26</v>
      </c>
      <c r="Q3797" t="s">
        <v>7937</v>
      </c>
    </row>
    <row r="3798" spans="1:17" x14ac:dyDescent="0.3">
      <c r="A3798" t="s">
        <v>17</v>
      </c>
      <c r="B3798" t="str">
        <f>"688418"</f>
        <v>688418</v>
      </c>
      <c r="C3798" t="s">
        <v>7938</v>
      </c>
      <c r="D3798" t="s">
        <v>4225</v>
      </c>
      <c r="E3798">
        <v>120019409</v>
      </c>
      <c r="F3798">
        <v>66015115</v>
      </c>
      <c r="G3798">
        <v>56915581</v>
      </c>
      <c r="H3798">
        <v>94486993</v>
      </c>
      <c r="P3798">
        <v>40</v>
      </c>
      <c r="Q3798" t="s">
        <v>7939</v>
      </c>
    </row>
    <row r="3799" spans="1:17" x14ac:dyDescent="0.3">
      <c r="A3799" t="s">
        <v>75</v>
      </c>
      <c r="B3799" t="str">
        <f>"300125"</f>
        <v>300125</v>
      </c>
      <c r="C3799" t="s">
        <v>7940</v>
      </c>
      <c r="D3799" t="s">
        <v>3126</v>
      </c>
      <c r="E3799">
        <v>119941303</v>
      </c>
      <c r="F3799">
        <v>103267021</v>
      </c>
      <c r="G3799">
        <v>9242067</v>
      </c>
      <c r="H3799">
        <v>5739729</v>
      </c>
      <c r="I3799">
        <v>17226375</v>
      </c>
      <c r="J3799">
        <v>16297949</v>
      </c>
      <c r="K3799">
        <v>30005707</v>
      </c>
      <c r="L3799">
        <v>95346540</v>
      </c>
      <c r="M3799">
        <v>103364168</v>
      </c>
      <c r="N3799">
        <v>100511694</v>
      </c>
      <c r="O3799">
        <v>140159939</v>
      </c>
      <c r="P3799">
        <v>59</v>
      </c>
      <c r="Q3799" t="s">
        <v>7941</v>
      </c>
    </row>
    <row r="3800" spans="1:17" x14ac:dyDescent="0.3">
      <c r="A3800" t="s">
        <v>75</v>
      </c>
      <c r="B3800" t="str">
        <f>"300397"</f>
        <v>300397</v>
      </c>
      <c r="C3800" t="s">
        <v>7942</v>
      </c>
      <c r="D3800" t="s">
        <v>1551</v>
      </c>
      <c r="E3800">
        <v>119833553</v>
      </c>
      <c r="F3800">
        <v>306065095</v>
      </c>
      <c r="G3800">
        <v>186200467</v>
      </c>
      <c r="H3800">
        <v>90469609</v>
      </c>
      <c r="I3800">
        <v>43649907</v>
      </c>
      <c r="J3800">
        <v>65206007</v>
      </c>
      <c r="K3800">
        <v>22929317</v>
      </c>
      <c r="L3800">
        <v>24632000</v>
      </c>
      <c r="M3800">
        <v>55640220</v>
      </c>
      <c r="P3800">
        <v>232</v>
      </c>
      <c r="Q3800" t="s">
        <v>7943</v>
      </c>
    </row>
    <row r="3801" spans="1:17" x14ac:dyDescent="0.3">
      <c r="A3801" t="s">
        <v>75</v>
      </c>
      <c r="B3801" t="str">
        <f>"002077"</f>
        <v>002077</v>
      </c>
      <c r="C3801" t="s">
        <v>7944</v>
      </c>
      <c r="D3801" t="s">
        <v>613</v>
      </c>
      <c r="E3801">
        <v>119687188</v>
      </c>
      <c r="F3801">
        <v>167851800</v>
      </c>
      <c r="G3801">
        <v>143570896</v>
      </c>
      <c r="H3801">
        <v>194022844</v>
      </c>
      <c r="I3801">
        <v>254707063</v>
      </c>
      <c r="J3801">
        <v>429274504</v>
      </c>
      <c r="K3801">
        <v>177683181</v>
      </c>
      <c r="L3801">
        <v>64225644</v>
      </c>
      <c r="M3801">
        <v>154212826</v>
      </c>
      <c r="N3801">
        <v>125981759</v>
      </c>
      <c r="O3801">
        <v>212625986</v>
      </c>
      <c r="P3801">
        <v>125</v>
      </c>
      <c r="Q3801" t="s">
        <v>7945</v>
      </c>
    </row>
    <row r="3802" spans="1:17" x14ac:dyDescent="0.3">
      <c r="A3802" t="s">
        <v>75</v>
      </c>
      <c r="B3802" t="str">
        <f>"300653"</f>
        <v>300653</v>
      </c>
      <c r="C3802" t="s">
        <v>7946</v>
      </c>
      <c r="D3802" t="s">
        <v>1538</v>
      </c>
      <c r="E3802">
        <v>119548871</v>
      </c>
      <c r="F3802">
        <v>93020305</v>
      </c>
      <c r="G3802">
        <v>52439816</v>
      </c>
      <c r="H3802">
        <v>64387104</v>
      </c>
      <c r="I3802">
        <v>50708333</v>
      </c>
      <c r="J3802">
        <v>37786905</v>
      </c>
      <c r="K3802">
        <v>29120552</v>
      </c>
      <c r="P3802">
        <v>898</v>
      </c>
      <c r="Q3802" t="s">
        <v>7947</v>
      </c>
    </row>
    <row r="3803" spans="1:17" x14ac:dyDescent="0.3">
      <c r="A3803" t="s">
        <v>75</v>
      </c>
      <c r="B3803" t="str">
        <f>"000695"</f>
        <v>000695</v>
      </c>
      <c r="C3803" t="s">
        <v>7948</v>
      </c>
      <c r="D3803" t="s">
        <v>3395</v>
      </c>
      <c r="E3803">
        <v>119532726</v>
      </c>
      <c r="F3803">
        <v>126373103</v>
      </c>
      <c r="G3803">
        <v>68619459</v>
      </c>
      <c r="H3803">
        <v>75213919</v>
      </c>
      <c r="I3803">
        <v>354663424</v>
      </c>
      <c r="J3803">
        <v>260208751</v>
      </c>
      <c r="K3803">
        <v>233004785</v>
      </c>
      <c r="L3803">
        <v>212486516</v>
      </c>
      <c r="M3803">
        <v>196661051</v>
      </c>
      <c r="N3803">
        <v>271030925</v>
      </c>
      <c r="O3803">
        <v>166945743</v>
      </c>
      <c r="P3803">
        <v>82</v>
      </c>
      <c r="Q3803" t="s">
        <v>7949</v>
      </c>
    </row>
    <row r="3804" spans="1:17" x14ac:dyDescent="0.3">
      <c r="A3804" t="s">
        <v>75</v>
      </c>
      <c r="B3804" t="str">
        <f>"300972"</f>
        <v>300972</v>
      </c>
      <c r="C3804" t="s">
        <v>7950</v>
      </c>
      <c r="D3804" t="s">
        <v>4334</v>
      </c>
      <c r="E3804">
        <v>119507371</v>
      </c>
      <c r="F3804">
        <v>107079033</v>
      </c>
      <c r="G3804">
        <v>135622664</v>
      </c>
      <c r="P3804">
        <v>22</v>
      </c>
      <c r="Q3804" t="s">
        <v>7951</v>
      </c>
    </row>
    <row r="3805" spans="1:17" x14ac:dyDescent="0.3">
      <c r="A3805" t="s">
        <v>17</v>
      </c>
      <c r="B3805" t="str">
        <f>"688129"</f>
        <v>688129</v>
      </c>
      <c r="C3805" t="s">
        <v>7952</v>
      </c>
      <c r="D3805" t="s">
        <v>4853</v>
      </c>
      <c r="E3805">
        <v>119460730</v>
      </c>
      <c r="F3805">
        <v>114989123</v>
      </c>
      <c r="G3805">
        <v>100006043</v>
      </c>
      <c r="P3805">
        <v>38</v>
      </c>
      <c r="Q3805" t="s">
        <v>7953</v>
      </c>
    </row>
    <row r="3806" spans="1:17" x14ac:dyDescent="0.3">
      <c r="A3806" t="s">
        <v>17</v>
      </c>
      <c r="B3806" t="str">
        <f>"600382"</f>
        <v>600382</v>
      </c>
      <c r="C3806" t="s">
        <v>7954</v>
      </c>
      <c r="D3806" t="s">
        <v>1284</v>
      </c>
      <c r="E3806">
        <v>119137720</v>
      </c>
      <c r="F3806">
        <v>68012981</v>
      </c>
      <c r="G3806">
        <v>190045073</v>
      </c>
      <c r="H3806">
        <v>219591343</v>
      </c>
      <c r="I3806">
        <v>122382211</v>
      </c>
      <c r="J3806">
        <v>76213332</v>
      </c>
      <c r="K3806">
        <v>47905991</v>
      </c>
      <c r="L3806">
        <v>10545065</v>
      </c>
      <c r="M3806">
        <v>708971</v>
      </c>
      <c r="N3806">
        <v>25481358</v>
      </c>
      <c r="O3806">
        <v>33491339</v>
      </c>
      <c r="P3806">
        <v>156</v>
      </c>
      <c r="Q3806" t="s">
        <v>7955</v>
      </c>
    </row>
    <row r="3807" spans="1:17" x14ac:dyDescent="0.3">
      <c r="A3807" t="s">
        <v>75</v>
      </c>
      <c r="B3807" t="str">
        <f>"000982"</f>
        <v>000982</v>
      </c>
      <c r="C3807" t="s">
        <v>7956</v>
      </c>
      <c r="D3807" t="s">
        <v>2832</v>
      </c>
      <c r="E3807">
        <v>119105523</v>
      </c>
      <c r="F3807">
        <v>70439089</v>
      </c>
      <c r="G3807">
        <v>12071055</v>
      </c>
      <c r="H3807">
        <v>374174809</v>
      </c>
      <c r="I3807">
        <v>628735041</v>
      </c>
      <c r="J3807">
        <v>658759939</v>
      </c>
      <c r="K3807">
        <v>618857457</v>
      </c>
      <c r="L3807">
        <v>725724831</v>
      </c>
      <c r="M3807">
        <v>397380335</v>
      </c>
      <c r="N3807">
        <v>642676354</v>
      </c>
      <c r="O3807">
        <v>505241242</v>
      </c>
      <c r="P3807">
        <v>83</v>
      </c>
      <c r="Q3807" t="s">
        <v>7957</v>
      </c>
    </row>
    <row r="3808" spans="1:17" x14ac:dyDescent="0.3">
      <c r="A3808" t="s">
        <v>17</v>
      </c>
      <c r="B3808" t="str">
        <f>"688621"</f>
        <v>688621</v>
      </c>
      <c r="C3808" t="s">
        <v>7958</v>
      </c>
      <c r="D3808" t="s">
        <v>716</v>
      </c>
      <c r="E3808">
        <v>118889729</v>
      </c>
      <c r="F3808">
        <v>87803168</v>
      </c>
      <c r="G3808">
        <v>64530018</v>
      </c>
      <c r="P3808">
        <v>63</v>
      </c>
      <c r="Q3808" t="s">
        <v>7959</v>
      </c>
    </row>
    <row r="3809" spans="1:17" x14ac:dyDescent="0.3">
      <c r="A3809" t="s">
        <v>17</v>
      </c>
      <c r="B3809" t="str">
        <f>"688167"</f>
        <v>688167</v>
      </c>
      <c r="C3809" t="s">
        <v>7960</v>
      </c>
      <c r="D3809" t="s">
        <v>1497</v>
      </c>
      <c r="E3809">
        <v>118734652</v>
      </c>
      <c r="P3809">
        <v>32</v>
      </c>
      <c r="Q3809" t="s">
        <v>7961</v>
      </c>
    </row>
    <row r="3810" spans="1:17" x14ac:dyDescent="0.3">
      <c r="A3810" t="s">
        <v>75</v>
      </c>
      <c r="B3810" t="str">
        <f>"301258"</f>
        <v>301258</v>
      </c>
      <c r="C3810" t="s">
        <v>7962</v>
      </c>
      <c r="E3810">
        <v>118487808</v>
      </c>
      <c r="P3810">
        <v>4</v>
      </c>
      <c r="Q3810" t="s">
        <v>7963</v>
      </c>
    </row>
    <row r="3811" spans="1:17" x14ac:dyDescent="0.3">
      <c r="A3811" t="s">
        <v>75</v>
      </c>
      <c r="B3811" t="str">
        <f>"300905"</f>
        <v>300905</v>
      </c>
      <c r="C3811" t="s">
        <v>7964</v>
      </c>
      <c r="D3811" t="s">
        <v>1160</v>
      </c>
      <c r="E3811">
        <v>118185733</v>
      </c>
      <c r="F3811">
        <v>85347004</v>
      </c>
      <c r="G3811">
        <v>69915315</v>
      </c>
      <c r="P3811">
        <v>54</v>
      </c>
      <c r="Q3811" t="s">
        <v>7965</v>
      </c>
    </row>
    <row r="3812" spans="1:17" x14ac:dyDescent="0.3">
      <c r="A3812" t="s">
        <v>75</v>
      </c>
      <c r="B3812" t="str">
        <f>"300688"</f>
        <v>300688</v>
      </c>
      <c r="C3812" t="s">
        <v>7966</v>
      </c>
      <c r="D3812" t="s">
        <v>1739</v>
      </c>
      <c r="E3812">
        <v>118059436</v>
      </c>
      <c r="F3812">
        <v>42724991</v>
      </c>
      <c r="G3812">
        <v>24185222</v>
      </c>
      <c r="H3812">
        <v>46881735</v>
      </c>
      <c r="I3812">
        <v>33931758</v>
      </c>
      <c r="J3812">
        <v>24807743</v>
      </c>
      <c r="K3812">
        <v>36647156</v>
      </c>
      <c r="P3812">
        <v>83</v>
      </c>
      <c r="Q3812" t="s">
        <v>7967</v>
      </c>
    </row>
    <row r="3813" spans="1:17" x14ac:dyDescent="0.3">
      <c r="A3813" t="s">
        <v>17</v>
      </c>
      <c r="B3813" t="str">
        <f>"688266"</f>
        <v>688266</v>
      </c>
      <c r="C3813" t="s">
        <v>7968</v>
      </c>
      <c r="D3813" t="s">
        <v>543</v>
      </c>
      <c r="E3813">
        <v>117948756</v>
      </c>
      <c r="F3813">
        <v>720000</v>
      </c>
      <c r="G3813">
        <v>0</v>
      </c>
      <c r="H3813">
        <v>0</v>
      </c>
      <c r="P3813">
        <v>102</v>
      </c>
      <c r="Q3813" t="s">
        <v>7969</v>
      </c>
    </row>
    <row r="3814" spans="1:17" x14ac:dyDescent="0.3">
      <c r="A3814" t="s">
        <v>17</v>
      </c>
      <c r="B3814" t="str">
        <f>"603229"</f>
        <v>603229</v>
      </c>
      <c r="C3814" t="s">
        <v>7970</v>
      </c>
      <c r="D3814" t="s">
        <v>1242</v>
      </c>
      <c r="E3814">
        <v>117924757</v>
      </c>
      <c r="F3814">
        <v>90876084</v>
      </c>
      <c r="G3814">
        <v>103588092</v>
      </c>
      <c r="H3814">
        <v>76874098</v>
      </c>
      <c r="I3814">
        <v>87276438</v>
      </c>
      <c r="J3814">
        <v>67859028</v>
      </c>
      <c r="K3814">
        <v>41054969</v>
      </c>
      <c r="P3814">
        <v>164</v>
      </c>
      <c r="Q3814" t="s">
        <v>7971</v>
      </c>
    </row>
    <row r="3815" spans="1:17" x14ac:dyDescent="0.3">
      <c r="A3815" t="s">
        <v>75</v>
      </c>
      <c r="B3815" t="str">
        <f>"301007"</f>
        <v>301007</v>
      </c>
      <c r="C3815" t="s">
        <v>7972</v>
      </c>
      <c r="D3815" t="s">
        <v>172</v>
      </c>
      <c r="E3815">
        <v>117918158</v>
      </c>
      <c r="F3815">
        <v>123619162</v>
      </c>
      <c r="G3815">
        <v>106143383</v>
      </c>
      <c r="P3815">
        <v>44</v>
      </c>
      <c r="Q3815" t="s">
        <v>7973</v>
      </c>
    </row>
    <row r="3816" spans="1:17" x14ac:dyDescent="0.3">
      <c r="A3816" t="s">
        <v>75</v>
      </c>
      <c r="B3816" t="str">
        <f>"300881"</f>
        <v>300881</v>
      </c>
      <c r="C3816" t="s">
        <v>7974</v>
      </c>
      <c r="D3816" t="s">
        <v>238</v>
      </c>
      <c r="E3816">
        <v>117579137</v>
      </c>
      <c r="F3816">
        <v>224600027</v>
      </c>
      <c r="G3816">
        <v>235761491</v>
      </c>
      <c r="P3816">
        <v>31</v>
      </c>
      <c r="Q3816" t="s">
        <v>7975</v>
      </c>
    </row>
    <row r="3817" spans="1:17" x14ac:dyDescent="0.3">
      <c r="A3817" t="s">
        <v>17</v>
      </c>
      <c r="B3817" t="str">
        <f>"688103"</f>
        <v>688103</v>
      </c>
      <c r="C3817" t="s">
        <v>7976</v>
      </c>
      <c r="D3817" t="s">
        <v>221</v>
      </c>
      <c r="E3817">
        <v>117558736</v>
      </c>
      <c r="P3817">
        <v>13</v>
      </c>
      <c r="Q3817" t="s">
        <v>7977</v>
      </c>
    </row>
    <row r="3818" spans="1:17" x14ac:dyDescent="0.3">
      <c r="A3818" t="s">
        <v>75</v>
      </c>
      <c r="B3818" t="str">
        <f>"301127"</f>
        <v>301127</v>
      </c>
      <c r="C3818" t="s">
        <v>7978</v>
      </c>
      <c r="D3818" t="s">
        <v>1107</v>
      </c>
      <c r="E3818">
        <v>117514707</v>
      </c>
      <c r="P3818">
        <v>13</v>
      </c>
      <c r="Q3818" t="s">
        <v>7979</v>
      </c>
    </row>
    <row r="3819" spans="1:17" x14ac:dyDescent="0.3">
      <c r="A3819" t="s">
        <v>17</v>
      </c>
      <c r="B3819" t="str">
        <f>"600080"</f>
        <v>600080</v>
      </c>
      <c r="C3819" t="s">
        <v>7980</v>
      </c>
      <c r="D3819" t="s">
        <v>321</v>
      </c>
      <c r="E3819">
        <v>117436458</v>
      </c>
      <c r="F3819">
        <v>122944081</v>
      </c>
      <c r="G3819">
        <v>134893761</v>
      </c>
      <c r="H3819">
        <v>176642153</v>
      </c>
      <c r="I3819">
        <v>154970804</v>
      </c>
      <c r="J3819">
        <v>183434895</v>
      </c>
      <c r="K3819">
        <v>152204290</v>
      </c>
      <c r="L3819">
        <v>205937060</v>
      </c>
      <c r="M3819">
        <v>96560400</v>
      </c>
      <c r="N3819">
        <v>104501059</v>
      </c>
      <c r="O3819">
        <v>105474816</v>
      </c>
      <c r="P3819">
        <v>97</v>
      </c>
      <c r="Q3819" t="s">
        <v>7981</v>
      </c>
    </row>
    <row r="3820" spans="1:17" x14ac:dyDescent="0.3">
      <c r="A3820" t="s">
        <v>75</v>
      </c>
      <c r="B3820" t="str">
        <f>"000025"</f>
        <v>000025</v>
      </c>
      <c r="C3820" t="s">
        <v>7982</v>
      </c>
      <c r="D3820" t="s">
        <v>150</v>
      </c>
      <c r="E3820">
        <v>117227881</v>
      </c>
      <c r="F3820">
        <v>109848021</v>
      </c>
      <c r="G3820">
        <v>93983432</v>
      </c>
      <c r="H3820">
        <v>108587946</v>
      </c>
      <c r="I3820">
        <v>84345979</v>
      </c>
      <c r="J3820">
        <v>85379958</v>
      </c>
      <c r="K3820">
        <v>72495436</v>
      </c>
      <c r="L3820">
        <v>82736863</v>
      </c>
      <c r="M3820">
        <v>122666420</v>
      </c>
      <c r="N3820">
        <v>110548554</v>
      </c>
      <c r="O3820">
        <v>96520635</v>
      </c>
      <c r="P3820">
        <v>140</v>
      </c>
      <c r="Q3820" t="s">
        <v>7983</v>
      </c>
    </row>
    <row r="3821" spans="1:17" x14ac:dyDescent="0.3">
      <c r="A3821" t="s">
        <v>17</v>
      </c>
      <c r="B3821" t="str">
        <f>"688393"</f>
        <v>688393</v>
      </c>
      <c r="C3821" t="s">
        <v>7984</v>
      </c>
      <c r="D3821" t="s">
        <v>967</v>
      </c>
      <c r="E3821">
        <v>117195664</v>
      </c>
      <c r="F3821">
        <v>85731322</v>
      </c>
      <c r="G3821">
        <v>60352537</v>
      </c>
      <c r="H3821">
        <v>75685948</v>
      </c>
      <c r="P3821">
        <v>76</v>
      </c>
      <c r="Q3821" t="s">
        <v>7985</v>
      </c>
    </row>
    <row r="3822" spans="1:17" x14ac:dyDescent="0.3">
      <c r="A3822" t="s">
        <v>17</v>
      </c>
      <c r="B3822" t="str">
        <f>"603016"</f>
        <v>603016</v>
      </c>
      <c r="C3822" t="s">
        <v>7986</v>
      </c>
      <c r="D3822" t="s">
        <v>546</v>
      </c>
      <c r="E3822">
        <v>117141035</v>
      </c>
      <c r="F3822">
        <v>99465184</v>
      </c>
      <c r="G3822">
        <v>97897754</v>
      </c>
      <c r="H3822">
        <v>97145635</v>
      </c>
      <c r="I3822">
        <v>80689934</v>
      </c>
      <c r="J3822">
        <v>86670001</v>
      </c>
      <c r="K3822">
        <v>82330158</v>
      </c>
      <c r="L3822">
        <v>89253786</v>
      </c>
      <c r="P3822">
        <v>93</v>
      </c>
      <c r="Q3822" t="s">
        <v>7987</v>
      </c>
    </row>
    <row r="3823" spans="1:17" x14ac:dyDescent="0.3">
      <c r="A3823" t="s">
        <v>75</v>
      </c>
      <c r="B3823" t="str">
        <f>"300731"</f>
        <v>300731</v>
      </c>
      <c r="C3823" t="s">
        <v>7988</v>
      </c>
      <c r="D3823" t="s">
        <v>3349</v>
      </c>
      <c r="E3823">
        <v>117030954</v>
      </c>
      <c r="F3823">
        <v>110843768</v>
      </c>
      <c r="G3823">
        <v>70020409</v>
      </c>
      <c r="H3823">
        <v>70783337</v>
      </c>
      <c r="I3823">
        <v>76527858</v>
      </c>
      <c r="J3823">
        <v>56598767</v>
      </c>
      <c r="P3823">
        <v>186</v>
      </c>
      <c r="Q3823" t="s">
        <v>7989</v>
      </c>
    </row>
    <row r="3824" spans="1:17" x14ac:dyDescent="0.3">
      <c r="A3824" t="s">
        <v>75</v>
      </c>
      <c r="B3824" t="str">
        <f>"300669"</f>
        <v>300669</v>
      </c>
      <c r="C3824" t="s">
        <v>7990</v>
      </c>
      <c r="D3824" t="s">
        <v>892</v>
      </c>
      <c r="E3824">
        <v>117002564</v>
      </c>
      <c r="F3824">
        <v>98144475</v>
      </c>
      <c r="G3824">
        <v>83849554</v>
      </c>
      <c r="H3824">
        <v>71960990</v>
      </c>
      <c r="I3824">
        <v>62596269</v>
      </c>
      <c r="J3824">
        <v>66687667</v>
      </c>
      <c r="K3824">
        <v>61520309</v>
      </c>
      <c r="P3824">
        <v>102</v>
      </c>
      <c r="Q3824" t="s">
        <v>7991</v>
      </c>
    </row>
    <row r="3825" spans="1:17" x14ac:dyDescent="0.3">
      <c r="A3825" t="s">
        <v>17</v>
      </c>
      <c r="B3825" t="str">
        <f>"603388"</f>
        <v>603388</v>
      </c>
      <c r="C3825" t="s">
        <v>7992</v>
      </c>
      <c r="D3825" t="s">
        <v>1523</v>
      </c>
      <c r="E3825">
        <v>116886562</v>
      </c>
      <c r="F3825">
        <v>152508279</v>
      </c>
      <c r="G3825">
        <v>149349904</v>
      </c>
      <c r="H3825">
        <v>152067047</v>
      </c>
      <c r="I3825">
        <v>90420782</v>
      </c>
      <c r="J3825">
        <v>98831358</v>
      </c>
      <c r="K3825">
        <v>136807653</v>
      </c>
      <c r="P3825">
        <v>63</v>
      </c>
      <c r="Q3825" t="s">
        <v>7993</v>
      </c>
    </row>
    <row r="3826" spans="1:17" x14ac:dyDescent="0.3">
      <c r="A3826" t="s">
        <v>75</v>
      </c>
      <c r="B3826" t="str">
        <f>"300775"</f>
        <v>300775</v>
      </c>
      <c r="C3826" t="s">
        <v>7994</v>
      </c>
      <c r="D3826" t="s">
        <v>1551</v>
      </c>
      <c r="E3826">
        <v>116807943</v>
      </c>
      <c r="F3826">
        <v>152461954</v>
      </c>
      <c r="G3826">
        <v>47829543</v>
      </c>
      <c r="H3826">
        <v>85348055</v>
      </c>
      <c r="I3826">
        <v>87999155</v>
      </c>
      <c r="P3826">
        <v>186</v>
      </c>
      <c r="Q3826" t="s">
        <v>7995</v>
      </c>
    </row>
    <row r="3827" spans="1:17" x14ac:dyDescent="0.3">
      <c r="A3827" t="s">
        <v>75</v>
      </c>
      <c r="B3827" t="str">
        <f>"001210"</f>
        <v>001210</v>
      </c>
      <c r="C3827" t="s">
        <v>7996</v>
      </c>
      <c r="D3827" t="s">
        <v>446</v>
      </c>
      <c r="E3827">
        <v>116661858</v>
      </c>
      <c r="F3827">
        <v>110405346</v>
      </c>
      <c r="G3827">
        <v>116637526</v>
      </c>
      <c r="P3827">
        <v>27</v>
      </c>
      <c r="Q3827" t="s">
        <v>7997</v>
      </c>
    </row>
    <row r="3828" spans="1:17" x14ac:dyDescent="0.3">
      <c r="A3828" t="s">
        <v>75</v>
      </c>
      <c r="B3828" t="str">
        <f>"002514"</f>
        <v>002514</v>
      </c>
      <c r="C3828" t="s">
        <v>7998</v>
      </c>
      <c r="D3828" t="s">
        <v>153</v>
      </c>
      <c r="E3828">
        <v>116557663</v>
      </c>
      <c r="F3828">
        <v>124929376</v>
      </c>
      <c r="G3828">
        <v>131839440</v>
      </c>
      <c r="H3828">
        <v>274366219</v>
      </c>
      <c r="I3828">
        <v>107634277</v>
      </c>
      <c r="J3828">
        <v>136170612</v>
      </c>
      <c r="K3828">
        <v>109437446</v>
      </c>
      <c r="L3828">
        <v>108432318</v>
      </c>
      <c r="M3828">
        <v>89981139</v>
      </c>
      <c r="N3828">
        <v>81705581</v>
      </c>
      <c r="O3828">
        <v>84052778</v>
      </c>
      <c r="P3828">
        <v>61</v>
      </c>
      <c r="Q3828" t="s">
        <v>7999</v>
      </c>
    </row>
    <row r="3829" spans="1:17" x14ac:dyDescent="0.3">
      <c r="A3829" t="s">
        <v>75</v>
      </c>
      <c r="B3829" t="str">
        <f>"300305"</f>
        <v>300305</v>
      </c>
      <c r="C3829" t="s">
        <v>8000</v>
      </c>
      <c r="D3829" t="s">
        <v>2029</v>
      </c>
      <c r="E3829">
        <v>116283065</v>
      </c>
      <c r="F3829">
        <v>205736969</v>
      </c>
      <c r="G3829">
        <v>180924099</v>
      </c>
      <c r="H3829">
        <v>148836579</v>
      </c>
      <c r="I3829">
        <v>131951667</v>
      </c>
      <c r="J3829">
        <v>111777438</v>
      </c>
      <c r="K3829">
        <v>110227211</v>
      </c>
      <c r="L3829">
        <v>75906234</v>
      </c>
      <c r="M3829">
        <v>68678513</v>
      </c>
      <c r="N3829">
        <v>62637038</v>
      </c>
      <c r="O3829">
        <v>86649097</v>
      </c>
      <c r="P3829">
        <v>147</v>
      </c>
      <c r="Q3829" t="s">
        <v>8001</v>
      </c>
    </row>
    <row r="3830" spans="1:17" x14ac:dyDescent="0.3">
      <c r="A3830" t="s">
        <v>75</v>
      </c>
      <c r="B3830" t="str">
        <f>"301021"</f>
        <v>301021</v>
      </c>
      <c r="C3830" t="s">
        <v>8002</v>
      </c>
      <c r="D3830" t="s">
        <v>1497</v>
      </c>
      <c r="E3830">
        <v>116188013</v>
      </c>
      <c r="F3830">
        <v>76857435</v>
      </c>
      <c r="G3830">
        <v>72019716</v>
      </c>
      <c r="P3830">
        <v>35</v>
      </c>
      <c r="Q3830" t="s">
        <v>8003</v>
      </c>
    </row>
    <row r="3831" spans="1:17" x14ac:dyDescent="0.3">
      <c r="A3831" t="s">
        <v>75</v>
      </c>
      <c r="B3831" t="str">
        <f>"002828"</f>
        <v>002828</v>
      </c>
      <c r="C3831" t="s">
        <v>8004</v>
      </c>
      <c r="D3831" t="s">
        <v>462</v>
      </c>
      <c r="E3831">
        <v>116110561</v>
      </c>
      <c r="F3831">
        <v>214968949</v>
      </c>
      <c r="G3831">
        <v>252792796</v>
      </c>
      <c r="H3831">
        <v>306491027</v>
      </c>
      <c r="I3831">
        <v>162904531</v>
      </c>
      <c r="J3831">
        <v>88651953</v>
      </c>
      <c r="K3831">
        <v>74631532</v>
      </c>
      <c r="P3831">
        <v>73</v>
      </c>
      <c r="Q3831" t="s">
        <v>8005</v>
      </c>
    </row>
    <row r="3832" spans="1:17" x14ac:dyDescent="0.3">
      <c r="A3832" t="s">
        <v>75</v>
      </c>
      <c r="B3832" t="str">
        <f>"301138"</f>
        <v>301138</v>
      </c>
      <c r="C3832" t="s">
        <v>8006</v>
      </c>
      <c r="D3832" t="s">
        <v>1624</v>
      </c>
      <c r="E3832">
        <v>116105831</v>
      </c>
      <c r="P3832">
        <v>16</v>
      </c>
      <c r="Q3832" t="s">
        <v>8007</v>
      </c>
    </row>
    <row r="3833" spans="1:17" x14ac:dyDescent="0.3">
      <c r="A3833" t="s">
        <v>75</v>
      </c>
      <c r="B3833" t="str">
        <f>"000752"</f>
        <v>000752</v>
      </c>
      <c r="C3833" t="s">
        <v>8008</v>
      </c>
      <c r="D3833" t="s">
        <v>671</v>
      </c>
      <c r="E3833">
        <v>115764157</v>
      </c>
      <c r="F3833">
        <v>108163230</v>
      </c>
      <c r="G3833">
        <v>32143696</v>
      </c>
      <c r="H3833">
        <v>82170417</v>
      </c>
      <c r="I3833">
        <v>106714642</v>
      </c>
      <c r="J3833">
        <v>108473322</v>
      </c>
      <c r="K3833">
        <v>116065470</v>
      </c>
      <c r="L3833">
        <v>119839627</v>
      </c>
      <c r="M3833">
        <v>93734432</v>
      </c>
      <c r="N3833">
        <v>136410558</v>
      </c>
      <c r="O3833">
        <v>130195991</v>
      </c>
      <c r="P3833">
        <v>103</v>
      </c>
      <c r="Q3833" t="s">
        <v>8009</v>
      </c>
    </row>
    <row r="3834" spans="1:17" x14ac:dyDescent="0.3">
      <c r="A3834" t="s">
        <v>75</v>
      </c>
      <c r="B3834" t="str">
        <f>"301030"</f>
        <v>301030</v>
      </c>
      <c r="C3834" t="s">
        <v>8010</v>
      </c>
      <c r="D3834" t="s">
        <v>1642</v>
      </c>
      <c r="E3834">
        <v>115693137</v>
      </c>
      <c r="F3834">
        <v>211701090</v>
      </c>
      <c r="G3834">
        <v>34230768</v>
      </c>
      <c r="P3834">
        <v>19</v>
      </c>
      <c r="Q3834" t="s">
        <v>8011</v>
      </c>
    </row>
    <row r="3835" spans="1:17" x14ac:dyDescent="0.3">
      <c r="A3835" t="s">
        <v>75</v>
      </c>
      <c r="B3835" t="str">
        <f>"301083"</f>
        <v>301083</v>
      </c>
      <c r="C3835" t="s">
        <v>8012</v>
      </c>
      <c r="D3835" t="s">
        <v>1624</v>
      </c>
      <c r="E3835">
        <v>115662960</v>
      </c>
      <c r="P3835">
        <v>16</v>
      </c>
      <c r="Q3835" t="s">
        <v>8013</v>
      </c>
    </row>
    <row r="3836" spans="1:17" x14ac:dyDescent="0.3">
      <c r="A3836" t="s">
        <v>75</v>
      </c>
      <c r="B3836" t="str">
        <f>"003002"</f>
        <v>003002</v>
      </c>
      <c r="C3836" t="s">
        <v>8014</v>
      </c>
      <c r="D3836" t="s">
        <v>1830</v>
      </c>
      <c r="E3836">
        <v>115561343</v>
      </c>
      <c r="F3836">
        <v>88966278</v>
      </c>
      <c r="G3836">
        <v>58622807</v>
      </c>
      <c r="P3836">
        <v>39</v>
      </c>
      <c r="Q3836" t="s">
        <v>8015</v>
      </c>
    </row>
    <row r="3837" spans="1:17" x14ac:dyDescent="0.3">
      <c r="A3837" t="s">
        <v>17</v>
      </c>
      <c r="B3837" t="str">
        <f>"603880"</f>
        <v>603880</v>
      </c>
      <c r="C3837" t="s">
        <v>8016</v>
      </c>
      <c r="D3837" t="s">
        <v>1538</v>
      </c>
      <c r="E3837">
        <v>115285575</v>
      </c>
      <c r="F3837">
        <v>99280727</v>
      </c>
      <c r="G3837">
        <v>138385960</v>
      </c>
      <c r="H3837">
        <v>130704269</v>
      </c>
      <c r="I3837">
        <v>75616336</v>
      </c>
      <c r="J3837">
        <v>89884047</v>
      </c>
      <c r="P3837">
        <v>125</v>
      </c>
      <c r="Q3837" t="s">
        <v>8017</v>
      </c>
    </row>
    <row r="3838" spans="1:17" x14ac:dyDescent="0.3">
      <c r="A3838" t="s">
        <v>75</v>
      </c>
      <c r="B3838" t="str">
        <f>"300256"</f>
        <v>300256</v>
      </c>
      <c r="C3838" t="s">
        <v>8018</v>
      </c>
      <c r="D3838" t="s">
        <v>55</v>
      </c>
      <c r="E3838">
        <v>115117588</v>
      </c>
      <c r="F3838">
        <v>2093307103</v>
      </c>
      <c r="G3838">
        <v>1224565693</v>
      </c>
      <c r="H3838">
        <v>843585799</v>
      </c>
      <c r="I3838">
        <v>1123784454</v>
      </c>
      <c r="J3838">
        <v>1163630369</v>
      </c>
      <c r="K3838">
        <v>1029616733</v>
      </c>
      <c r="L3838">
        <v>475762148</v>
      </c>
      <c r="M3838">
        <v>354863910</v>
      </c>
      <c r="N3838">
        <v>135764088</v>
      </c>
      <c r="O3838">
        <v>223449532</v>
      </c>
      <c r="P3838">
        <v>206</v>
      </c>
      <c r="Q3838" t="s">
        <v>8019</v>
      </c>
    </row>
    <row r="3839" spans="1:17" x14ac:dyDescent="0.3">
      <c r="A3839" t="s">
        <v>17</v>
      </c>
      <c r="B3839" t="str">
        <f>"688665"</f>
        <v>688665</v>
      </c>
      <c r="C3839" t="s">
        <v>8020</v>
      </c>
      <c r="D3839" t="s">
        <v>2549</v>
      </c>
      <c r="E3839">
        <v>115105011</v>
      </c>
      <c r="F3839">
        <v>97800064</v>
      </c>
      <c r="G3839">
        <v>44640859</v>
      </c>
      <c r="H3839">
        <v>0</v>
      </c>
      <c r="P3839">
        <v>63</v>
      </c>
      <c r="Q3839" t="s">
        <v>8021</v>
      </c>
    </row>
    <row r="3840" spans="1:17" x14ac:dyDescent="0.3">
      <c r="A3840" t="s">
        <v>75</v>
      </c>
      <c r="B3840" t="str">
        <f>"002592"</f>
        <v>002592</v>
      </c>
      <c r="C3840" t="s">
        <v>8022</v>
      </c>
      <c r="D3840" t="s">
        <v>172</v>
      </c>
      <c r="E3840">
        <v>114938267</v>
      </c>
      <c r="F3840">
        <v>122330439</v>
      </c>
      <c r="G3840">
        <v>96078776</v>
      </c>
      <c r="H3840">
        <v>109885297</v>
      </c>
      <c r="I3840">
        <v>71157183</v>
      </c>
      <c r="J3840">
        <v>140391542</v>
      </c>
      <c r="K3840">
        <v>57044575</v>
      </c>
      <c r="L3840">
        <v>50972056</v>
      </c>
      <c r="M3840">
        <v>87488867</v>
      </c>
      <c r="N3840">
        <v>82675234</v>
      </c>
      <c r="O3840">
        <v>69896491</v>
      </c>
      <c r="P3840">
        <v>76</v>
      </c>
      <c r="Q3840" t="s">
        <v>8023</v>
      </c>
    </row>
    <row r="3841" spans="1:17" x14ac:dyDescent="0.3">
      <c r="A3841" t="s">
        <v>75</v>
      </c>
      <c r="B3841" t="str">
        <f>"300766"</f>
        <v>300766</v>
      </c>
      <c r="C3841" t="s">
        <v>8024</v>
      </c>
      <c r="D3841" t="s">
        <v>989</v>
      </c>
      <c r="E3841">
        <v>114576695</v>
      </c>
      <c r="F3841">
        <v>129644140</v>
      </c>
      <c r="G3841">
        <v>144374463</v>
      </c>
      <c r="H3841">
        <v>145053565</v>
      </c>
      <c r="I3841">
        <v>133836077</v>
      </c>
      <c r="P3841">
        <v>140</v>
      </c>
      <c r="Q3841" t="s">
        <v>8025</v>
      </c>
    </row>
    <row r="3842" spans="1:17" x14ac:dyDescent="0.3">
      <c r="A3842" t="s">
        <v>75</v>
      </c>
      <c r="B3842" t="str">
        <f>"301080"</f>
        <v>301080</v>
      </c>
      <c r="C3842" t="s">
        <v>8026</v>
      </c>
      <c r="D3842" t="s">
        <v>716</v>
      </c>
      <c r="E3842">
        <v>114518618</v>
      </c>
      <c r="F3842">
        <v>80005571</v>
      </c>
      <c r="P3842">
        <v>52</v>
      </c>
      <c r="Q3842" t="s">
        <v>8027</v>
      </c>
    </row>
    <row r="3843" spans="1:17" x14ac:dyDescent="0.3">
      <c r="A3843" t="s">
        <v>75</v>
      </c>
      <c r="B3843" t="str">
        <f>"002502"</f>
        <v>002502</v>
      </c>
      <c r="C3843" t="s">
        <v>8028</v>
      </c>
      <c r="D3843" t="s">
        <v>2532</v>
      </c>
      <c r="E3843">
        <v>114430121</v>
      </c>
      <c r="F3843">
        <v>125211537</v>
      </c>
      <c r="G3843">
        <v>361919618</v>
      </c>
      <c r="H3843">
        <v>84854276</v>
      </c>
      <c r="I3843">
        <v>134888879</v>
      </c>
      <c r="J3843">
        <v>139663595</v>
      </c>
      <c r="K3843">
        <v>196837548</v>
      </c>
      <c r="L3843">
        <v>54071905</v>
      </c>
      <c r="M3843">
        <v>75274552</v>
      </c>
      <c r="N3843">
        <v>32310333</v>
      </c>
      <c r="O3843">
        <v>55117250</v>
      </c>
      <c r="P3843">
        <v>117</v>
      </c>
      <c r="Q3843" t="s">
        <v>8029</v>
      </c>
    </row>
    <row r="3844" spans="1:17" x14ac:dyDescent="0.3">
      <c r="A3844" t="s">
        <v>75</v>
      </c>
      <c r="B3844" t="str">
        <f>"300579"</f>
        <v>300579</v>
      </c>
      <c r="C3844" t="s">
        <v>8030</v>
      </c>
      <c r="D3844" t="s">
        <v>116</v>
      </c>
      <c r="E3844">
        <v>114404865</v>
      </c>
      <c r="F3844">
        <v>144321664</v>
      </c>
      <c r="G3844">
        <v>57445524</v>
      </c>
      <c r="H3844">
        <v>80673524</v>
      </c>
      <c r="I3844">
        <v>68192161</v>
      </c>
      <c r="J3844">
        <v>68430662</v>
      </c>
      <c r="K3844">
        <v>42255811</v>
      </c>
      <c r="P3844">
        <v>335</v>
      </c>
      <c r="Q3844" t="s">
        <v>8031</v>
      </c>
    </row>
    <row r="3845" spans="1:17" x14ac:dyDescent="0.3">
      <c r="A3845" t="s">
        <v>75</v>
      </c>
      <c r="B3845" t="str">
        <f>"301136"</f>
        <v>301136</v>
      </c>
      <c r="C3845" t="s">
        <v>8032</v>
      </c>
      <c r="D3845" t="s">
        <v>2118</v>
      </c>
      <c r="E3845">
        <v>114350607</v>
      </c>
      <c r="P3845">
        <v>9</v>
      </c>
      <c r="Q3845" t="s">
        <v>8033</v>
      </c>
    </row>
    <row r="3846" spans="1:17" x14ac:dyDescent="0.3">
      <c r="A3846" t="s">
        <v>17</v>
      </c>
      <c r="B3846" t="str">
        <f>"600306"</f>
        <v>600306</v>
      </c>
      <c r="C3846" t="s">
        <v>8034</v>
      </c>
      <c r="D3846" t="s">
        <v>582</v>
      </c>
      <c r="E3846">
        <v>114334271</v>
      </c>
      <c r="F3846">
        <v>110477509</v>
      </c>
      <c r="G3846">
        <v>142019112</v>
      </c>
      <c r="H3846">
        <v>325291961</v>
      </c>
      <c r="I3846">
        <v>269277227</v>
      </c>
      <c r="J3846">
        <v>276204961</v>
      </c>
      <c r="K3846">
        <v>318529453</v>
      </c>
      <c r="L3846">
        <v>502646017</v>
      </c>
      <c r="M3846">
        <v>501778134</v>
      </c>
      <c r="N3846">
        <v>570015442</v>
      </c>
      <c r="O3846">
        <v>466450814</v>
      </c>
      <c r="P3846">
        <v>71</v>
      </c>
      <c r="Q3846" t="s">
        <v>8035</v>
      </c>
    </row>
    <row r="3847" spans="1:17" x14ac:dyDescent="0.3">
      <c r="A3847" t="s">
        <v>75</v>
      </c>
      <c r="B3847" t="str">
        <f>"301022"</f>
        <v>301022</v>
      </c>
      <c r="C3847" t="s">
        <v>8036</v>
      </c>
      <c r="D3847" t="s">
        <v>1321</v>
      </c>
      <c r="E3847">
        <v>114111227</v>
      </c>
      <c r="F3847">
        <v>116652361</v>
      </c>
      <c r="G3847">
        <v>78031106</v>
      </c>
      <c r="P3847">
        <v>24</v>
      </c>
      <c r="Q3847" t="s">
        <v>8037</v>
      </c>
    </row>
    <row r="3848" spans="1:17" x14ac:dyDescent="0.3">
      <c r="A3848" t="s">
        <v>75</v>
      </c>
      <c r="B3848" t="str">
        <f>"300823"</f>
        <v>300823</v>
      </c>
      <c r="C3848" t="s">
        <v>8038</v>
      </c>
      <c r="D3848" t="s">
        <v>1624</v>
      </c>
      <c r="E3848">
        <v>113883359</v>
      </c>
      <c r="F3848">
        <v>128293094</v>
      </c>
      <c r="G3848">
        <v>74742087</v>
      </c>
      <c r="H3848">
        <v>114687065</v>
      </c>
      <c r="P3848">
        <v>109</v>
      </c>
      <c r="Q3848" t="s">
        <v>8039</v>
      </c>
    </row>
    <row r="3849" spans="1:17" x14ac:dyDescent="0.3">
      <c r="A3849" t="s">
        <v>17</v>
      </c>
      <c r="B3849" t="str">
        <f>"688557"</f>
        <v>688557</v>
      </c>
      <c r="C3849" t="s">
        <v>8040</v>
      </c>
      <c r="D3849" t="s">
        <v>1424</v>
      </c>
      <c r="E3849">
        <v>113715607</v>
      </c>
      <c r="F3849">
        <v>91179535</v>
      </c>
      <c r="G3849">
        <v>86969393</v>
      </c>
      <c r="H3849">
        <v>0</v>
      </c>
      <c r="P3849">
        <v>47</v>
      </c>
      <c r="Q3849" t="s">
        <v>8041</v>
      </c>
    </row>
    <row r="3850" spans="1:17" x14ac:dyDescent="0.3">
      <c r="A3850" t="s">
        <v>75</v>
      </c>
      <c r="B3850" t="str">
        <f>"300288"</f>
        <v>300288</v>
      </c>
      <c r="C3850" t="s">
        <v>8042</v>
      </c>
      <c r="D3850" t="s">
        <v>224</v>
      </c>
      <c r="E3850">
        <v>113016199</v>
      </c>
      <c r="F3850">
        <v>123322451</v>
      </c>
      <c r="G3850">
        <v>107410061</v>
      </c>
      <c r="H3850">
        <v>132930886</v>
      </c>
      <c r="I3850">
        <v>121829607</v>
      </c>
      <c r="J3850">
        <v>111439860</v>
      </c>
      <c r="K3850">
        <v>115897376</v>
      </c>
      <c r="L3850">
        <v>55823741</v>
      </c>
      <c r="M3850">
        <v>23383291</v>
      </c>
      <c r="N3850">
        <v>28507621</v>
      </c>
      <c r="O3850">
        <v>27286113</v>
      </c>
      <c r="P3850">
        <v>221</v>
      </c>
      <c r="Q3850" t="s">
        <v>8043</v>
      </c>
    </row>
    <row r="3851" spans="1:17" x14ac:dyDescent="0.3">
      <c r="A3851" t="s">
        <v>17</v>
      </c>
      <c r="B3851" t="str">
        <f>"600159"</f>
        <v>600159</v>
      </c>
      <c r="C3851" t="s">
        <v>8044</v>
      </c>
      <c r="D3851" t="s">
        <v>65</v>
      </c>
      <c r="E3851">
        <v>112864831</v>
      </c>
      <c r="F3851">
        <v>224416465</v>
      </c>
      <c r="G3851">
        <v>93863276</v>
      </c>
      <c r="H3851">
        <v>139869510</v>
      </c>
      <c r="I3851">
        <v>107656751</v>
      </c>
      <c r="J3851">
        <v>116007858</v>
      </c>
      <c r="K3851">
        <v>280484325</v>
      </c>
      <c r="L3851">
        <v>146004901</v>
      </c>
      <c r="M3851">
        <v>128432152</v>
      </c>
      <c r="N3851">
        <v>222263984</v>
      </c>
      <c r="O3851">
        <v>25860828</v>
      </c>
      <c r="P3851">
        <v>87</v>
      </c>
      <c r="Q3851" t="s">
        <v>8045</v>
      </c>
    </row>
    <row r="3852" spans="1:17" x14ac:dyDescent="0.3">
      <c r="A3852" t="s">
        <v>75</v>
      </c>
      <c r="B3852" t="str">
        <f>"301043"</f>
        <v>301043</v>
      </c>
      <c r="C3852" t="s">
        <v>8046</v>
      </c>
      <c r="D3852" t="s">
        <v>1424</v>
      </c>
      <c r="E3852">
        <v>112647404</v>
      </c>
      <c r="F3852">
        <v>81104733</v>
      </c>
      <c r="G3852">
        <v>50800485</v>
      </c>
      <c r="P3852">
        <v>18</v>
      </c>
      <c r="Q3852" t="s">
        <v>8047</v>
      </c>
    </row>
    <row r="3853" spans="1:17" x14ac:dyDescent="0.3">
      <c r="A3853" t="s">
        <v>17</v>
      </c>
      <c r="B3853" t="str">
        <f>"601619"</f>
        <v>601619</v>
      </c>
      <c r="C3853" t="s">
        <v>8048</v>
      </c>
      <c r="D3853" t="s">
        <v>869</v>
      </c>
      <c r="E3853">
        <v>112609039</v>
      </c>
      <c r="F3853">
        <v>83675909</v>
      </c>
      <c r="G3853">
        <v>73000111</v>
      </c>
      <c r="H3853">
        <v>104857238</v>
      </c>
      <c r="I3853">
        <v>68313089</v>
      </c>
      <c r="J3853">
        <v>50292829</v>
      </c>
      <c r="K3853">
        <v>0</v>
      </c>
      <c r="P3853">
        <v>184</v>
      </c>
      <c r="Q3853" t="s">
        <v>8049</v>
      </c>
    </row>
    <row r="3854" spans="1:17" x14ac:dyDescent="0.3">
      <c r="A3854" t="s">
        <v>75</v>
      </c>
      <c r="B3854" t="str">
        <f>"301075"</f>
        <v>301075</v>
      </c>
      <c r="C3854" t="s">
        <v>8050</v>
      </c>
      <c r="D3854" t="s">
        <v>543</v>
      </c>
      <c r="E3854">
        <v>112497456</v>
      </c>
      <c r="G3854">
        <v>74098786</v>
      </c>
      <c r="P3854">
        <v>22</v>
      </c>
      <c r="Q3854" t="s">
        <v>8051</v>
      </c>
    </row>
    <row r="3855" spans="1:17" x14ac:dyDescent="0.3">
      <c r="A3855" t="s">
        <v>75</v>
      </c>
      <c r="B3855" t="str">
        <f>"002474"</f>
        <v>002474</v>
      </c>
      <c r="C3855" t="s">
        <v>8052</v>
      </c>
      <c r="D3855" t="s">
        <v>224</v>
      </c>
      <c r="E3855">
        <v>112451185</v>
      </c>
      <c r="F3855">
        <v>142304623</v>
      </c>
      <c r="G3855">
        <v>69125264</v>
      </c>
      <c r="H3855">
        <v>158281510</v>
      </c>
      <c r="I3855">
        <v>122336213</v>
      </c>
      <c r="J3855">
        <v>120535692</v>
      </c>
      <c r="K3855">
        <v>128190911</v>
      </c>
      <c r="L3855">
        <v>100694901</v>
      </c>
      <c r="M3855">
        <v>115664576</v>
      </c>
      <c r="N3855">
        <v>85522238</v>
      </c>
      <c r="O3855">
        <v>149066486</v>
      </c>
      <c r="P3855">
        <v>180</v>
      </c>
      <c r="Q3855" t="s">
        <v>8053</v>
      </c>
    </row>
    <row r="3856" spans="1:17" x14ac:dyDescent="0.3">
      <c r="A3856" t="s">
        <v>17</v>
      </c>
      <c r="B3856" t="str">
        <f>"688663"</f>
        <v>688663</v>
      </c>
      <c r="C3856" t="s">
        <v>8054</v>
      </c>
      <c r="D3856" t="s">
        <v>546</v>
      </c>
      <c r="E3856">
        <v>112404809</v>
      </c>
      <c r="F3856">
        <v>112704266</v>
      </c>
      <c r="G3856">
        <v>70172550</v>
      </c>
      <c r="P3856">
        <v>32</v>
      </c>
      <c r="Q3856" t="s">
        <v>8055</v>
      </c>
    </row>
    <row r="3857" spans="1:17" x14ac:dyDescent="0.3">
      <c r="A3857" t="s">
        <v>75</v>
      </c>
      <c r="B3857" t="str">
        <f>"000410"</f>
        <v>000410</v>
      </c>
      <c r="C3857" t="s">
        <v>8056</v>
      </c>
      <c r="D3857" t="s">
        <v>3360</v>
      </c>
      <c r="E3857">
        <v>112335009</v>
      </c>
      <c r="F3857">
        <v>104822950</v>
      </c>
      <c r="G3857">
        <v>60747311</v>
      </c>
      <c r="H3857">
        <v>341337050</v>
      </c>
      <c r="I3857">
        <v>1121675424</v>
      </c>
      <c r="J3857">
        <v>815869263</v>
      </c>
      <c r="K3857">
        <v>1068241941</v>
      </c>
      <c r="L3857">
        <v>891747207</v>
      </c>
      <c r="M3857">
        <v>1125640033</v>
      </c>
      <c r="N3857">
        <v>822548042</v>
      </c>
      <c r="O3857">
        <v>1866861912</v>
      </c>
      <c r="P3857">
        <v>101</v>
      </c>
      <c r="Q3857" t="s">
        <v>8057</v>
      </c>
    </row>
    <row r="3858" spans="1:17" x14ac:dyDescent="0.3">
      <c r="A3858" t="s">
        <v>75</v>
      </c>
      <c r="B3858" t="str">
        <f>"300796"</f>
        <v>300796</v>
      </c>
      <c r="C3858" t="s">
        <v>8058</v>
      </c>
      <c r="D3858" t="s">
        <v>811</v>
      </c>
      <c r="E3858">
        <v>111860230</v>
      </c>
      <c r="F3858">
        <v>83363822</v>
      </c>
      <c r="G3858">
        <v>111189759</v>
      </c>
      <c r="H3858">
        <v>91084291</v>
      </c>
      <c r="P3858">
        <v>45</v>
      </c>
      <c r="Q3858" t="s">
        <v>8059</v>
      </c>
    </row>
    <row r="3859" spans="1:17" x14ac:dyDescent="0.3">
      <c r="A3859" t="s">
        <v>75</v>
      </c>
      <c r="B3859" t="str">
        <f>"300819"</f>
        <v>300819</v>
      </c>
      <c r="C3859" t="s">
        <v>8060</v>
      </c>
      <c r="D3859" t="s">
        <v>2832</v>
      </c>
      <c r="E3859">
        <v>111662310</v>
      </c>
      <c r="F3859">
        <v>44604080</v>
      </c>
      <c r="G3859">
        <v>84867444</v>
      </c>
      <c r="H3859">
        <v>68252143</v>
      </c>
      <c r="P3859">
        <v>50</v>
      </c>
      <c r="Q3859" t="s">
        <v>8061</v>
      </c>
    </row>
    <row r="3860" spans="1:17" x14ac:dyDescent="0.3">
      <c r="A3860" t="s">
        <v>75</v>
      </c>
      <c r="B3860" t="str">
        <f>"300993"</f>
        <v>300993</v>
      </c>
      <c r="C3860" t="s">
        <v>8062</v>
      </c>
      <c r="D3860" t="s">
        <v>1192</v>
      </c>
      <c r="E3860">
        <v>111641525</v>
      </c>
      <c r="F3860">
        <v>104764572</v>
      </c>
      <c r="G3860">
        <v>65526156</v>
      </c>
      <c r="P3860">
        <v>31</v>
      </c>
      <c r="Q3860" t="s">
        <v>8063</v>
      </c>
    </row>
    <row r="3861" spans="1:17" x14ac:dyDescent="0.3">
      <c r="A3861" t="s">
        <v>17</v>
      </c>
      <c r="B3861" t="str">
        <f>"603139"</f>
        <v>603139</v>
      </c>
      <c r="C3861" t="s">
        <v>8064</v>
      </c>
      <c r="D3861" t="s">
        <v>321</v>
      </c>
      <c r="E3861">
        <v>111607076</v>
      </c>
      <c r="F3861">
        <v>100709903</v>
      </c>
      <c r="G3861">
        <v>92494896</v>
      </c>
      <c r="H3861">
        <v>98483208</v>
      </c>
      <c r="I3861">
        <v>70780553</v>
      </c>
      <c r="J3861">
        <v>57844466</v>
      </c>
      <c r="K3861">
        <v>58867801</v>
      </c>
      <c r="P3861">
        <v>97</v>
      </c>
      <c r="Q3861" t="s">
        <v>8065</v>
      </c>
    </row>
    <row r="3862" spans="1:17" x14ac:dyDescent="0.3">
      <c r="A3862" t="s">
        <v>75</v>
      </c>
      <c r="B3862" t="str">
        <f>"300897"</f>
        <v>300897</v>
      </c>
      <c r="C3862" t="s">
        <v>8066</v>
      </c>
      <c r="D3862" t="s">
        <v>2549</v>
      </c>
      <c r="E3862">
        <v>111534792</v>
      </c>
      <c r="F3862">
        <v>79994430</v>
      </c>
      <c r="G3862">
        <v>35120288</v>
      </c>
      <c r="P3862">
        <v>50</v>
      </c>
      <c r="Q3862" t="s">
        <v>8067</v>
      </c>
    </row>
    <row r="3863" spans="1:17" x14ac:dyDescent="0.3">
      <c r="A3863" t="s">
        <v>75</v>
      </c>
      <c r="B3863" t="str">
        <f>"300689"</f>
        <v>300689</v>
      </c>
      <c r="C3863" t="s">
        <v>8068</v>
      </c>
      <c r="D3863" t="s">
        <v>556</v>
      </c>
      <c r="E3863">
        <v>111513765</v>
      </c>
      <c r="F3863">
        <v>79367559</v>
      </c>
      <c r="G3863">
        <v>96511075</v>
      </c>
      <c r="H3863">
        <v>95581544</v>
      </c>
      <c r="I3863">
        <v>62816737</v>
      </c>
      <c r="J3863">
        <v>80208306</v>
      </c>
      <c r="P3863">
        <v>76</v>
      </c>
      <c r="Q3863" t="s">
        <v>8069</v>
      </c>
    </row>
    <row r="3864" spans="1:17" x14ac:dyDescent="0.3">
      <c r="A3864" t="s">
        <v>75</v>
      </c>
      <c r="B3864" t="str">
        <f>"301182"</f>
        <v>301182</v>
      </c>
      <c r="C3864" t="s">
        <v>8070</v>
      </c>
      <c r="D3864" t="s">
        <v>55</v>
      </c>
      <c r="E3864">
        <v>111464851</v>
      </c>
      <c r="F3864">
        <v>158886214</v>
      </c>
      <c r="P3864">
        <v>11</v>
      </c>
      <c r="Q3864" t="s">
        <v>8071</v>
      </c>
    </row>
    <row r="3865" spans="1:17" x14ac:dyDescent="0.3">
      <c r="A3865" t="s">
        <v>17</v>
      </c>
      <c r="B3865" t="str">
        <f>"605318"</f>
        <v>605318</v>
      </c>
      <c r="C3865" t="s">
        <v>8072</v>
      </c>
      <c r="D3865" t="s">
        <v>1257</v>
      </c>
      <c r="E3865">
        <v>111442468</v>
      </c>
      <c r="F3865">
        <v>82806634</v>
      </c>
      <c r="G3865">
        <v>12391275</v>
      </c>
      <c r="H3865">
        <v>46963049</v>
      </c>
      <c r="P3865">
        <v>58</v>
      </c>
      <c r="Q3865" t="s">
        <v>8073</v>
      </c>
    </row>
    <row r="3866" spans="1:17" x14ac:dyDescent="0.3">
      <c r="A3866" t="s">
        <v>75</v>
      </c>
      <c r="B3866" t="str">
        <f>"301012"</f>
        <v>301012</v>
      </c>
      <c r="C3866" t="s">
        <v>8074</v>
      </c>
      <c r="D3866" t="s">
        <v>347</v>
      </c>
      <c r="E3866">
        <v>111142349</v>
      </c>
      <c r="F3866">
        <v>46901546</v>
      </c>
      <c r="G3866">
        <v>58840635</v>
      </c>
      <c r="P3866">
        <v>23</v>
      </c>
      <c r="Q3866" t="s">
        <v>8075</v>
      </c>
    </row>
    <row r="3867" spans="1:17" x14ac:dyDescent="0.3">
      <c r="A3867" t="s">
        <v>17</v>
      </c>
      <c r="B3867" t="str">
        <f>"603332"</f>
        <v>603332</v>
      </c>
      <c r="C3867" t="s">
        <v>8076</v>
      </c>
      <c r="D3867" t="s">
        <v>519</v>
      </c>
      <c r="E3867">
        <v>111140680</v>
      </c>
      <c r="F3867">
        <v>198833270</v>
      </c>
      <c r="G3867">
        <v>196158301</v>
      </c>
      <c r="H3867">
        <v>398838759</v>
      </c>
      <c r="I3867">
        <v>253774662</v>
      </c>
      <c r="J3867">
        <v>187037989</v>
      </c>
      <c r="P3867">
        <v>59</v>
      </c>
      <c r="Q3867" t="s">
        <v>8077</v>
      </c>
    </row>
    <row r="3868" spans="1:17" x14ac:dyDescent="0.3">
      <c r="A3868" t="s">
        <v>75</v>
      </c>
      <c r="B3868" t="str">
        <f>"300519"</f>
        <v>300519</v>
      </c>
      <c r="C3868" t="s">
        <v>8078</v>
      </c>
      <c r="D3868" t="s">
        <v>321</v>
      </c>
      <c r="E3868">
        <v>111096768</v>
      </c>
      <c r="F3868">
        <v>101061386</v>
      </c>
      <c r="G3868">
        <v>73842291</v>
      </c>
      <c r="H3868">
        <v>85114987</v>
      </c>
      <c r="I3868">
        <v>86426936</v>
      </c>
      <c r="J3868">
        <v>95553160</v>
      </c>
      <c r="K3868">
        <v>111272167</v>
      </c>
      <c r="L3868">
        <v>104691582</v>
      </c>
      <c r="P3868">
        <v>251</v>
      </c>
      <c r="Q3868" t="s">
        <v>8079</v>
      </c>
    </row>
    <row r="3869" spans="1:17" x14ac:dyDescent="0.3">
      <c r="A3869" t="s">
        <v>17</v>
      </c>
      <c r="B3869" t="str">
        <f>"605155"</f>
        <v>605155</v>
      </c>
      <c r="C3869" t="s">
        <v>8080</v>
      </c>
      <c r="D3869" t="s">
        <v>1192</v>
      </c>
      <c r="E3869">
        <v>110933559</v>
      </c>
      <c r="F3869">
        <v>90562825</v>
      </c>
      <c r="G3869">
        <v>68548678</v>
      </c>
      <c r="P3869">
        <v>45</v>
      </c>
      <c r="Q3869" t="s">
        <v>8081</v>
      </c>
    </row>
    <row r="3870" spans="1:17" x14ac:dyDescent="0.3">
      <c r="A3870" t="s">
        <v>75</v>
      </c>
      <c r="B3870" t="str">
        <f>"301031"</f>
        <v>301031</v>
      </c>
      <c r="C3870" t="s">
        <v>8082</v>
      </c>
      <c r="D3870" t="s">
        <v>221</v>
      </c>
      <c r="E3870">
        <v>110858500</v>
      </c>
      <c r="F3870">
        <v>57109612</v>
      </c>
      <c r="G3870">
        <v>47248103</v>
      </c>
      <c r="P3870">
        <v>77</v>
      </c>
      <c r="Q3870" t="s">
        <v>8083</v>
      </c>
    </row>
    <row r="3871" spans="1:17" x14ac:dyDescent="0.3">
      <c r="A3871" t="s">
        <v>75</v>
      </c>
      <c r="B3871" t="str">
        <f>"301122"</f>
        <v>301122</v>
      </c>
      <c r="C3871" t="s">
        <v>8084</v>
      </c>
      <c r="E3871">
        <v>110850068</v>
      </c>
      <c r="P3871">
        <v>14</v>
      </c>
      <c r="Q3871" t="s">
        <v>8085</v>
      </c>
    </row>
    <row r="3872" spans="1:17" x14ac:dyDescent="0.3">
      <c r="A3872" t="s">
        <v>75</v>
      </c>
      <c r="B3872" t="str">
        <f>"300436"</f>
        <v>300436</v>
      </c>
      <c r="C3872" t="s">
        <v>8086</v>
      </c>
      <c r="D3872" t="s">
        <v>543</v>
      </c>
      <c r="E3872">
        <v>110761803</v>
      </c>
      <c r="F3872">
        <v>111699579</v>
      </c>
      <c r="G3872">
        <v>100347324</v>
      </c>
      <c r="H3872">
        <v>123459314</v>
      </c>
      <c r="I3872">
        <v>92616007</v>
      </c>
      <c r="J3872">
        <v>94671958</v>
      </c>
      <c r="K3872">
        <v>91533038</v>
      </c>
      <c r="L3872">
        <v>83257713</v>
      </c>
      <c r="M3872">
        <v>67125903</v>
      </c>
      <c r="P3872">
        <v>135</v>
      </c>
      <c r="Q3872" t="s">
        <v>8087</v>
      </c>
    </row>
    <row r="3873" spans="1:17" x14ac:dyDescent="0.3">
      <c r="A3873" t="s">
        <v>17</v>
      </c>
      <c r="B3873" t="str">
        <f>"603007"</f>
        <v>603007</v>
      </c>
      <c r="C3873" t="s">
        <v>8088</v>
      </c>
      <c r="D3873" t="s">
        <v>1523</v>
      </c>
      <c r="E3873">
        <v>110758716</v>
      </c>
      <c r="F3873">
        <v>301846995</v>
      </c>
      <c r="G3873">
        <v>213639957</v>
      </c>
      <c r="H3873">
        <v>236876030</v>
      </c>
      <c r="I3873">
        <v>148646153</v>
      </c>
      <c r="J3873">
        <v>103787097</v>
      </c>
      <c r="K3873">
        <v>0</v>
      </c>
      <c r="L3873">
        <v>0</v>
      </c>
      <c r="P3873">
        <v>81</v>
      </c>
      <c r="Q3873" t="s">
        <v>8089</v>
      </c>
    </row>
    <row r="3874" spans="1:17" x14ac:dyDescent="0.3">
      <c r="A3874" t="s">
        <v>75</v>
      </c>
      <c r="B3874" t="str">
        <f>"301025"</f>
        <v>301025</v>
      </c>
      <c r="C3874" t="s">
        <v>8090</v>
      </c>
      <c r="D3874" t="s">
        <v>1703</v>
      </c>
      <c r="E3874">
        <v>110405679</v>
      </c>
      <c r="F3874">
        <v>98641018</v>
      </c>
      <c r="G3874">
        <v>87601396</v>
      </c>
      <c r="P3874">
        <v>24</v>
      </c>
      <c r="Q3874" t="s">
        <v>8091</v>
      </c>
    </row>
    <row r="3875" spans="1:17" x14ac:dyDescent="0.3">
      <c r="A3875" t="s">
        <v>75</v>
      </c>
      <c r="B3875" t="str">
        <f>"300920"</f>
        <v>300920</v>
      </c>
      <c r="C3875" t="s">
        <v>8092</v>
      </c>
      <c r="D3875" t="s">
        <v>3251</v>
      </c>
      <c r="E3875">
        <v>110365396</v>
      </c>
      <c r="F3875">
        <v>121913194</v>
      </c>
      <c r="G3875">
        <v>95038819</v>
      </c>
      <c r="P3875">
        <v>46</v>
      </c>
      <c r="Q3875" t="s">
        <v>8093</v>
      </c>
    </row>
    <row r="3876" spans="1:17" x14ac:dyDescent="0.3">
      <c r="A3876" t="s">
        <v>75</v>
      </c>
      <c r="B3876" t="str">
        <f>"300179"</f>
        <v>300179</v>
      </c>
      <c r="C3876" t="s">
        <v>8094</v>
      </c>
      <c r="D3876" t="s">
        <v>3587</v>
      </c>
      <c r="E3876">
        <v>110279502</v>
      </c>
      <c r="F3876">
        <v>82850609</v>
      </c>
      <c r="G3876">
        <v>95060687</v>
      </c>
      <c r="H3876">
        <v>96471362</v>
      </c>
      <c r="I3876">
        <v>97456497</v>
      </c>
      <c r="J3876">
        <v>53970375</v>
      </c>
      <c r="K3876">
        <v>32120883</v>
      </c>
      <c r="L3876">
        <v>41078947</v>
      </c>
      <c r="M3876">
        <v>31884037</v>
      </c>
      <c r="N3876">
        <v>31228782</v>
      </c>
      <c r="O3876">
        <v>25656498</v>
      </c>
      <c r="P3876">
        <v>166</v>
      </c>
      <c r="Q3876" t="s">
        <v>8095</v>
      </c>
    </row>
    <row r="3877" spans="1:17" x14ac:dyDescent="0.3">
      <c r="A3877" t="s">
        <v>17</v>
      </c>
      <c r="B3877" t="str">
        <f>"688500"</f>
        <v>688500</v>
      </c>
      <c r="C3877" t="s">
        <v>8096</v>
      </c>
      <c r="D3877" t="s">
        <v>224</v>
      </c>
      <c r="E3877">
        <v>110154652</v>
      </c>
      <c r="F3877">
        <v>79485624</v>
      </c>
      <c r="G3877">
        <v>62238773</v>
      </c>
      <c r="P3877">
        <v>26</v>
      </c>
      <c r="Q3877" t="s">
        <v>8097</v>
      </c>
    </row>
    <row r="3878" spans="1:17" x14ac:dyDescent="0.3">
      <c r="A3878" t="s">
        <v>17</v>
      </c>
      <c r="B3878" t="str">
        <f>"600826"</f>
        <v>600826</v>
      </c>
      <c r="C3878" t="s">
        <v>8098</v>
      </c>
      <c r="D3878" t="s">
        <v>2570</v>
      </c>
      <c r="E3878">
        <v>110124688</v>
      </c>
      <c r="F3878">
        <v>180690447</v>
      </c>
      <c r="G3878">
        <v>650130008</v>
      </c>
      <c r="H3878">
        <v>747420219</v>
      </c>
      <c r="I3878">
        <v>692870708</v>
      </c>
      <c r="J3878">
        <v>695062635</v>
      </c>
      <c r="K3878">
        <v>606988359</v>
      </c>
      <c r="L3878">
        <v>552087129</v>
      </c>
      <c r="M3878">
        <v>283877833</v>
      </c>
      <c r="N3878">
        <v>310095374</v>
      </c>
      <c r="O3878">
        <v>331351275</v>
      </c>
      <c r="P3878">
        <v>145</v>
      </c>
      <c r="Q3878" t="s">
        <v>8099</v>
      </c>
    </row>
    <row r="3879" spans="1:17" x14ac:dyDescent="0.3">
      <c r="A3879" t="s">
        <v>75</v>
      </c>
      <c r="B3879" t="str">
        <f>"301019"</f>
        <v>301019</v>
      </c>
      <c r="C3879" t="s">
        <v>8100</v>
      </c>
      <c r="D3879" t="s">
        <v>3251</v>
      </c>
      <c r="E3879">
        <v>109883239</v>
      </c>
      <c r="F3879">
        <v>130578511</v>
      </c>
      <c r="G3879">
        <v>80482670</v>
      </c>
      <c r="P3879">
        <v>39</v>
      </c>
      <c r="Q3879" t="s">
        <v>8101</v>
      </c>
    </row>
    <row r="3880" spans="1:17" x14ac:dyDescent="0.3">
      <c r="A3880" t="s">
        <v>75</v>
      </c>
      <c r="B3880" t="str">
        <f>"300589"</f>
        <v>300589</v>
      </c>
      <c r="C3880" t="s">
        <v>8102</v>
      </c>
      <c r="D3880" t="s">
        <v>465</v>
      </c>
      <c r="E3880">
        <v>109792620</v>
      </c>
      <c r="F3880">
        <v>61402949</v>
      </c>
      <c r="G3880">
        <v>84356584</v>
      </c>
      <c r="H3880">
        <v>110567391</v>
      </c>
      <c r="I3880">
        <v>155394904</v>
      </c>
      <c r="J3880">
        <v>40303175</v>
      </c>
      <c r="K3880">
        <v>51983712</v>
      </c>
      <c r="P3880">
        <v>87</v>
      </c>
      <c r="Q3880" t="s">
        <v>8103</v>
      </c>
    </row>
    <row r="3881" spans="1:17" x14ac:dyDescent="0.3">
      <c r="A3881" t="s">
        <v>75</v>
      </c>
      <c r="B3881" t="str">
        <f>"000722"</f>
        <v>000722</v>
      </c>
      <c r="C3881" t="s">
        <v>8104</v>
      </c>
      <c r="D3881" t="s">
        <v>528</v>
      </c>
      <c r="E3881">
        <v>109711947</v>
      </c>
      <c r="F3881">
        <v>64262451</v>
      </c>
      <c r="G3881">
        <v>50705669</v>
      </c>
      <c r="H3881">
        <v>85122985</v>
      </c>
      <c r="I3881">
        <v>42545194</v>
      </c>
      <c r="J3881">
        <v>52815811</v>
      </c>
      <c r="K3881">
        <v>112412063</v>
      </c>
      <c r="L3881">
        <v>41140629</v>
      </c>
      <c r="M3881">
        <v>54255335</v>
      </c>
      <c r="N3881">
        <v>75215021</v>
      </c>
      <c r="O3881">
        <v>62866000</v>
      </c>
      <c r="P3881">
        <v>104</v>
      </c>
      <c r="Q3881" t="s">
        <v>8105</v>
      </c>
    </row>
    <row r="3882" spans="1:17" x14ac:dyDescent="0.3">
      <c r="A3882" t="s">
        <v>17</v>
      </c>
      <c r="B3882" t="str">
        <f>"603088"</f>
        <v>603088</v>
      </c>
      <c r="C3882" t="s">
        <v>8106</v>
      </c>
      <c r="D3882" t="s">
        <v>3360</v>
      </c>
      <c r="E3882">
        <v>109660361</v>
      </c>
      <c r="F3882">
        <v>87052388</v>
      </c>
      <c r="G3882">
        <v>83886069</v>
      </c>
      <c r="H3882">
        <v>55414821</v>
      </c>
      <c r="I3882">
        <v>71858241</v>
      </c>
      <c r="J3882">
        <v>61789958</v>
      </c>
      <c r="K3882">
        <v>49582288</v>
      </c>
      <c r="L3882">
        <v>30417452</v>
      </c>
      <c r="M3882">
        <v>36825778</v>
      </c>
      <c r="P3882">
        <v>106</v>
      </c>
      <c r="Q3882" t="s">
        <v>8107</v>
      </c>
    </row>
    <row r="3883" spans="1:17" x14ac:dyDescent="0.3">
      <c r="A3883" t="s">
        <v>17</v>
      </c>
      <c r="B3883" t="str">
        <f>"688312"</f>
        <v>688312</v>
      </c>
      <c r="C3883" t="s">
        <v>8108</v>
      </c>
      <c r="D3883" t="s">
        <v>1624</v>
      </c>
      <c r="E3883">
        <v>109582896</v>
      </c>
      <c r="F3883">
        <v>167703119</v>
      </c>
      <c r="G3883">
        <v>97180232</v>
      </c>
      <c r="H3883">
        <v>122747545</v>
      </c>
      <c r="P3883">
        <v>64</v>
      </c>
      <c r="Q3883" t="s">
        <v>8109</v>
      </c>
    </row>
    <row r="3884" spans="1:17" x14ac:dyDescent="0.3">
      <c r="A3884" t="s">
        <v>75</v>
      </c>
      <c r="B3884" t="str">
        <f>"301069"</f>
        <v>301069</v>
      </c>
      <c r="C3884" t="s">
        <v>8110</v>
      </c>
      <c r="D3884" t="s">
        <v>1759</v>
      </c>
      <c r="E3884">
        <v>109549973</v>
      </c>
      <c r="G3884">
        <v>98896219</v>
      </c>
      <c r="P3884">
        <v>29</v>
      </c>
      <c r="Q3884" t="s">
        <v>8111</v>
      </c>
    </row>
    <row r="3885" spans="1:17" x14ac:dyDescent="0.3">
      <c r="A3885" t="s">
        <v>17</v>
      </c>
      <c r="B3885" t="str">
        <f>"688049"</f>
        <v>688049</v>
      </c>
      <c r="C3885" t="s">
        <v>8112</v>
      </c>
      <c r="D3885" t="s">
        <v>883</v>
      </c>
      <c r="E3885">
        <v>109461414</v>
      </c>
      <c r="P3885">
        <v>21</v>
      </c>
      <c r="Q3885" t="s">
        <v>8113</v>
      </c>
    </row>
    <row r="3886" spans="1:17" x14ac:dyDescent="0.3">
      <c r="A3886" t="s">
        <v>17</v>
      </c>
      <c r="B3886" t="str">
        <f>"605389"</f>
        <v>605389</v>
      </c>
      <c r="C3886" t="s">
        <v>8114</v>
      </c>
      <c r="D3886" t="s">
        <v>1966</v>
      </c>
      <c r="E3886">
        <v>109440000</v>
      </c>
      <c r="F3886">
        <v>159497887</v>
      </c>
      <c r="G3886">
        <v>127922645</v>
      </c>
      <c r="P3886">
        <v>64</v>
      </c>
      <c r="Q3886" t="s">
        <v>8115</v>
      </c>
    </row>
    <row r="3887" spans="1:17" x14ac:dyDescent="0.3">
      <c r="A3887" t="s">
        <v>75</v>
      </c>
      <c r="B3887" t="str">
        <f>"301102"</f>
        <v>301102</v>
      </c>
      <c r="C3887" t="s">
        <v>8116</v>
      </c>
      <c r="E3887">
        <v>109437600</v>
      </c>
      <c r="G3887">
        <v>85766450</v>
      </c>
      <c r="P3887">
        <v>4</v>
      </c>
      <c r="Q3887" t="s">
        <v>8117</v>
      </c>
    </row>
    <row r="3888" spans="1:17" x14ac:dyDescent="0.3">
      <c r="A3888" t="s">
        <v>17</v>
      </c>
      <c r="B3888" t="str">
        <f>"688173"</f>
        <v>688173</v>
      </c>
      <c r="C3888" t="s">
        <v>8118</v>
      </c>
      <c r="E3888">
        <v>109389058</v>
      </c>
      <c r="P3888">
        <v>11</v>
      </c>
      <c r="Q3888" t="s">
        <v>8119</v>
      </c>
    </row>
    <row r="3889" spans="1:17" x14ac:dyDescent="0.3">
      <c r="A3889" t="s">
        <v>75</v>
      </c>
      <c r="B3889" t="str">
        <f>"301218"</f>
        <v>301218</v>
      </c>
      <c r="C3889" t="s">
        <v>8120</v>
      </c>
      <c r="E3889">
        <v>109284553</v>
      </c>
      <c r="P3889">
        <v>8</v>
      </c>
      <c r="Q3889" t="s">
        <v>8121</v>
      </c>
    </row>
    <row r="3890" spans="1:17" x14ac:dyDescent="0.3">
      <c r="A3890" t="s">
        <v>17</v>
      </c>
      <c r="B3890" t="str">
        <f>"603790"</f>
        <v>603790</v>
      </c>
      <c r="C3890" t="s">
        <v>8122</v>
      </c>
      <c r="D3890" t="s">
        <v>1160</v>
      </c>
      <c r="E3890">
        <v>109179376</v>
      </c>
      <c r="F3890">
        <v>116173163</v>
      </c>
      <c r="G3890">
        <v>94678079</v>
      </c>
      <c r="H3890">
        <v>120820027</v>
      </c>
      <c r="I3890">
        <v>80897328</v>
      </c>
      <c r="P3890">
        <v>64</v>
      </c>
      <c r="Q3890" t="s">
        <v>8123</v>
      </c>
    </row>
    <row r="3891" spans="1:17" x14ac:dyDescent="0.3">
      <c r="A3891" t="s">
        <v>17</v>
      </c>
      <c r="B3891" t="str">
        <f>"603656"</f>
        <v>603656</v>
      </c>
      <c r="C3891" t="s">
        <v>8124</v>
      </c>
      <c r="D3891" t="s">
        <v>1624</v>
      </c>
      <c r="E3891">
        <v>109057924</v>
      </c>
      <c r="F3891">
        <v>81099874</v>
      </c>
      <c r="G3891">
        <v>73395212</v>
      </c>
      <c r="H3891">
        <v>75134382</v>
      </c>
      <c r="I3891">
        <v>86039195</v>
      </c>
      <c r="J3891">
        <v>76222030</v>
      </c>
      <c r="K3891">
        <v>71741503</v>
      </c>
      <c r="P3891">
        <v>80</v>
      </c>
      <c r="Q3891" t="s">
        <v>8125</v>
      </c>
    </row>
    <row r="3892" spans="1:17" x14ac:dyDescent="0.3">
      <c r="A3892" t="s">
        <v>75</v>
      </c>
      <c r="B3892" t="str">
        <f>"300597"</f>
        <v>300597</v>
      </c>
      <c r="C3892" t="s">
        <v>8126</v>
      </c>
      <c r="D3892" t="s">
        <v>1647</v>
      </c>
      <c r="E3892">
        <v>108458620</v>
      </c>
      <c r="F3892">
        <v>115769409</v>
      </c>
      <c r="G3892">
        <v>88266050</v>
      </c>
      <c r="H3892">
        <v>91418496</v>
      </c>
      <c r="I3892">
        <v>96635554</v>
      </c>
      <c r="J3892">
        <v>94766858</v>
      </c>
      <c r="K3892">
        <v>107626531</v>
      </c>
      <c r="P3892">
        <v>110</v>
      </c>
      <c r="Q3892" t="s">
        <v>8127</v>
      </c>
    </row>
    <row r="3893" spans="1:17" x14ac:dyDescent="0.3">
      <c r="A3893" t="s">
        <v>17</v>
      </c>
      <c r="B3893" t="str">
        <f>"600390"</f>
        <v>600390</v>
      </c>
      <c r="C3893" t="s">
        <v>8128</v>
      </c>
      <c r="D3893" t="s">
        <v>370</v>
      </c>
      <c r="E3893">
        <v>108263025</v>
      </c>
      <c r="F3893">
        <v>1176453757</v>
      </c>
      <c r="G3893">
        <v>1780079755</v>
      </c>
      <c r="H3893">
        <v>1883019331</v>
      </c>
      <c r="I3893">
        <v>946211464</v>
      </c>
      <c r="J3893">
        <v>1997551510</v>
      </c>
      <c r="K3893">
        <v>164458485</v>
      </c>
      <c r="L3893">
        <v>130088833</v>
      </c>
      <c r="M3893">
        <v>131760925</v>
      </c>
      <c r="N3893">
        <v>132582949</v>
      </c>
      <c r="O3893">
        <v>165936843</v>
      </c>
      <c r="P3893">
        <v>300</v>
      </c>
      <c r="Q3893" t="s">
        <v>8129</v>
      </c>
    </row>
    <row r="3894" spans="1:17" x14ac:dyDescent="0.3">
      <c r="A3894" t="s">
        <v>75</v>
      </c>
      <c r="B3894" t="str">
        <f>"301020"</f>
        <v>301020</v>
      </c>
      <c r="C3894" t="s">
        <v>8130</v>
      </c>
      <c r="D3894" t="s">
        <v>172</v>
      </c>
      <c r="E3894">
        <v>108235873</v>
      </c>
      <c r="F3894">
        <v>124037762</v>
      </c>
      <c r="G3894">
        <v>116773560</v>
      </c>
      <c r="P3894">
        <v>54</v>
      </c>
      <c r="Q3894" t="s">
        <v>8131</v>
      </c>
    </row>
    <row r="3895" spans="1:17" x14ac:dyDescent="0.3">
      <c r="A3895" t="s">
        <v>17</v>
      </c>
      <c r="B3895" t="str">
        <f>"600719"</f>
        <v>600719</v>
      </c>
      <c r="C3895" t="s">
        <v>8132</v>
      </c>
      <c r="D3895" t="s">
        <v>446</v>
      </c>
      <c r="E3895">
        <v>108193118</v>
      </c>
      <c r="F3895">
        <v>126835009</v>
      </c>
      <c r="G3895">
        <v>174390174</v>
      </c>
      <c r="H3895">
        <v>177722128</v>
      </c>
      <c r="I3895">
        <v>169705302</v>
      </c>
      <c r="J3895">
        <v>182673918</v>
      </c>
      <c r="K3895">
        <v>185785856</v>
      </c>
      <c r="L3895">
        <v>210648516</v>
      </c>
      <c r="M3895">
        <v>236100134</v>
      </c>
      <c r="N3895">
        <v>223562755</v>
      </c>
      <c r="O3895">
        <v>196396595</v>
      </c>
      <c r="P3895">
        <v>68</v>
      </c>
      <c r="Q3895" t="s">
        <v>8133</v>
      </c>
    </row>
    <row r="3896" spans="1:17" x14ac:dyDescent="0.3">
      <c r="A3896" t="s">
        <v>75</v>
      </c>
      <c r="B3896" t="str">
        <f>"300103"</f>
        <v>300103</v>
      </c>
      <c r="C3896" t="s">
        <v>8134</v>
      </c>
      <c r="D3896" t="s">
        <v>1624</v>
      </c>
      <c r="E3896">
        <v>107615055</v>
      </c>
      <c r="F3896">
        <v>318591173</v>
      </c>
      <c r="G3896">
        <v>235890841</v>
      </c>
      <c r="H3896">
        <v>56084435</v>
      </c>
      <c r="I3896">
        <v>51017448</v>
      </c>
      <c r="J3896">
        <v>40428796</v>
      </c>
      <c r="K3896">
        <v>47825312</v>
      </c>
      <c r="L3896">
        <v>46896847</v>
      </c>
      <c r="M3896">
        <v>112482223</v>
      </c>
      <c r="N3896">
        <v>58411433</v>
      </c>
      <c r="O3896">
        <v>41079041</v>
      </c>
      <c r="P3896">
        <v>53</v>
      </c>
      <c r="Q3896" t="s">
        <v>8135</v>
      </c>
    </row>
    <row r="3897" spans="1:17" x14ac:dyDescent="0.3">
      <c r="A3897" t="s">
        <v>17</v>
      </c>
      <c r="B3897" t="str">
        <f>"600193"</f>
        <v>600193</v>
      </c>
      <c r="C3897" t="s">
        <v>8136</v>
      </c>
      <c r="D3897" t="s">
        <v>707</v>
      </c>
      <c r="E3897">
        <v>107578676</v>
      </c>
      <c r="F3897">
        <v>183857768</v>
      </c>
      <c r="G3897">
        <v>45716843</v>
      </c>
      <c r="H3897">
        <v>54028808</v>
      </c>
      <c r="I3897">
        <v>2081410</v>
      </c>
      <c r="J3897">
        <v>23830000</v>
      </c>
      <c r="K3897">
        <v>7364662</v>
      </c>
      <c r="L3897">
        <v>0</v>
      </c>
      <c r="M3897">
        <v>20200000</v>
      </c>
      <c r="N3897">
        <v>24103258</v>
      </c>
      <c r="O3897">
        <v>18393244</v>
      </c>
      <c r="P3897">
        <v>57</v>
      </c>
      <c r="Q3897" t="s">
        <v>8137</v>
      </c>
    </row>
    <row r="3898" spans="1:17" x14ac:dyDescent="0.3">
      <c r="A3898" t="s">
        <v>75</v>
      </c>
      <c r="B3898" t="str">
        <f>"002278"</f>
        <v>002278</v>
      </c>
      <c r="C3898" t="s">
        <v>8138</v>
      </c>
      <c r="D3898" t="s">
        <v>786</v>
      </c>
      <c r="E3898">
        <v>107475088</v>
      </c>
      <c r="F3898">
        <v>132039420</v>
      </c>
      <c r="G3898">
        <v>112685087</v>
      </c>
      <c r="H3898">
        <v>169641207</v>
      </c>
      <c r="I3898">
        <v>137516985</v>
      </c>
      <c r="J3898">
        <v>118642178</v>
      </c>
      <c r="K3898">
        <v>100006961</v>
      </c>
      <c r="L3898">
        <v>135245249</v>
      </c>
      <c r="M3898">
        <v>161239976</v>
      </c>
      <c r="N3898">
        <v>138206009</v>
      </c>
      <c r="O3898">
        <v>143651550</v>
      </c>
      <c r="P3898">
        <v>57</v>
      </c>
      <c r="Q3898" t="s">
        <v>8139</v>
      </c>
    </row>
    <row r="3899" spans="1:17" x14ac:dyDescent="0.3">
      <c r="A3899" t="s">
        <v>75</v>
      </c>
      <c r="B3899" t="str">
        <f>"002908"</f>
        <v>002908</v>
      </c>
      <c r="C3899" t="s">
        <v>8140</v>
      </c>
      <c r="D3899" t="s">
        <v>556</v>
      </c>
      <c r="E3899">
        <v>107444632</v>
      </c>
      <c r="F3899">
        <v>61139155</v>
      </c>
      <c r="G3899">
        <v>54363163</v>
      </c>
      <c r="H3899">
        <v>54895266</v>
      </c>
      <c r="I3899">
        <v>30943826</v>
      </c>
      <c r="J3899">
        <v>57120977</v>
      </c>
      <c r="P3899">
        <v>126</v>
      </c>
      <c r="Q3899" t="s">
        <v>8141</v>
      </c>
    </row>
    <row r="3900" spans="1:17" x14ac:dyDescent="0.3">
      <c r="A3900" t="s">
        <v>75</v>
      </c>
      <c r="B3900" t="str">
        <f>"300377"</f>
        <v>300377</v>
      </c>
      <c r="C3900" t="s">
        <v>8142</v>
      </c>
      <c r="D3900" t="s">
        <v>116</v>
      </c>
      <c r="E3900">
        <v>107110114</v>
      </c>
      <c r="F3900">
        <v>109365922</v>
      </c>
      <c r="G3900">
        <v>51573740</v>
      </c>
      <c r="H3900">
        <v>59394738</v>
      </c>
      <c r="I3900">
        <v>63769638</v>
      </c>
      <c r="J3900">
        <v>48604460</v>
      </c>
      <c r="K3900">
        <v>30618814</v>
      </c>
      <c r="L3900">
        <v>19849784</v>
      </c>
      <c r="M3900">
        <v>16619681</v>
      </c>
      <c r="N3900">
        <v>20369170</v>
      </c>
      <c r="P3900">
        <v>3125</v>
      </c>
      <c r="Q3900" t="s">
        <v>8143</v>
      </c>
    </row>
    <row r="3901" spans="1:17" x14ac:dyDescent="0.3">
      <c r="A3901" t="s">
        <v>17</v>
      </c>
      <c r="B3901" t="str">
        <f>"603029"</f>
        <v>603029</v>
      </c>
      <c r="C3901" t="s">
        <v>8144</v>
      </c>
      <c r="D3901" t="s">
        <v>1624</v>
      </c>
      <c r="E3901">
        <v>107061286</v>
      </c>
      <c r="F3901">
        <v>71179567</v>
      </c>
      <c r="G3901">
        <v>74898315</v>
      </c>
      <c r="H3901">
        <v>69449231</v>
      </c>
      <c r="I3901">
        <v>48010615</v>
      </c>
      <c r="J3901">
        <v>32722935</v>
      </c>
      <c r="K3901">
        <v>60810190</v>
      </c>
      <c r="L3901">
        <v>68464598</v>
      </c>
      <c r="P3901">
        <v>62</v>
      </c>
      <c r="Q3901" t="s">
        <v>8145</v>
      </c>
    </row>
    <row r="3902" spans="1:17" x14ac:dyDescent="0.3">
      <c r="A3902" t="s">
        <v>75</v>
      </c>
      <c r="B3902" t="str">
        <f>"300081"</f>
        <v>300081</v>
      </c>
      <c r="C3902" t="s">
        <v>8146</v>
      </c>
      <c r="D3902" t="s">
        <v>3310</v>
      </c>
      <c r="E3902">
        <v>107039397</v>
      </c>
      <c r="F3902">
        <v>137077991</v>
      </c>
      <c r="G3902">
        <v>153878389</v>
      </c>
      <c r="H3902">
        <v>96251029</v>
      </c>
      <c r="I3902">
        <v>135382322</v>
      </c>
      <c r="J3902">
        <v>86202417</v>
      </c>
      <c r="K3902">
        <v>96297419</v>
      </c>
      <c r="L3902">
        <v>152633217</v>
      </c>
      <c r="M3902">
        <v>220546062</v>
      </c>
      <c r="N3902">
        <v>278740683</v>
      </c>
      <c r="O3902">
        <v>214795154</v>
      </c>
      <c r="P3902">
        <v>160</v>
      </c>
      <c r="Q3902" t="s">
        <v>8147</v>
      </c>
    </row>
    <row r="3903" spans="1:17" x14ac:dyDescent="0.3">
      <c r="A3903" t="s">
        <v>75</v>
      </c>
      <c r="B3903" t="str">
        <f>"002715"</f>
        <v>002715</v>
      </c>
      <c r="C3903" t="s">
        <v>8148</v>
      </c>
      <c r="D3903" t="s">
        <v>172</v>
      </c>
      <c r="E3903">
        <v>106999380</v>
      </c>
      <c r="F3903">
        <v>65860502</v>
      </c>
      <c r="G3903">
        <v>57853956</v>
      </c>
      <c r="H3903">
        <v>87361685</v>
      </c>
      <c r="I3903">
        <v>73522276</v>
      </c>
      <c r="J3903">
        <v>69391245</v>
      </c>
      <c r="K3903">
        <v>62583244</v>
      </c>
      <c r="L3903">
        <v>47557899</v>
      </c>
      <c r="M3903">
        <v>51460895</v>
      </c>
      <c r="N3903">
        <v>50136866</v>
      </c>
      <c r="P3903">
        <v>61</v>
      </c>
      <c r="Q3903" t="s">
        <v>8149</v>
      </c>
    </row>
    <row r="3904" spans="1:17" x14ac:dyDescent="0.3">
      <c r="A3904" t="s">
        <v>75</v>
      </c>
      <c r="B3904" t="str">
        <f>"300858"</f>
        <v>300858</v>
      </c>
      <c r="C3904" t="s">
        <v>8150</v>
      </c>
      <c r="D3904" t="s">
        <v>1291</v>
      </c>
      <c r="E3904">
        <v>106661219</v>
      </c>
      <c r="F3904">
        <v>122267392</v>
      </c>
      <c r="G3904">
        <v>60254713</v>
      </c>
      <c r="H3904">
        <v>78153186</v>
      </c>
      <c r="P3904">
        <v>75</v>
      </c>
      <c r="Q3904" t="s">
        <v>8151</v>
      </c>
    </row>
    <row r="3905" spans="1:17" x14ac:dyDescent="0.3">
      <c r="A3905" t="s">
        <v>17</v>
      </c>
      <c r="B3905" t="str">
        <f>"688683"</f>
        <v>688683</v>
      </c>
      <c r="C3905" t="s">
        <v>8152</v>
      </c>
      <c r="D3905" t="s">
        <v>55</v>
      </c>
      <c r="E3905">
        <v>106507072</v>
      </c>
      <c r="F3905">
        <v>118979865</v>
      </c>
      <c r="G3905">
        <v>81375209</v>
      </c>
      <c r="P3905">
        <v>18</v>
      </c>
      <c r="Q3905" t="s">
        <v>8153</v>
      </c>
    </row>
    <row r="3906" spans="1:17" x14ac:dyDescent="0.3">
      <c r="A3906" t="s">
        <v>75</v>
      </c>
      <c r="B3906" t="str">
        <f>"300995"</f>
        <v>300995</v>
      </c>
      <c r="C3906" t="s">
        <v>8154</v>
      </c>
      <c r="D3906" t="s">
        <v>639</v>
      </c>
      <c r="E3906">
        <v>105839196</v>
      </c>
      <c r="F3906">
        <v>66415274</v>
      </c>
      <c r="G3906">
        <v>71819930</v>
      </c>
      <c r="P3906">
        <v>26</v>
      </c>
      <c r="Q3906" t="s">
        <v>8155</v>
      </c>
    </row>
    <row r="3907" spans="1:17" x14ac:dyDescent="0.3">
      <c r="A3907" t="s">
        <v>75</v>
      </c>
      <c r="B3907" t="str">
        <f>"300943"</f>
        <v>300943</v>
      </c>
      <c r="C3907" t="s">
        <v>8156</v>
      </c>
      <c r="D3907" t="s">
        <v>153</v>
      </c>
      <c r="E3907">
        <v>105811401</v>
      </c>
      <c r="F3907">
        <v>88799604</v>
      </c>
      <c r="G3907">
        <v>84727925</v>
      </c>
      <c r="H3907">
        <v>143260393</v>
      </c>
      <c r="I3907">
        <v>147357731</v>
      </c>
      <c r="P3907">
        <v>35</v>
      </c>
      <c r="Q3907" t="s">
        <v>8157</v>
      </c>
    </row>
    <row r="3908" spans="1:17" x14ac:dyDescent="0.3">
      <c r="A3908" t="s">
        <v>75</v>
      </c>
      <c r="B3908" t="str">
        <f>"300820"</f>
        <v>300820</v>
      </c>
      <c r="C3908" t="s">
        <v>8158</v>
      </c>
      <c r="D3908" t="s">
        <v>2692</v>
      </c>
      <c r="E3908">
        <v>105689735</v>
      </c>
      <c r="F3908">
        <v>51408826</v>
      </c>
      <c r="G3908">
        <v>36509812</v>
      </c>
      <c r="H3908">
        <v>59277086</v>
      </c>
      <c r="P3908">
        <v>369</v>
      </c>
      <c r="Q3908" t="s">
        <v>8159</v>
      </c>
    </row>
    <row r="3909" spans="1:17" x14ac:dyDescent="0.3">
      <c r="A3909" t="s">
        <v>17</v>
      </c>
      <c r="B3909" t="str">
        <f>"603268"</f>
        <v>603268</v>
      </c>
      <c r="C3909" t="s">
        <v>8160</v>
      </c>
      <c r="D3909" t="s">
        <v>1192</v>
      </c>
      <c r="E3909">
        <v>105664495</v>
      </c>
      <c r="F3909">
        <v>95455078</v>
      </c>
      <c r="G3909">
        <v>101939961</v>
      </c>
      <c r="H3909">
        <v>153959135</v>
      </c>
      <c r="I3909">
        <v>181627820</v>
      </c>
      <c r="J3909">
        <v>110521119</v>
      </c>
      <c r="K3909">
        <v>86028956</v>
      </c>
      <c r="L3909">
        <v>60852269</v>
      </c>
      <c r="M3909">
        <v>67327039</v>
      </c>
      <c r="P3909">
        <v>70</v>
      </c>
      <c r="Q3909" t="s">
        <v>8161</v>
      </c>
    </row>
    <row r="3910" spans="1:17" x14ac:dyDescent="0.3">
      <c r="A3910" t="s">
        <v>75</v>
      </c>
      <c r="B3910" t="str">
        <f>"301006"</f>
        <v>301006</v>
      </c>
      <c r="C3910" t="s">
        <v>8162</v>
      </c>
      <c r="D3910" t="s">
        <v>2549</v>
      </c>
      <c r="E3910">
        <v>105542063</v>
      </c>
      <c r="F3910">
        <v>96271484</v>
      </c>
      <c r="G3910">
        <v>55167832</v>
      </c>
      <c r="P3910">
        <v>50</v>
      </c>
      <c r="Q3910" t="s">
        <v>8163</v>
      </c>
    </row>
    <row r="3911" spans="1:17" x14ac:dyDescent="0.3">
      <c r="A3911" t="s">
        <v>17</v>
      </c>
      <c r="B3911" t="str">
        <f>"603637"</f>
        <v>603637</v>
      </c>
      <c r="C3911" t="s">
        <v>8164</v>
      </c>
      <c r="D3911" t="s">
        <v>184</v>
      </c>
      <c r="E3911">
        <v>105199042</v>
      </c>
      <c r="F3911">
        <v>242945696</v>
      </c>
      <c r="G3911">
        <v>199484278</v>
      </c>
      <c r="H3911">
        <v>257634741</v>
      </c>
      <c r="I3911">
        <v>144024647</v>
      </c>
      <c r="J3911">
        <v>73183812</v>
      </c>
      <c r="K3911">
        <v>59195905</v>
      </c>
      <c r="P3911">
        <v>70</v>
      </c>
      <c r="Q3911" t="s">
        <v>8165</v>
      </c>
    </row>
    <row r="3912" spans="1:17" x14ac:dyDescent="0.3">
      <c r="A3912" t="s">
        <v>17</v>
      </c>
      <c r="B3912" t="str">
        <f>"688328"</f>
        <v>688328</v>
      </c>
      <c r="C3912" t="s">
        <v>8166</v>
      </c>
      <c r="D3912" t="s">
        <v>1624</v>
      </c>
      <c r="E3912">
        <v>105193357</v>
      </c>
      <c r="F3912">
        <v>160674173</v>
      </c>
      <c r="G3912">
        <v>47257264</v>
      </c>
      <c r="P3912">
        <v>39</v>
      </c>
      <c r="Q3912" t="s">
        <v>8167</v>
      </c>
    </row>
    <row r="3913" spans="1:17" x14ac:dyDescent="0.3">
      <c r="A3913" t="s">
        <v>17</v>
      </c>
      <c r="B3913" t="str">
        <f>"688246"</f>
        <v>688246</v>
      </c>
      <c r="C3913" t="s">
        <v>8168</v>
      </c>
      <c r="D3913" t="s">
        <v>116</v>
      </c>
      <c r="E3913">
        <v>105143461</v>
      </c>
      <c r="G3913">
        <v>52043133</v>
      </c>
      <c r="P3913">
        <v>12</v>
      </c>
      <c r="Q3913" t="s">
        <v>8169</v>
      </c>
    </row>
    <row r="3914" spans="1:17" x14ac:dyDescent="0.3">
      <c r="A3914" t="s">
        <v>75</v>
      </c>
      <c r="B3914" t="str">
        <f>"300557"</f>
        <v>300557</v>
      </c>
      <c r="C3914" t="s">
        <v>8170</v>
      </c>
      <c r="D3914" t="s">
        <v>2549</v>
      </c>
      <c r="E3914">
        <v>104937404</v>
      </c>
      <c r="F3914">
        <v>109367614</v>
      </c>
      <c r="G3914">
        <v>72991036</v>
      </c>
      <c r="H3914">
        <v>58934062</v>
      </c>
      <c r="I3914">
        <v>48631189</v>
      </c>
      <c r="J3914">
        <v>38351170</v>
      </c>
      <c r="K3914">
        <v>26133632</v>
      </c>
      <c r="P3914">
        <v>61</v>
      </c>
      <c r="Q3914" t="s">
        <v>8171</v>
      </c>
    </row>
    <row r="3915" spans="1:17" x14ac:dyDescent="0.3">
      <c r="A3915" t="s">
        <v>17</v>
      </c>
      <c r="B3915" t="str">
        <f>"600463"</f>
        <v>600463</v>
      </c>
      <c r="C3915" t="s">
        <v>8172</v>
      </c>
      <c r="D3915" t="s">
        <v>806</v>
      </c>
      <c r="E3915">
        <v>104851071</v>
      </c>
      <c r="F3915">
        <v>253263894</v>
      </c>
      <c r="G3915">
        <v>150244320</v>
      </c>
      <c r="H3915">
        <v>292079178</v>
      </c>
      <c r="I3915">
        <v>212974267</v>
      </c>
      <c r="J3915">
        <v>255721218</v>
      </c>
      <c r="K3915">
        <v>147758571</v>
      </c>
      <c r="L3915">
        <v>140756941</v>
      </c>
      <c r="M3915">
        <v>181421380</v>
      </c>
      <c r="N3915">
        <v>146206052</v>
      </c>
      <c r="O3915">
        <v>87062285</v>
      </c>
      <c r="P3915">
        <v>66</v>
      </c>
      <c r="Q3915" t="s">
        <v>8173</v>
      </c>
    </row>
    <row r="3916" spans="1:17" x14ac:dyDescent="0.3">
      <c r="A3916" t="s">
        <v>17</v>
      </c>
      <c r="B3916" t="str">
        <f>"600053"</f>
        <v>600053</v>
      </c>
      <c r="C3916" t="s">
        <v>8174</v>
      </c>
      <c r="D3916" t="s">
        <v>5895</v>
      </c>
      <c r="E3916">
        <v>104566055</v>
      </c>
      <c r="F3916">
        <v>38177279</v>
      </c>
      <c r="G3916">
        <v>74734671</v>
      </c>
      <c r="H3916">
        <v>153449673</v>
      </c>
      <c r="I3916">
        <v>1084488476</v>
      </c>
      <c r="J3916">
        <v>215647522</v>
      </c>
      <c r="K3916">
        <v>178605115</v>
      </c>
      <c r="L3916">
        <v>181812879</v>
      </c>
      <c r="M3916">
        <v>209064677</v>
      </c>
      <c r="N3916">
        <v>109304163</v>
      </c>
      <c r="O3916">
        <v>128265798</v>
      </c>
      <c r="P3916">
        <v>229</v>
      </c>
      <c r="Q3916" t="s">
        <v>8175</v>
      </c>
    </row>
    <row r="3917" spans="1:17" x14ac:dyDescent="0.3">
      <c r="A3917" t="s">
        <v>75</v>
      </c>
      <c r="B3917" t="str">
        <f>"300096"</f>
        <v>300096</v>
      </c>
      <c r="C3917" t="s">
        <v>8176</v>
      </c>
      <c r="D3917" t="s">
        <v>224</v>
      </c>
      <c r="E3917">
        <v>104369195</v>
      </c>
      <c r="F3917">
        <v>142813947</v>
      </c>
      <c r="G3917">
        <v>121973273</v>
      </c>
      <c r="H3917">
        <v>119623958</v>
      </c>
      <c r="I3917">
        <v>51602125</v>
      </c>
      <c r="J3917">
        <v>80558652</v>
      </c>
      <c r="K3917">
        <v>44352660</v>
      </c>
      <c r="L3917">
        <v>136881184</v>
      </c>
      <c r="M3917">
        <v>60175086</v>
      </c>
      <c r="N3917">
        <v>39857057</v>
      </c>
      <c r="O3917">
        <v>22882756</v>
      </c>
      <c r="P3917">
        <v>169</v>
      </c>
      <c r="Q3917" t="s">
        <v>8177</v>
      </c>
    </row>
    <row r="3918" spans="1:17" x14ac:dyDescent="0.3">
      <c r="A3918" t="s">
        <v>17</v>
      </c>
      <c r="B3918" t="str">
        <f>"603500"</f>
        <v>603500</v>
      </c>
      <c r="C3918" t="s">
        <v>8178</v>
      </c>
      <c r="D3918" t="s">
        <v>156</v>
      </c>
      <c r="E3918">
        <v>104218923</v>
      </c>
      <c r="F3918">
        <v>68852049</v>
      </c>
      <c r="G3918">
        <v>54437481</v>
      </c>
      <c r="H3918">
        <v>21799890</v>
      </c>
      <c r="I3918">
        <v>40038312</v>
      </c>
      <c r="J3918">
        <v>81633457</v>
      </c>
      <c r="P3918">
        <v>91</v>
      </c>
      <c r="Q3918" t="s">
        <v>8179</v>
      </c>
    </row>
    <row r="3919" spans="1:17" x14ac:dyDescent="0.3">
      <c r="A3919" t="s">
        <v>75</v>
      </c>
      <c r="B3919" t="str">
        <f>"002707"</f>
        <v>002707</v>
      </c>
      <c r="C3919" t="s">
        <v>8180</v>
      </c>
      <c r="D3919" t="s">
        <v>6342</v>
      </c>
      <c r="E3919">
        <v>103889014</v>
      </c>
      <c r="F3919">
        <v>165816668</v>
      </c>
      <c r="G3919">
        <v>1191301033</v>
      </c>
      <c r="H3919">
        <v>2729445582</v>
      </c>
      <c r="I3919">
        <v>2647273521</v>
      </c>
      <c r="J3919">
        <v>2374962753</v>
      </c>
      <c r="K3919">
        <v>2105796922</v>
      </c>
      <c r="L3919">
        <v>1155328444</v>
      </c>
      <c r="M3919">
        <v>672955316</v>
      </c>
      <c r="N3919">
        <v>456948290</v>
      </c>
      <c r="P3919">
        <v>295</v>
      </c>
      <c r="Q3919" t="s">
        <v>8181</v>
      </c>
    </row>
    <row r="3920" spans="1:17" x14ac:dyDescent="0.3">
      <c r="A3920" t="s">
        <v>75</v>
      </c>
      <c r="B3920" t="str">
        <f>"300467"</f>
        <v>300467</v>
      </c>
      <c r="C3920" t="s">
        <v>8182</v>
      </c>
      <c r="D3920" t="s">
        <v>1165</v>
      </c>
      <c r="E3920">
        <v>103862062</v>
      </c>
      <c r="F3920">
        <v>161406089</v>
      </c>
      <c r="G3920">
        <v>136586782</v>
      </c>
      <c r="H3920">
        <v>153987408</v>
      </c>
      <c r="I3920">
        <v>177328379</v>
      </c>
      <c r="J3920">
        <v>47138883</v>
      </c>
      <c r="K3920">
        <v>47739251</v>
      </c>
      <c r="L3920">
        <v>46551716</v>
      </c>
      <c r="M3920">
        <v>47895409</v>
      </c>
      <c r="P3920">
        <v>187</v>
      </c>
      <c r="Q3920" t="s">
        <v>8183</v>
      </c>
    </row>
    <row r="3921" spans="1:17" x14ac:dyDescent="0.3">
      <c r="A3921" t="s">
        <v>75</v>
      </c>
      <c r="B3921" t="str">
        <f>"001266"</f>
        <v>001266</v>
      </c>
      <c r="C3921" t="s">
        <v>8184</v>
      </c>
      <c r="E3921">
        <v>103845419</v>
      </c>
      <c r="F3921">
        <v>22803969</v>
      </c>
      <c r="P3921">
        <v>8</v>
      </c>
      <c r="Q3921" t="s">
        <v>8185</v>
      </c>
    </row>
    <row r="3922" spans="1:17" x14ac:dyDescent="0.3">
      <c r="A3922" t="s">
        <v>17</v>
      </c>
      <c r="B3922" t="str">
        <f>"603110"</f>
        <v>603110</v>
      </c>
      <c r="C3922" t="s">
        <v>8186</v>
      </c>
      <c r="D3922" t="s">
        <v>4853</v>
      </c>
      <c r="E3922">
        <v>103663897</v>
      </c>
      <c r="F3922">
        <v>107599686</v>
      </c>
      <c r="G3922">
        <v>86801508</v>
      </c>
      <c r="H3922">
        <v>81083537</v>
      </c>
      <c r="I3922">
        <v>113136549</v>
      </c>
      <c r="J3922">
        <v>102167429</v>
      </c>
      <c r="P3922">
        <v>71</v>
      </c>
      <c r="Q3922" t="s">
        <v>8187</v>
      </c>
    </row>
    <row r="3923" spans="1:17" x14ac:dyDescent="0.3">
      <c r="A3923" t="s">
        <v>75</v>
      </c>
      <c r="B3923" t="str">
        <f>"000586"</f>
        <v>000586</v>
      </c>
      <c r="C3923" t="s">
        <v>8188</v>
      </c>
      <c r="D3923" t="s">
        <v>549</v>
      </c>
      <c r="E3923">
        <v>103374079</v>
      </c>
      <c r="F3923">
        <v>80019368</v>
      </c>
      <c r="G3923">
        <v>70760641</v>
      </c>
      <c r="H3923">
        <v>112498898</v>
      </c>
      <c r="I3923">
        <v>114141620</v>
      </c>
      <c r="J3923">
        <v>109250528</v>
      </c>
      <c r="K3923">
        <v>95544624</v>
      </c>
      <c r="L3923">
        <v>100506807</v>
      </c>
      <c r="M3923">
        <v>73490516</v>
      </c>
      <c r="N3923">
        <v>87990436</v>
      </c>
      <c r="O3923">
        <v>73866757</v>
      </c>
      <c r="P3923">
        <v>145</v>
      </c>
      <c r="Q3923" t="s">
        <v>8189</v>
      </c>
    </row>
    <row r="3924" spans="1:17" x14ac:dyDescent="0.3">
      <c r="A3924" t="s">
        <v>17</v>
      </c>
      <c r="B3924" t="str">
        <f>"688089"</f>
        <v>688089</v>
      </c>
      <c r="C3924" t="s">
        <v>8190</v>
      </c>
      <c r="D3924" t="s">
        <v>1291</v>
      </c>
      <c r="E3924">
        <v>103373480</v>
      </c>
      <c r="F3924">
        <v>69446652</v>
      </c>
      <c r="G3924">
        <v>60973600</v>
      </c>
      <c r="H3924">
        <v>65358792</v>
      </c>
      <c r="P3924">
        <v>150</v>
      </c>
      <c r="Q3924" t="s">
        <v>8191</v>
      </c>
    </row>
    <row r="3925" spans="1:17" x14ac:dyDescent="0.3">
      <c r="A3925" t="s">
        <v>17</v>
      </c>
      <c r="B3925" t="str">
        <f>"600476"</f>
        <v>600476</v>
      </c>
      <c r="C3925" t="s">
        <v>8192</v>
      </c>
      <c r="D3925" t="s">
        <v>224</v>
      </c>
      <c r="E3925">
        <v>103331592</v>
      </c>
      <c r="F3925">
        <v>30504448</v>
      </c>
      <c r="G3925">
        <v>18434137</v>
      </c>
      <c r="H3925">
        <v>185538664</v>
      </c>
      <c r="I3925">
        <v>71683069</v>
      </c>
      <c r="J3925">
        <v>23313025</v>
      </c>
      <c r="K3925">
        <v>29918884</v>
      </c>
      <c r="L3925">
        <v>36999886</v>
      </c>
      <c r="M3925">
        <v>21325950</v>
      </c>
      <c r="N3925">
        <v>51685974</v>
      </c>
      <c r="O3925">
        <v>44605038</v>
      </c>
      <c r="P3925">
        <v>85</v>
      </c>
      <c r="Q3925" t="s">
        <v>8193</v>
      </c>
    </row>
    <row r="3926" spans="1:17" x14ac:dyDescent="0.3">
      <c r="A3926" t="s">
        <v>17</v>
      </c>
      <c r="B3926" t="str">
        <f>"688160"</f>
        <v>688160</v>
      </c>
      <c r="C3926" t="s">
        <v>8194</v>
      </c>
      <c r="D3926" t="s">
        <v>1352</v>
      </c>
      <c r="E3926">
        <v>103082599</v>
      </c>
      <c r="F3926">
        <v>97697901</v>
      </c>
      <c r="G3926">
        <v>68463892</v>
      </c>
      <c r="P3926">
        <v>44</v>
      </c>
      <c r="Q3926" t="s">
        <v>8195</v>
      </c>
    </row>
    <row r="3927" spans="1:17" x14ac:dyDescent="0.3">
      <c r="A3927" t="s">
        <v>75</v>
      </c>
      <c r="B3927" t="str">
        <f>"300756"</f>
        <v>300756</v>
      </c>
      <c r="C3927" t="s">
        <v>8196</v>
      </c>
      <c r="D3927" t="s">
        <v>5484</v>
      </c>
      <c r="E3927">
        <v>103060880</v>
      </c>
      <c r="F3927">
        <v>117161378</v>
      </c>
      <c r="G3927">
        <v>55807458</v>
      </c>
      <c r="H3927">
        <v>143748217</v>
      </c>
      <c r="I3927">
        <v>126635640</v>
      </c>
      <c r="J3927">
        <v>145583842</v>
      </c>
      <c r="P3927">
        <v>76</v>
      </c>
      <c r="Q3927" t="s">
        <v>8197</v>
      </c>
    </row>
    <row r="3928" spans="1:17" x14ac:dyDescent="0.3">
      <c r="A3928" t="s">
        <v>17</v>
      </c>
      <c r="B3928" t="str">
        <f>"600319"</f>
        <v>600319</v>
      </c>
      <c r="C3928" t="s">
        <v>8198</v>
      </c>
      <c r="D3928" t="s">
        <v>311</v>
      </c>
      <c r="E3928">
        <v>102938965</v>
      </c>
      <c r="F3928">
        <v>2636988</v>
      </c>
      <c r="G3928">
        <v>35497135</v>
      </c>
      <c r="H3928">
        <v>304976264</v>
      </c>
      <c r="I3928">
        <v>353753335</v>
      </c>
      <c r="J3928">
        <v>280797356</v>
      </c>
      <c r="K3928">
        <v>230711949</v>
      </c>
      <c r="L3928">
        <v>383251996</v>
      </c>
      <c r="M3928">
        <v>447999665</v>
      </c>
      <c r="N3928">
        <v>635567928</v>
      </c>
      <c r="O3928">
        <v>638326725</v>
      </c>
      <c r="P3928">
        <v>57</v>
      </c>
      <c r="Q3928" t="s">
        <v>8199</v>
      </c>
    </row>
    <row r="3929" spans="1:17" x14ac:dyDescent="0.3">
      <c r="A3929" t="s">
        <v>75</v>
      </c>
      <c r="B3929" t="str">
        <f>"301013"</f>
        <v>301013</v>
      </c>
      <c r="C3929" t="s">
        <v>8200</v>
      </c>
      <c r="D3929" t="s">
        <v>1624</v>
      </c>
      <c r="E3929">
        <v>102865682</v>
      </c>
      <c r="F3929">
        <v>63649439</v>
      </c>
      <c r="G3929">
        <v>252289264</v>
      </c>
      <c r="P3929">
        <v>20</v>
      </c>
      <c r="Q3929" t="s">
        <v>8201</v>
      </c>
    </row>
    <row r="3930" spans="1:17" x14ac:dyDescent="0.3">
      <c r="A3930" t="s">
        <v>75</v>
      </c>
      <c r="B3930" t="str">
        <f>"300191"</f>
        <v>300191</v>
      </c>
      <c r="C3930" t="s">
        <v>8202</v>
      </c>
      <c r="D3930" t="s">
        <v>402</v>
      </c>
      <c r="E3930">
        <v>102704896</v>
      </c>
      <c r="F3930">
        <v>102477107</v>
      </c>
      <c r="G3930">
        <v>182709761</v>
      </c>
      <c r="H3930">
        <v>21403491</v>
      </c>
      <c r="I3930">
        <v>25562388</v>
      </c>
      <c r="J3930">
        <v>24663200</v>
      </c>
      <c r="K3930">
        <v>11862930</v>
      </c>
      <c r="L3930">
        <v>18664245</v>
      </c>
      <c r="M3930">
        <v>43635000</v>
      </c>
      <c r="N3930">
        <v>11881118</v>
      </c>
      <c r="O3930">
        <v>9331009</v>
      </c>
      <c r="P3930">
        <v>75</v>
      </c>
      <c r="Q3930" t="s">
        <v>8203</v>
      </c>
    </row>
    <row r="3931" spans="1:17" x14ac:dyDescent="0.3">
      <c r="A3931" t="s">
        <v>75</v>
      </c>
      <c r="B3931" t="str">
        <f>"300208"</f>
        <v>300208</v>
      </c>
      <c r="C3931" t="s">
        <v>8204</v>
      </c>
      <c r="D3931" t="s">
        <v>1284</v>
      </c>
      <c r="E3931">
        <v>102696619</v>
      </c>
      <c r="F3931">
        <v>413844762</v>
      </c>
      <c r="G3931">
        <v>228979774</v>
      </c>
      <c r="H3931">
        <v>82366532</v>
      </c>
      <c r="I3931">
        <v>29873849</v>
      </c>
      <c r="J3931">
        <v>45275077</v>
      </c>
      <c r="K3931">
        <v>18149161</v>
      </c>
      <c r="L3931">
        <v>84446702</v>
      </c>
      <c r="M3931">
        <v>70596523</v>
      </c>
      <c r="N3931">
        <v>45536055</v>
      </c>
      <c r="O3931">
        <v>49856981</v>
      </c>
      <c r="P3931">
        <v>144</v>
      </c>
      <c r="Q3931" t="s">
        <v>8205</v>
      </c>
    </row>
    <row r="3932" spans="1:17" x14ac:dyDescent="0.3">
      <c r="A3932" t="s">
        <v>75</v>
      </c>
      <c r="B3932" t="str">
        <f>"300107"</f>
        <v>300107</v>
      </c>
      <c r="C3932" t="s">
        <v>8206</v>
      </c>
      <c r="D3932" t="s">
        <v>1160</v>
      </c>
      <c r="E3932">
        <v>102528065</v>
      </c>
      <c r="F3932">
        <v>63581421</v>
      </c>
      <c r="G3932">
        <v>95208059</v>
      </c>
      <c r="H3932">
        <v>256820694</v>
      </c>
      <c r="I3932">
        <v>199497254</v>
      </c>
      <c r="J3932">
        <v>42364341</v>
      </c>
      <c r="K3932">
        <v>68821220</v>
      </c>
      <c r="L3932">
        <v>54140072</v>
      </c>
      <c r="M3932">
        <v>62229609</v>
      </c>
      <c r="N3932">
        <v>40071645</v>
      </c>
      <c r="O3932">
        <v>41529157</v>
      </c>
      <c r="P3932">
        <v>239</v>
      </c>
      <c r="Q3932" t="s">
        <v>8207</v>
      </c>
    </row>
    <row r="3933" spans="1:17" x14ac:dyDescent="0.3">
      <c r="A3933" t="s">
        <v>75</v>
      </c>
      <c r="B3933" t="str">
        <f>"300314"</f>
        <v>300314</v>
      </c>
      <c r="C3933" t="s">
        <v>8208</v>
      </c>
      <c r="D3933" t="s">
        <v>334</v>
      </c>
      <c r="E3933">
        <v>102289966</v>
      </c>
      <c r="F3933">
        <v>84672866</v>
      </c>
      <c r="G3933">
        <v>74852152</v>
      </c>
      <c r="H3933">
        <v>56035629</v>
      </c>
      <c r="I3933">
        <v>51690258</v>
      </c>
      <c r="J3933">
        <v>72671830</v>
      </c>
      <c r="K3933">
        <v>45416698</v>
      </c>
      <c r="L3933">
        <v>46885867</v>
      </c>
      <c r="M3933">
        <v>37963150</v>
      </c>
      <c r="N3933">
        <v>52633040</v>
      </c>
      <c r="O3933">
        <v>57149511</v>
      </c>
      <c r="P3933">
        <v>196</v>
      </c>
      <c r="Q3933" t="s">
        <v>8209</v>
      </c>
    </row>
    <row r="3934" spans="1:17" x14ac:dyDescent="0.3">
      <c r="A3934" t="s">
        <v>75</v>
      </c>
      <c r="B3934" t="str">
        <f>"300830"</f>
        <v>300830</v>
      </c>
      <c r="C3934" t="s">
        <v>8210</v>
      </c>
      <c r="D3934" t="s">
        <v>116</v>
      </c>
      <c r="E3934">
        <v>102256962</v>
      </c>
      <c r="F3934">
        <v>111146081</v>
      </c>
      <c r="G3934">
        <v>49609528</v>
      </c>
      <c r="H3934">
        <v>58656751</v>
      </c>
      <c r="P3934">
        <v>74</v>
      </c>
      <c r="Q3934" t="s">
        <v>8211</v>
      </c>
    </row>
    <row r="3935" spans="1:17" x14ac:dyDescent="0.3">
      <c r="A3935" t="s">
        <v>75</v>
      </c>
      <c r="B3935" t="str">
        <f>"301040"</f>
        <v>301040</v>
      </c>
      <c r="C3935" t="s">
        <v>8212</v>
      </c>
      <c r="D3935" t="s">
        <v>1398</v>
      </c>
      <c r="E3935">
        <v>102207582</v>
      </c>
      <c r="F3935">
        <v>72432148</v>
      </c>
      <c r="G3935">
        <v>134460435</v>
      </c>
      <c r="P3935">
        <v>22</v>
      </c>
      <c r="Q3935" t="s">
        <v>8213</v>
      </c>
    </row>
    <row r="3936" spans="1:17" x14ac:dyDescent="0.3">
      <c r="A3936" t="s">
        <v>17</v>
      </c>
      <c r="B3936" t="str">
        <f>"600605"</f>
        <v>600605</v>
      </c>
      <c r="C3936" t="s">
        <v>8214</v>
      </c>
      <c r="D3936" t="s">
        <v>378</v>
      </c>
      <c r="E3936">
        <v>102019548</v>
      </c>
      <c r="F3936">
        <v>26706202</v>
      </c>
      <c r="G3936">
        <v>10611874</v>
      </c>
      <c r="H3936">
        <v>17859533</v>
      </c>
      <c r="I3936">
        <v>428618523</v>
      </c>
      <c r="J3936">
        <v>688093368</v>
      </c>
      <c r="K3936">
        <v>461565166</v>
      </c>
      <c r="L3936">
        <v>485790110</v>
      </c>
      <c r="M3936">
        <v>686389574</v>
      </c>
      <c r="N3936">
        <v>580959734</v>
      </c>
      <c r="O3936">
        <v>670040041</v>
      </c>
      <c r="P3936">
        <v>71</v>
      </c>
      <c r="Q3936" t="s">
        <v>8215</v>
      </c>
    </row>
    <row r="3937" spans="1:17" x14ac:dyDescent="0.3">
      <c r="A3937" t="s">
        <v>75</v>
      </c>
      <c r="B3937" t="str">
        <f>"002546"</f>
        <v>002546</v>
      </c>
      <c r="C3937" t="s">
        <v>8216</v>
      </c>
      <c r="D3937" t="s">
        <v>2251</v>
      </c>
      <c r="E3937">
        <v>102010644</v>
      </c>
      <c r="F3937">
        <v>95857937</v>
      </c>
      <c r="G3937">
        <v>105184078</v>
      </c>
      <c r="H3937">
        <v>119986404</v>
      </c>
      <c r="I3937">
        <v>124174235</v>
      </c>
      <c r="J3937">
        <v>148202880</v>
      </c>
      <c r="K3937">
        <v>141962031</v>
      </c>
      <c r="L3937">
        <v>134457588</v>
      </c>
      <c r="M3937">
        <v>96456474</v>
      </c>
      <c r="N3937">
        <v>104021487</v>
      </c>
      <c r="O3937">
        <v>102957701</v>
      </c>
      <c r="P3937">
        <v>76</v>
      </c>
      <c r="Q3937" t="s">
        <v>8217</v>
      </c>
    </row>
    <row r="3938" spans="1:17" x14ac:dyDescent="0.3">
      <c r="A3938" t="s">
        <v>75</v>
      </c>
      <c r="B3938" t="str">
        <f>"002871"</f>
        <v>002871</v>
      </c>
      <c r="C3938" t="s">
        <v>8218</v>
      </c>
      <c r="D3938" t="s">
        <v>153</v>
      </c>
      <c r="E3938">
        <v>101980936</v>
      </c>
      <c r="F3938">
        <v>81750543</v>
      </c>
      <c r="G3938">
        <v>83415555</v>
      </c>
      <c r="H3938">
        <v>113038272</v>
      </c>
      <c r="I3938">
        <v>71729288</v>
      </c>
      <c r="J3938">
        <v>77558689</v>
      </c>
      <c r="K3938">
        <v>75898347</v>
      </c>
      <c r="P3938">
        <v>66</v>
      </c>
      <c r="Q3938" t="s">
        <v>8219</v>
      </c>
    </row>
    <row r="3939" spans="1:17" x14ac:dyDescent="0.3">
      <c r="A3939" t="s">
        <v>17</v>
      </c>
      <c r="B3939" t="str">
        <f>"600290"</f>
        <v>600290</v>
      </c>
      <c r="C3939" t="s">
        <v>8220</v>
      </c>
      <c r="D3939" t="s">
        <v>546</v>
      </c>
      <c r="E3939">
        <v>101927335</v>
      </c>
      <c r="F3939">
        <v>138467676</v>
      </c>
      <c r="G3939">
        <v>227571080</v>
      </c>
      <c r="H3939">
        <v>494736077</v>
      </c>
      <c r="I3939">
        <v>457236110</v>
      </c>
      <c r="J3939">
        <v>516963694</v>
      </c>
      <c r="K3939">
        <v>356350241</v>
      </c>
      <c r="L3939">
        <v>453117665</v>
      </c>
      <c r="M3939">
        <v>408855938</v>
      </c>
      <c r="N3939">
        <v>413288007</v>
      </c>
      <c r="O3939">
        <v>375587138</v>
      </c>
      <c r="P3939">
        <v>68</v>
      </c>
      <c r="Q3939" t="s">
        <v>8221</v>
      </c>
    </row>
    <row r="3940" spans="1:17" x14ac:dyDescent="0.3">
      <c r="A3940" t="s">
        <v>75</v>
      </c>
      <c r="B3940" t="str">
        <f>"000514"</f>
        <v>000514</v>
      </c>
      <c r="C3940" t="s">
        <v>8222</v>
      </c>
      <c r="D3940" t="s">
        <v>65</v>
      </c>
      <c r="E3940">
        <v>101902683</v>
      </c>
      <c r="F3940">
        <v>411963809</v>
      </c>
      <c r="G3940">
        <v>81785739</v>
      </c>
      <c r="H3940">
        <v>147423047</v>
      </c>
      <c r="I3940">
        <v>152238444</v>
      </c>
      <c r="J3940">
        <v>296174486</v>
      </c>
      <c r="K3940">
        <v>165493555</v>
      </c>
      <c r="L3940">
        <v>166746960</v>
      </c>
      <c r="M3940">
        <v>239929615</v>
      </c>
      <c r="N3940">
        <v>408986212</v>
      </c>
      <c r="O3940">
        <v>205014957</v>
      </c>
      <c r="P3940">
        <v>113</v>
      </c>
      <c r="Q3940" t="s">
        <v>8223</v>
      </c>
    </row>
    <row r="3941" spans="1:17" x14ac:dyDescent="0.3">
      <c r="A3941" t="s">
        <v>75</v>
      </c>
      <c r="B3941" t="str">
        <f>"300275"</f>
        <v>300275</v>
      </c>
      <c r="C3941" t="s">
        <v>8224</v>
      </c>
      <c r="D3941" t="s">
        <v>786</v>
      </c>
      <c r="E3941">
        <v>101886913</v>
      </c>
      <c r="F3941">
        <v>53950687</v>
      </c>
      <c r="G3941">
        <v>35294010</v>
      </c>
      <c r="H3941">
        <v>74437044</v>
      </c>
      <c r="I3941">
        <v>48782796</v>
      </c>
      <c r="J3941">
        <v>44657810</v>
      </c>
      <c r="K3941">
        <v>28928747</v>
      </c>
      <c r="L3941">
        <v>40577050</v>
      </c>
      <c r="M3941">
        <v>33371168</v>
      </c>
      <c r="N3941">
        <v>29510458</v>
      </c>
      <c r="O3941">
        <v>38171466</v>
      </c>
      <c r="P3941">
        <v>89</v>
      </c>
      <c r="Q3941" t="s">
        <v>8225</v>
      </c>
    </row>
    <row r="3942" spans="1:17" x14ac:dyDescent="0.3">
      <c r="A3942" t="s">
        <v>75</v>
      </c>
      <c r="B3942" t="str">
        <f>"301201"</f>
        <v>301201</v>
      </c>
      <c r="C3942" t="s">
        <v>8226</v>
      </c>
      <c r="D3942" t="s">
        <v>716</v>
      </c>
      <c r="E3942">
        <v>101851388</v>
      </c>
      <c r="P3942">
        <v>18</v>
      </c>
      <c r="Q3942" t="s">
        <v>8227</v>
      </c>
    </row>
    <row r="3943" spans="1:17" x14ac:dyDescent="0.3">
      <c r="A3943" t="s">
        <v>17</v>
      </c>
      <c r="B3943" t="str">
        <f>"688600"</f>
        <v>688600</v>
      </c>
      <c r="C3943" t="s">
        <v>8228</v>
      </c>
      <c r="D3943" t="s">
        <v>1642</v>
      </c>
      <c r="E3943">
        <v>101846812</v>
      </c>
      <c r="F3943">
        <v>94347289</v>
      </c>
      <c r="G3943">
        <v>64850188</v>
      </c>
      <c r="H3943">
        <v>92501488</v>
      </c>
      <c r="P3943">
        <v>62</v>
      </c>
      <c r="Q3943" t="s">
        <v>8229</v>
      </c>
    </row>
    <row r="3944" spans="1:17" x14ac:dyDescent="0.3">
      <c r="A3944" t="s">
        <v>17</v>
      </c>
      <c r="B3944" t="str">
        <f>"688113"</f>
        <v>688113</v>
      </c>
      <c r="C3944" t="s">
        <v>8230</v>
      </c>
      <c r="D3944" t="s">
        <v>1624</v>
      </c>
      <c r="E3944">
        <v>101693178</v>
      </c>
      <c r="F3944">
        <v>72218211</v>
      </c>
      <c r="G3944">
        <v>43154824</v>
      </c>
      <c r="P3944">
        <v>40</v>
      </c>
      <c r="Q3944" t="s">
        <v>8231</v>
      </c>
    </row>
    <row r="3945" spans="1:17" x14ac:dyDescent="0.3">
      <c r="A3945" t="s">
        <v>75</v>
      </c>
      <c r="B3945" t="str">
        <f>"300157"</f>
        <v>300157</v>
      </c>
      <c r="C3945" t="s">
        <v>8232</v>
      </c>
      <c r="D3945" t="s">
        <v>402</v>
      </c>
      <c r="E3945">
        <v>101423562</v>
      </c>
      <c r="F3945">
        <v>125417612</v>
      </c>
      <c r="G3945">
        <v>144714113</v>
      </c>
      <c r="H3945">
        <v>217603224</v>
      </c>
      <c r="I3945">
        <v>421787281</v>
      </c>
      <c r="J3945">
        <v>499071563</v>
      </c>
      <c r="K3945">
        <v>119182855</v>
      </c>
      <c r="L3945">
        <v>129366418</v>
      </c>
      <c r="M3945">
        <v>142862243</v>
      </c>
      <c r="N3945">
        <v>89928685</v>
      </c>
      <c r="O3945">
        <v>39529204</v>
      </c>
      <c r="P3945">
        <v>76</v>
      </c>
      <c r="Q3945" t="s">
        <v>8233</v>
      </c>
    </row>
    <row r="3946" spans="1:17" x14ac:dyDescent="0.3">
      <c r="A3946" t="s">
        <v>75</v>
      </c>
      <c r="B3946" t="str">
        <f>"000428"</f>
        <v>000428</v>
      </c>
      <c r="C3946" t="s">
        <v>8234</v>
      </c>
      <c r="D3946" t="s">
        <v>1769</v>
      </c>
      <c r="E3946">
        <v>101335174</v>
      </c>
      <c r="F3946">
        <v>111230411</v>
      </c>
      <c r="G3946">
        <v>63845278</v>
      </c>
      <c r="H3946">
        <v>202418171</v>
      </c>
      <c r="I3946">
        <v>202888855</v>
      </c>
      <c r="J3946">
        <v>207487242</v>
      </c>
      <c r="K3946">
        <v>256156947</v>
      </c>
      <c r="L3946">
        <v>269177796</v>
      </c>
      <c r="M3946">
        <v>310006787</v>
      </c>
      <c r="N3946">
        <v>450485268</v>
      </c>
      <c r="O3946">
        <v>326289086</v>
      </c>
      <c r="P3946">
        <v>104</v>
      </c>
      <c r="Q3946" t="s">
        <v>8235</v>
      </c>
    </row>
    <row r="3947" spans="1:17" x14ac:dyDescent="0.3">
      <c r="A3947" t="s">
        <v>75</v>
      </c>
      <c r="B3947" t="str">
        <f>"300710"</f>
        <v>300710</v>
      </c>
      <c r="C3947" t="s">
        <v>8236</v>
      </c>
      <c r="D3947" t="s">
        <v>169</v>
      </c>
      <c r="E3947">
        <v>101297225</v>
      </c>
      <c r="F3947">
        <v>159532352</v>
      </c>
      <c r="G3947">
        <v>108727365</v>
      </c>
      <c r="H3947">
        <v>96091646</v>
      </c>
      <c r="I3947">
        <v>92639802</v>
      </c>
      <c r="J3947">
        <v>97196741</v>
      </c>
      <c r="P3947">
        <v>107</v>
      </c>
      <c r="Q3947" t="s">
        <v>8237</v>
      </c>
    </row>
    <row r="3948" spans="1:17" x14ac:dyDescent="0.3">
      <c r="A3948" t="s">
        <v>17</v>
      </c>
      <c r="B3948" t="str">
        <f>"603955"</f>
        <v>603955</v>
      </c>
      <c r="C3948" t="s">
        <v>8238</v>
      </c>
      <c r="D3948" t="s">
        <v>1523</v>
      </c>
      <c r="E3948">
        <v>100918911</v>
      </c>
      <c r="F3948">
        <v>306984379</v>
      </c>
      <c r="G3948">
        <v>125080597</v>
      </c>
      <c r="H3948">
        <v>149411774</v>
      </c>
      <c r="I3948">
        <v>165867252</v>
      </c>
      <c r="J3948">
        <v>72186334</v>
      </c>
      <c r="K3948">
        <v>247502529</v>
      </c>
      <c r="P3948">
        <v>60</v>
      </c>
      <c r="Q3948" t="s">
        <v>8239</v>
      </c>
    </row>
    <row r="3949" spans="1:17" x14ac:dyDescent="0.3">
      <c r="A3949" t="s">
        <v>17</v>
      </c>
      <c r="B3949" t="str">
        <f>"688230"</f>
        <v>688230</v>
      </c>
      <c r="C3949" t="s">
        <v>8240</v>
      </c>
      <c r="D3949" t="s">
        <v>2728</v>
      </c>
      <c r="E3949">
        <v>100859691</v>
      </c>
      <c r="P3949">
        <v>24</v>
      </c>
      <c r="Q3949" t="s">
        <v>8241</v>
      </c>
    </row>
    <row r="3950" spans="1:17" x14ac:dyDescent="0.3">
      <c r="A3950" t="s">
        <v>75</v>
      </c>
      <c r="B3950" t="str">
        <f>"002348"</f>
        <v>002348</v>
      </c>
      <c r="C3950" t="s">
        <v>8242</v>
      </c>
      <c r="D3950" t="s">
        <v>5484</v>
      </c>
      <c r="E3950">
        <v>100684047</v>
      </c>
      <c r="F3950">
        <v>122356151</v>
      </c>
      <c r="G3950">
        <v>102461100</v>
      </c>
      <c r="H3950">
        <v>200341557</v>
      </c>
      <c r="I3950">
        <v>188328112</v>
      </c>
      <c r="J3950">
        <v>95366042</v>
      </c>
      <c r="K3950">
        <v>106107377</v>
      </c>
      <c r="L3950">
        <v>90548190</v>
      </c>
      <c r="M3950">
        <v>87889416</v>
      </c>
      <c r="N3950">
        <v>73527025</v>
      </c>
      <c r="O3950">
        <v>55837653</v>
      </c>
      <c r="P3950">
        <v>112</v>
      </c>
      <c r="Q3950" t="s">
        <v>8243</v>
      </c>
    </row>
    <row r="3951" spans="1:17" x14ac:dyDescent="0.3">
      <c r="A3951" t="s">
        <v>75</v>
      </c>
      <c r="B3951" t="str">
        <f>"002235"</f>
        <v>002235</v>
      </c>
      <c r="C3951" t="s">
        <v>8244</v>
      </c>
      <c r="D3951" t="s">
        <v>2183</v>
      </c>
      <c r="E3951">
        <v>100576905</v>
      </c>
      <c r="F3951">
        <v>95595829</v>
      </c>
      <c r="G3951">
        <v>73212197</v>
      </c>
      <c r="H3951">
        <v>157847786</v>
      </c>
      <c r="I3951">
        <v>171528342</v>
      </c>
      <c r="J3951">
        <v>94545113</v>
      </c>
      <c r="K3951">
        <v>63433831</v>
      </c>
      <c r="L3951">
        <v>109573310</v>
      </c>
      <c r="M3951">
        <v>99808935</v>
      </c>
      <c r="N3951">
        <v>146254743</v>
      </c>
      <c r="O3951">
        <v>176767791</v>
      </c>
      <c r="P3951">
        <v>142</v>
      </c>
      <c r="Q3951" t="s">
        <v>8245</v>
      </c>
    </row>
    <row r="3952" spans="1:17" x14ac:dyDescent="0.3">
      <c r="A3952" t="s">
        <v>75</v>
      </c>
      <c r="B3952" t="str">
        <f>"002445"</f>
        <v>002445</v>
      </c>
      <c r="C3952" t="s">
        <v>8246</v>
      </c>
      <c r="D3952" t="s">
        <v>1165</v>
      </c>
      <c r="E3952">
        <v>100539179</v>
      </c>
      <c r="F3952">
        <v>47923891</v>
      </c>
      <c r="G3952">
        <v>100014820</v>
      </c>
      <c r="H3952">
        <v>201489696</v>
      </c>
      <c r="I3952">
        <v>279859993</v>
      </c>
      <c r="J3952">
        <v>408498872</v>
      </c>
      <c r="K3952">
        <v>274424481</v>
      </c>
      <c r="L3952">
        <v>455511819</v>
      </c>
      <c r="M3952">
        <v>316869218</v>
      </c>
      <c r="N3952">
        <v>224464025</v>
      </c>
      <c r="O3952">
        <v>122431391</v>
      </c>
      <c r="P3952">
        <v>110</v>
      </c>
      <c r="Q3952" t="s">
        <v>8247</v>
      </c>
    </row>
    <row r="3953" spans="1:17" x14ac:dyDescent="0.3">
      <c r="A3953" t="s">
        <v>17</v>
      </c>
      <c r="B3953" t="str">
        <f>"688201"</f>
        <v>688201</v>
      </c>
      <c r="C3953" t="s">
        <v>8248</v>
      </c>
      <c r="D3953" t="s">
        <v>989</v>
      </c>
      <c r="E3953">
        <v>100482530</v>
      </c>
      <c r="F3953">
        <v>84694870</v>
      </c>
      <c r="G3953">
        <v>40892671</v>
      </c>
      <c r="P3953">
        <v>62</v>
      </c>
      <c r="Q3953" t="s">
        <v>8249</v>
      </c>
    </row>
    <row r="3954" spans="1:17" x14ac:dyDescent="0.3">
      <c r="A3954" t="s">
        <v>17</v>
      </c>
      <c r="B3954" t="str">
        <f>"688690"</f>
        <v>688690</v>
      </c>
      <c r="C3954" t="s">
        <v>8250</v>
      </c>
      <c r="D3954" t="s">
        <v>1242</v>
      </c>
      <c r="E3954">
        <v>100407960</v>
      </c>
      <c r="F3954">
        <v>41168109</v>
      </c>
      <c r="G3954">
        <v>30772171</v>
      </c>
      <c r="P3954">
        <v>116</v>
      </c>
      <c r="Q3954" t="s">
        <v>8251</v>
      </c>
    </row>
    <row r="3955" spans="1:17" x14ac:dyDescent="0.3">
      <c r="A3955" t="s">
        <v>75</v>
      </c>
      <c r="B3955" t="str">
        <f>"300608"</f>
        <v>300608</v>
      </c>
      <c r="C3955" t="s">
        <v>8252</v>
      </c>
      <c r="D3955" t="s">
        <v>116</v>
      </c>
      <c r="E3955">
        <v>100374340</v>
      </c>
      <c r="F3955">
        <v>116478869</v>
      </c>
      <c r="G3955">
        <v>58442027</v>
      </c>
      <c r="H3955">
        <v>212175733</v>
      </c>
      <c r="I3955">
        <v>152560169</v>
      </c>
      <c r="J3955">
        <v>95286202</v>
      </c>
      <c r="K3955">
        <v>110151955</v>
      </c>
      <c r="P3955">
        <v>217</v>
      </c>
      <c r="Q3955" t="s">
        <v>8253</v>
      </c>
    </row>
    <row r="3956" spans="1:17" x14ac:dyDescent="0.3">
      <c r="A3956" t="s">
        <v>17</v>
      </c>
      <c r="B3956" t="str">
        <f>"688135"</f>
        <v>688135</v>
      </c>
      <c r="C3956" t="s">
        <v>8254</v>
      </c>
      <c r="D3956" t="s">
        <v>613</v>
      </c>
      <c r="E3956">
        <v>100199538</v>
      </c>
      <c r="F3956">
        <v>74531029</v>
      </c>
      <c r="G3956">
        <v>58178845</v>
      </c>
      <c r="P3956">
        <v>87</v>
      </c>
      <c r="Q3956" t="s">
        <v>8255</v>
      </c>
    </row>
    <row r="3957" spans="1:17" x14ac:dyDescent="0.3">
      <c r="A3957" t="s">
        <v>17</v>
      </c>
      <c r="B3957" t="str">
        <f>"603239"</f>
        <v>603239</v>
      </c>
      <c r="C3957" t="s">
        <v>8256</v>
      </c>
      <c r="D3957" t="s">
        <v>1321</v>
      </c>
      <c r="E3957">
        <v>100134490</v>
      </c>
      <c r="F3957">
        <v>143784093</v>
      </c>
      <c r="G3957">
        <v>95864950</v>
      </c>
      <c r="H3957">
        <v>146030868</v>
      </c>
      <c r="I3957">
        <v>147130795</v>
      </c>
      <c r="J3957">
        <v>84825609</v>
      </c>
      <c r="K3957">
        <v>96563553</v>
      </c>
      <c r="P3957">
        <v>166</v>
      </c>
      <c r="Q3957" t="s">
        <v>8257</v>
      </c>
    </row>
    <row r="3958" spans="1:17" x14ac:dyDescent="0.3">
      <c r="A3958" t="s">
        <v>17</v>
      </c>
      <c r="B3958" t="str">
        <f>"603895"</f>
        <v>603895</v>
      </c>
      <c r="C3958" t="s">
        <v>8258</v>
      </c>
      <c r="D3958" t="s">
        <v>1624</v>
      </c>
      <c r="E3958">
        <v>100116690</v>
      </c>
      <c r="F3958">
        <v>88048921</v>
      </c>
      <c r="G3958">
        <v>142351722</v>
      </c>
      <c r="H3958">
        <v>116787419</v>
      </c>
      <c r="I3958">
        <v>117991993</v>
      </c>
      <c r="J3958">
        <v>159943539</v>
      </c>
      <c r="P3958">
        <v>65</v>
      </c>
      <c r="Q3958" t="s">
        <v>8259</v>
      </c>
    </row>
    <row r="3959" spans="1:17" x14ac:dyDescent="0.3">
      <c r="A3959" t="s">
        <v>75</v>
      </c>
      <c r="B3959" t="str">
        <f>"300300"</f>
        <v>300300</v>
      </c>
      <c r="C3959" t="s">
        <v>8260</v>
      </c>
      <c r="D3959" t="s">
        <v>224</v>
      </c>
      <c r="E3959">
        <v>100040961</v>
      </c>
      <c r="F3959">
        <v>134679947</v>
      </c>
      <c r="G3959">
        <v>87856097</v>
      </c>
      <c r="H3959">
        <v>151054438</v>
      </c>
      <c r="I3959">
        <v>159369334</v>
      </c>
      <c r="J3959">
        <v>145432875</v>
      </c>
      <c r="K3959">
        <v>293507239</v>
      </c>
      <c r="L3959">
        <v>192961223</v>
      </c>
      <c r="M3959">
        <v>158773501</v>
      </c>
      <c r="N3959">
        <v>85468137</v>
      </c>
      <c r="O3959">
        <v>49669421</v>
      </c>
      <c r="P3959">
        <v>121</v>
      </c>
      <c r="Q3959" t="s">
        <v>8261</v>
      </c>
    </row>
    <row r="3960" spans="1:17" x14ac:dyDescent="0.3">
      <c r="A3960" t="s">
        <v>75</v>
      </c>
      <c r="B3960" t="str">
        <f>"301221"</f>
        <v>301221</v>
      </c>
      <c r="C3960" t="s">
        <v>8262</v>
      </c>
      <c r="D3960" t="s">
        <v>433</v>
      </c>
      <c r="E3960">
        <v>100038144</v>
      </c>
      <c r="P3960">
        <v>16</v>
      </c>
      <c r="Q3960" t="s">
        <v>8263</v>
      </c>
    </row>
    <row r="3961" spans="1:17" x14ac:dyDescent="0.3">
      <c r="A3961" t="s">
        <v>75</v>
      </c>
      <c r="B3961" t="str">
        <f>"300374"</f>
        <v>300374</v>
      </c>
      <c r="C3961" t="s">
        <v>8264</v>
      </c>
      <c r="D3961" t="s">
        <v>2703</v>
      </c>
      <c r="E3961">
        <v>99939963</v>
      </c>
      <c r="F3961">
        <v>135249762</v>
      </c>
      <c r="G3961">
        <v>320560296</v>
      </c>
      <c r="H3961">
        <v>160194333</v>
      </c>
      <c r="I3961">
        <v>92094739</v>
      </c>
      <c r="J3961">
        <v>143604768</v>
      </c>
      <c r="K3961">
        <v>32290811</v>
      </c>
      <c r="L3961">
        <v>54440488</v>
      </c>
      <c r="M3961">
        <v>47846926</v>
      </c>
      <c r="P3961">
        <v>61</v>
      </c>
      <c r="Q3961" t="s">
        <v>8265</v>
      </c>
    </row>
    <row r="3962" spans="1:17" x14ac:dyDescent="0.3">
      <c r="A3962" t="s">
        <v>75</v>
      </c>
      <c r="B3962" t="str">
        <f>"300946"</f>
        <v>300946</v>
      </c>
      <c r="C3962" t="s">
        <v>8266</v>
      </c>
      <c r="D3962" t="s">
        <v>153</v>
      </c>
      <c r="E3962">
        <v>99898353</v>
      </c>
      <c r="F3962">
        <v>47337045</v>
      </c>
      <c r="G3962">
        <v>49038077</v>
      </c>
      <c r="P3962">
        <v>75</v>
      </c>
      <c r="Q3962" t="s">
        <v>8267</v>
      </c>
    </row>
    <row r="3963" spans="1:17" x14ac:dyDescent="0.3">
      <c r="A3963" t="s">
        <v>75</v>
      </c>
      <c r="B3963" t="str">
        <f>"300882"</f>
        <v>300882</v>
      </c>
      <c r="C3963" t="s">
        <v>8268</v>
      </c>
      <c r="D3963" t="s">
        <v>2251</v>
      </c>
      <c r="E3963">
        <v>99895439</v>
      </c>
      <c r="F3963">
        <v>107753243</v>
      </c>
      <c r="G3963">
        <v>71287361</v>
      </c>
      <c r="P3963">
        <v>41</v>
      </c>
      <c r="Q3963" t="s">
        <v>8269</v>
      </c>
    </row>
    <row r="3964" spans="1:17" x14ac:dyDescent="0.3">
      <c r="A3964" t="s">
        <v>17</v>
      </c>
      <c r="B3964" t="str">
        <f>"603226"</f>
        <v>603226</v>
      </c>
      <c r="C3964" t="s">
        <v>8270</v>
      </c>
      <c r="D3964" t="s">
        <v>2153</v>
      </c>
      <c r="E3964">
        <v>99894194</v>
      </c>
      <c r="F3964">
        <v>148633342</v>
      </c>
      <c r="G3964">
        <v>41079523</v>
      </c>
      <c r="H3964">
        <v>131385934</v>
      </c>
      <c r="I3964">
        <v>169104378</v>
      </c>
      <c r="J3964">
        <v>114096107</v>
      </c>
      <c r="K3964">
        <v>88073871</v>
      </c>
      <c r="P3964">
        <v>113</v>
      </c>
      <c r="Q3964" t="s">
        <v>8271</v>
      </c>
    </row>
    <row r="3965" spans="1:17" x14ac:dyDescent="0.3">
      <c r="A3965" t="s">
        <v>17</v>
      </c>
      <c r="B3965" t="str">
        <f>"600790"</f>
        <v>600790</v>
      </c>
      <c r="C3965" t="s">
        <v>8272</v>
      </c>
      <c r="D3965" t="s">
        <v>378</v>
      </c>
      <c r="E3965">
        <v>99815010</v>
      </c>
      <c r="F3965">
        <v>70884226</v>
      </c>
      <c r="G3965">
        <v>52602900</v>
      </c>
      <c r="H3965">
        <v>102179994</v>
      </c>
      <c r="I3965">
        <v>95903155</v>
      </c>
      <c r="J3965">
        <v>53115097</v>
      </c>
      <c r="K3965">
        <v>165176334</v>
      </c>
      <c r="L3965">
        <v>50813401</v>
      </c>
      <c r="M3965">
        <v>52234548</v>
      </c>
      <c r="N3965">
        <v>52861651</v>
      </c>
      <c r="O3965">
        <v>47002436</v>
      </c>
      <c r="P3965">
        <v>184</v>
      </c>
      <c r="Q3965" t="s">
        <v>8273</v>
      </c>
    </row>
    <row r="3966" spans="1:17" x14ac:dyDescent="0.3">
      <c r="A3966" t="s">
        <v>75</v>
      </c>
      <c r="B3966" t="str">
        <f>"300938"</f>
        <v>300938</v>
      </c>
      <c r="C3966" t="s">
        <v>8274</v>
      </c>
      <c r="D3966" t="s">
        <v>3153</v>
      </c>
      <c r="E3966">
        <v>99814204</v>
      </c>
      <c r="F3966">
        <v>71605090</v>
      </c>
      <c r="G3966">
        <v>48735653</v>
      </c>
      <c r="P3966">
        <v>43</v>
      </c>
      <c r="Q3966" t="s">
        <v>8275</v>
      </c>
    </row>
    <row r="3967" spans="1:17" x14ac:dyDescent="0.3">
      <c r="A3967" t="s">
        <v>75</v>
      </c>
      <c r="B3967" t="str">
        <f>"300281"</f>
        <v>300281</v>
      </c>
      <c r="C3967" t="s">
        <v>8276</v>
      </c>
      <c r="D3967" t="s">
        <v>1624</v>
      </c>
      <c r="E3967">
        <v>99683733</v>
      </c>
      <c r="F3967">
        <v>105722806</v>
      </c>
      <c r="G3967">
        <v>95350163</v>
      </c>
      <c r="H3967">
        <v>96698082</v>
      </c>
      <c r="I3967">
        <v>99410695</v>
      </c>
      <c r="J3967">
        <v>91710209</v>
      </c>
      <c r="K3967">
        <v>69947983</v>
      </c>
      <c r="L3967">
        <v>74699333</v>
      </c>
      <c r="M3967">
        <v>61704769</v>
      </c>
      <c r="N3967">
        <v>46157574</v>
      </c>
      <c r="O3967">
        <v>23872458</v>
      </c>
      <c r="P3967">
        <v>48</v>
      </c>
      <c r="Q3967" t="s">
        <v>8277</v>
      </c>
    </row>
    <row r="3968" spans="1:17" x14ac:dyDescent="0.3">
      <c r="A3968" t="s">
        <v>17</v>
      </c>
      <c r="B3968" t="str">
        <f>"688383"</f>
        <v>688383</v>
      </c>
      <c r="C3968" t="s">
        <v>8278</v>
      </c>
      <c r="D3968" t="s">
        <v>1624</v>
      </c>
      <c r="E3968">
        <v>99536522</v>
      </c>
      <c r="F3968">
        <v>160017274</v>
      </c>
      <c r="G3968">
        <v>127907729</v>
      </c>
      <c r="P3968">
        <v>49</v>
      </c>
      <c r="Q3968" t="s">
        <v>8279</v>
      </c>
    </row>
    <row r="3969" spans="1:17" x14ac:dyDescent="0.3">
      <c r="A3969" t="s">
        <v>17</v>
      </c>
      <c r="B3969" t="str">
        <f>"688737"</f>
        <v>688737</v>
      </c>
      <c r="C3969" t="s">
        <v>8280</v>
      </c>
      <c r="D3969" t="s">
        <v>1321</v>
      </c>
      <c r="E3969">
        <v>99462307</v>
      </c>
      <c r="P3969">
        <v>15</v>
      </c>
      <c r="Q3969" t="s">
        <v>8281</v>
      </c>
    </row>
    <row r="3970" spans="1:17" x14ac:dyDescent="0.3">
      <c r="A3970" t="s">
        <v>17</v>
      </c>
      <c r="B3970" t="str">
        <f>"688083"</f>
        <v>688083</v>
      </c>
      <c r="C3970" t="s">
        <v>8282</v>
      </c>
      <c r="D3970" t="s">
        <v>116</v>
      </c>
      <c r="E3970">
        <v>99379004</v>
      </c>
      <c r="F3970">
        <v>99309050</v>
      </c>
      <c r="G3970">
        <v>57931488</v>
      </c>
      <c r="P3970">
        <v>130</v>
      </c>
      <c r="Q3970" t="s">
        <v>8283</v>
      </c>
    </row>
    <row r="3971" spans="1:17" x14ac:dyDescent="0.3">
      <c r="A3971" t="s">
        <v>75</v>
      </c>
      <c r="B3971" t="str">
        <f>"300966"</f>
        <v>300966</v>
      </c>
      <c r="C3971" t="s">
        <v>8284</v>
      </c>
      <c r="D3971" t="s">
        <v>1242</v>
      </c>
      <c r="E3971">
        <v>99140488</v>
      </c>
      <c r="F3971">
        <v>124232656</v>
      </c>
      <c r="G3971">
        <v>13445604</v>
      </c>
      <c r="P3971">
        <v>32</v>
      </c>
      <c r="Q3971" t="s">
        <v>8285</v>
      </c>
    </row>
    <row r="3972" spans="1:17" x14ac:dyDescent="0.3">
      <c r="A3972" t="s">
        <v>17</v>
      </c>
      <c r="B3972" t="str">
        <f>"688517"</f>
        <v>688517</v>
      </c>
      <c r="C3972" t="s">
        <v>8286</v>
      </c>
      <c r="D3972" t="s">
        <v>546</v>
      </c>
      <c r="E3972">
        <v>99072317</v>
      </c>
      <c r="F3972">
        <v>102593201</v>
      </c>
      <c r="G3972">
        <v>68121398</v>
      </c>
      <c r="P3972">
        <v>19</v>
      </c>
      <c r="Q3972" t="s">
        <v>8287</v>
      </c>
    </row>
    <row r="3973" spans="1:17" x14ac:dyDescent="0.3">
      <c r="A3973" t="s">
        <v>17</v>
      </c>
      <c r="B3973" t="str">
        <f>"688039"</f>
        <v>688039</v>
      </c>
      <c r="C3973" t="s">
        <v>8288</v>
      </c>
      <c r="D3973" t="s">
        <v>224</v>
      </c>
      <c r="E3973">
        <v>98988370</v>
      </c>
      <c r="F3973">
        <v>40011842</v>
      </c>
      <c r="G3973">
        <v>27824972</v>
      </c>
      <c r="H3973">
        <v>39480628</v>
      </c>
      <c r="P3973">
        <v>155</v>
      </c>
      <c r="Q3973" t="s">
        <v>8289</v>
      </c>
    </row>
    <row r="3974" spans="1:17" x14ac:dyDescent="0.3">
      <c r="A3974" t="s">
        <v>75</v>
      </c>
      <c r="B3974" t="str">
        <f>"301113"</f>
        <v>301113</v>
      </c>
      <c r="C3974" t="s">
        <v>8290</v>
      </c>
      <c r="D3974" t="s">
        <v>1192</v>
      </c>
      <c r="E3974">
        <v>98816221</v>
      </c>
      <c r="P3974">
        <v>27</v>
      </c>
      <c r="Q3974" t="s">
        <v>8291</v>
      </c>
    </row>
    <row r="3975" spans="1:17" x14ac:dyDescent="0.3">
      <c r="A3975" t="s">
        <v>17</v>
      </c>
      <c r="B3975" t="str">
        <f>"600589"</f>
        <v>600589</v>
      </c>
      <c r="C3975" t="s">
        <v>8292</v>
      </c>
      <c r="D3975" t="s">
        <v>3251</v>
      </c>
      <c r="E3975">
        <v>98701654</v>
      </c>
      <c r="F3975">
        <v>253526904</v>
      </c>
      <c r="G3975">
        <v>191605110</v>
      </c>
      <c r="H3975">
        <v>165631004</v>
      </c>
      <c r="I3975">
        <v>283319650</v>
      </c>
      <c r="J3975">
        <v>283237308</v>
      </c>
      <c r="K3975">
        <v>294415026</v>
      </c>
      <c r="L3975">
        <v>270388478</v>
      </c>
      <c r="M3975">
        <v>286858789</v>
      </c>
      <c r="N3975">
        <v>264509903</v>
      </c>
      <c r="O3975">
        <v>231388596</v>
      </c>
      <c r="P3975">
        <v>74</v>
      </c>
      <c r="Q3975" t="s">
        <v>8293</v>
      </c>
    </row>
    <row r="3976" spans="1:17" x14ac:dyDescent="0.3">
      <c r="A3976" t="s">
        <v>75</v>
      </c>
      <c r="B3976" t="str">
        <f>"002247"</f>
        <v>002247</v>
      </c>
      <c r="C3976" t="s">
        <v>8294</v>
      </c>
      <c r="D3976" t="s">
        <v>622</v>
      </c>
      <c r="E3976">
        <v>98504122</v>
      </c>
      <c r="F3976">
        <v>88834939</v>
      </c>
      <c r="G3976">
        <v>87568928</v>
      </c>
      <c r="H3976">
        <v>1076211591</v>
      </c>
      <c r="I3976">
        <v>753459485</v>
      </c>
      <c r="J3976">
        <v>313229453</v>
      </c>
      <c r="K3976">
        <v>180085473</v>
      </c>
      <c r="L3976">
        <v>170008790</v>
      </c>
      <c r="M3976">
        <v>151906200</v>
      </c>
      <c r="N3976">
        <v>129537839</v>
      </c>
      <c r="O3976">
        <v>107451329</v>
      </c>
      <c r="P3976">
        <v>90</v>
      </c>
      <c r="Q3976" t="s">
        <v>8295</v>
      </c>
    </row>
    <row r="3977" spans="1:17" x14ac:dyDescent="0.3">
      <c r="A3977" t="s">
        <v>17</v>
      </c>
      <c r="B3977" t="str">
        <f>"600854"</f>
        <v>600854</v>
      </c>
      <c r="C3977" t="s">
        <v>8296</v>
      </c>
      <c r="D3977" t="s">
        <v>83</v>
      </c>
      <c r="E3977">
        <v>98338054</v>
      </c>
      <c r="F3977">
        <v>99233449</v>
      </c>
      <c r="G3977">
        <v>20961082</v>
      </c>
      <c r="H3977">
        <v>40750289</v>
      </c>
      <c r="I3977">
        <v>62056959</v>
      </c>
      <c r="J3977">
        <v>213450653</v>
      </c>
      <c r="K3977">
        <v>70142082</v>
      </c>
      <c r="L3977">
        <v>88875848</v>
      </c>
      <c r="M3977">
        <v>131852712</v>
      </c>
      <c r="N3977">
        <v>106680661</v>
      </c>
      <c r="O3977">
        <v>203126612</v>
      </c>
      <c r="P3977">
        <v>146</v>
      </c>
      <c r="Q3977" t="s">
        <v>8297</v>
      </c>
    </row>
    <row r="3978" spans="1:17" x14ac:dyDescent="0.3">
      <c r="A3978" t="s">
        <v>75</v>
      </c>
      <c r="B3978" t="str">
        <f>"300663"</f>
        <v>300663</v>
      </c>
      <c r="C3978" t="s">
        <v>8298</v>
      </c>
      <c r="D3978" t="s">
        <v>116</v>
      </c>
      <c r="E3978">
        <v>98326860</v>
      </c>
      <c r="F3978">
        <v>132398208</v>
      </c>
      <c r="G3978">
        <v>54292466</v>
      </c>
      <c r="H3978">
        <v>44959028</v>
      </c>
      <c r="I3978">
        <v>41591367</v>
      </c>
      <c r="J3978">
        <v>22788677</v>
      </c>
      <c r="K3978">
        <v>31764757</v>
      </c>
      <c r="P3978">
        <v>261</v>
      </c>
      <c r="Q3978" t="s">
        <v>8299</v>
      </c>
    </row>
    <row r="3979" spans="1:17" x14ac:dyDescent="0.3">
      <c r="A3979" t="s">
        <v>17</v>
      </c>
      <c r="B3979" t="str">
        <f>"600540"</f>
        <v>600540</v>
      </c>
      <c r="C3979" t="s">
        <v>8300</v>
      </c>
      <c r="D3979" t="s">
        <v>1334</v>
      </c>
      <c r="E3979">
        <v>98292804</v>
      </c>
      <c r="F3979">
        <v>485241305</v>
      </c>
      <c r="G3979">
        <v>195735962</v>
      </c>
      <c r="H3979">
        <v>178036312</v>
      </c>
      <c r="I3979">
        <v>500433529</v>
      </c>
      <c r="J3979">
        <v>178443375</v>
      </c>
      <c r="K3979">
        <v>72020381</v>
      </c>
      <c r="L3979">
        <v>140317218</v>
      </c>
      <c r="M3979">
        <v>238218037</v>
      </c>
      <c r="N3979">
        <v>209649768</v>
      </c>
      <c r="O3979">
        <v>388955620</v>
      </c>
      <c r="P3979">
        <v>97</v>
      </c>
      <c r="Q3979" t="s">
        <v>8301</v>
      </c>
    </row>
    <row r="3980" spans="1:17" x14ac:dyDescent="0.3">
      <c r="A3980" t="s">
        <v>17</v>
      </c>
      <c r="B3980" t="str">
        <f>"603879"</f>
        <v>603879</v>
      </c>
      <c r="C3980" t="s">
        <v>8302</v>
      </c>
      <c r="D3980" t="s">
        <v>2855</v>
      </c>
      <c r="E3980">
        <v>98130719</v>
      </c>
      <c r="F3980">
        <v>104284415</v>
      </c>
      <c r="G3980">
        <v>52783596</v>
      </c>
      <c r="H3980">
        <v>97344418</v>
      </c>
      <c r="I3980">
        <v>110836785</v>
      </c>
      <c r="J3980">
        <v>109490539</v>
      </c>
      <c r="K3980">
        <v>89833567</v>
      </c>
      <c r="P3980">
        <v>55</v>
      </c>
      <c r="Q3980" t="s">
        <v>8303</v>
      </c>
    </row>
    <row r="3981" spans="1:17" x14ac:dyDescent="0.3">
      <c r="A3981" t="s">
        <v>75</v>
      </c>
      <c r="B3981" t="str">
        <f>"300508"</f>
        <v>300508</v>
      </c>
      <c r="C3981" t="s">
        <v>8304</v>
      </c>
      <c r="D3981" t="s">
        <v>508</v>
      </c>
      <c r="E3981">
        <v>98083063</v>
      </c>
      <c r="F3981">
        <v>70740583</v>
      </c>
      <c r="G3981">
        <v>29836107</v>
      </c>
      <c r="H3981">
        <v>43624282</v>
      </c>
      <c r="I3981">
        <v>49335697</v>
      </c>
      <c r="J3981">
        <v>44925406</v>
      </c>
      <c r="K3981">
        <v>29349220</v>
      </c>
      <c r="L3981">
        <v>31814679</v>
      </c>
      <c r="P3981">
        <v>130</v>
      </c>
      <c r="Q3981" t="s">
        <v>8305</v>
      </c>
    </row>
    <row r="3982" spans="1:17" x14ac:dyDescent="0.3">
      <c r="A3982" t="s">
        <v>17</v>
      </c>
      <c r="B3982" t="str">
        <f>"600666"</f>
        <v>600666</v>
      </c>
      <c r="C3982" t="s">
        <v>8306</v>
      </c>
      <c r="D3982" t="s">
        <v>128</v>
      </c>
      <c r="E3982">
        <v>98016184</v>
      </c>
      <c r="F3982">
        <v>97806857</v>
      </c>
      <c r="G3982">
        <v>44402282</v>
      </c>
      <c r="H3982">
        <v>141194652</v>
      </c>
      <c r="I3982">
        <v>205143176</v>
      </c>
      <c r="J3982">
        <v>302585172</v>
      </c>
      <c r="K3982">
        <v>99425665</v>
      </c>
      <c r="L3982">
        <v>281257725</v>
      </c>
      <c r="M3982">
        <v>155244089</v>
      </c>
      <c r="N3982">
        <v>229916089</v>
      </c>
      <c r="O3982">
        <v>207050616</v>
      </c>
      <c r="P3982">
        <v>75</v>
      </c>
      <c r="Q3982" t="s">
        <v>8307</v>
      </c>
    </row>
    <row r="3983" spans="1:17" x14ac:dyDescent="0.3">
      <c r="A3983" t="s">
        <v>17</v>
      </c>
      <c r="B3983" t="str">
        <f>"688358"</f>
        <v>688358</v>
      </c>
      <c r="C3983" t="s">
        <v>8308</v>
      </c>
      <c r="D3983" t="s">
        <v>334</v>
      </c>
      <c r="E3983">
        <v>97963687</v>
      </c>
      <c r="F3983">
        <v>84160392</v>
      </c>
      <c r="G3983">
        <v>82157746</v>
      </c>
      <c r="H3983">
        <v>71830299</v>
      </c>
      <c r="P3983">
        <v>122</v>
      </c>
      <c r="Q3983" t="s">
        <v>8309</v>
      </c>
    </row>
    <row r="3984" spans="1:17" x14ac:dyDescent="0.3">
      <c r="A3984" t="s">
        <v>75</v>
      </c>
      <c r="B3984" t="str">
        <f>"300757"</f>
        <v>300757</v>
      </c>
      <c r="C3984" t="s">
        <v>8310</v>
      </c>
      <c r="D3984" t="s">
        <v>2910</v>
      </c>
      <c r="E3984">
        <v>97858230</v>
      </c>
      <c r="F3984">
        <v>129840771</v>
      </c>
      <c r="G3984">
        <v>68727264</v>
      </c>
      <c r="H3984">
        <v>143885106</v>
      </c>
      <c r="I3984">
        <v>100544686</v>
      </c>
      <c r="P3984">
        <v>76</v>
      </c>
      <c r="Q3984" t="s">
        <v>8311</v>
      </c>
    </row>
    <row r="3985" spans="1:17" x14ac:dyDescent="0.3">
      <c r="A3985" t="s">
        <v>17</v>
      </c>
      <c r="B3985" t="str">
        <f>"688285"</f>
        <v>688285</v>
      </c>
      <c r="C3985" t="s">
        <v>8312</v>
      </c>
      <c r="D3985" t="s">
        <v>156</v>
      </c>
      <c r="E3985">
        <v>97731684</v>
      </c>
      <c r="P3985">
        <v>14</v>
      </c>
      <c r="Q3985" t="s">
        <v>8313</v>
      </c>
    </row>
    <row r="3986" spans="1:17" x14ac:dyDescent="0.3">
      <c r="A3986" t="s">
        <v>75</v>
      </c>
      <c r="B3986" t="str">
        <f>"300299"</f>
        <v>300299</v>
      </c>
      <c r="C3986" t="s">
        <v>8314</v>
      </c>
      <c r="D3986" t="s">
        <v>1165</v>
      </c>
      <c r="E3986">
        <v>97674777</v>
      </c>
      <c r="F3986">
        <v>118346186</v>
      </c>
      <c r="G3986">
        <v>212640744</v>
      </c>
      <c r="H3986">
        <v>83447855</v>
      </c>
      <c r="I3986">
        <v>108305466</v>
      </c>
      <c r="J3986">
        <v>101505962</v>
      </c>
      <c r="K3986">
        <v>98100678</v>
      </c>
      <c r="L3986">
        <v>62407075</v>
      </c>
      <c r="M3986">
        <v>31982437</v>
      </c>
      <c r="N3986">
        <v>24082720</v>
      </c>
      <c r="O3986">
        <v>5565059</v>
      </c>
      <c r="P3986">
        <v>187</v>
      </c>
      <c r="Q3986" t="s">
        <v>8315</v>
      </c>
    </row>
    <row r="3987" spans="1:17" x14ac:dyDescent="0.3">
      <c r="A3987" t="s">
        <v>17</v>
      </c>
      <c r="B3987" t="str">
        <f>"688151"</f>
        <v>688151</v>
      </c>
      <c r="C3987" t="s">
        <v>8316</v>
      </c>
      <c r="D3987" t="s">
        <v>3072</v>
      </c>
      <c r="E3987">
        <v>97624613</v>
      </c>
      <c r="P3987">
        <v>13</v>
      </c>
      <c r="Q3987" t="s">
        <v>8317</v>
      </c>
    </row>
    <row r="3988" spans="1:17" x14ac:dyDescent="0.3">
      <c r="A3988" t="s">
        <v>75</v>
      </c>
      <c r="B3988" t="str">
        <f>"300980"</f>
        <v>300980</v>
      </c>
      <c r="C3988" t="s">
        <v>8318</v>
      </c>
      <c r="D3988" t="s">
        <v>3251</v>
      </c>
      <c r="E3988">
        <v>97512566</v>
      </c>
      <c r="F3988">
        <v>80590047</v>
      </c>
      <c r="G3988">
        <v>49238573</v>
      </c>
      <c r="P3988">
        <v>77</v>
      </c>
      <c r="Q3988" t="s">
        <v>8319</v>
      </c>
    </row>
    <row r="3989" spans="1:17" x14ac:dyDescent="0.3">
      <c r="A3989" t="s">
        <v>17</v>
      </c>
      <c r="B3989" t="str">
        <f>"600353"</f>
        <v>600353</v>
      </c>
      <c r="C3989" t="s">
        <v>8320</v>
      </c>
      <c r="D3989" t="s">
        <v>221</v>
      </c>
      <c r="E3989">
        <v>97489548</v>
      </c>
      <c r="F3989">
        <v>97326983</v>
      </c>
      <c r="G3989">
        <v>170881003</v>
      </c>
      <c r="H3989">
        <v>136940198</v>
      </c>
      <c r="I3989">
        <v>245270148</v>
      </c>
      <c r="J3989">
        <v>187508682</v>
      </c>
      <c r="K3989">
        <v>215650277</v>
      </c>
      <c r="L3989">
        <v>153738509</v>
      </c>
      <c r="M3989">
        <v>107556078</v>
      </c>
      <c r="N3989">
        <v>85202961</v>
      </c>
      <c r="O3989">
        <v>95629728</v>
      </c>
      <c r="P3989">
        <v>141</v>
      </c>
      <c r="Q3989" t="s">
        <v>8321</v>
      </c>
    </row>
    <row r="3990" spans="1:17" x14ac:dyDescent="0.3">
      <c r="A3990" t="s">
        <v>17</v>
      </c>
      <c r="B3990" t="str">
        <f>"605180"</f>
        <v>605180</v>
      </c>
      <c r="C3990" t="s">
        <v>8322</v>
      </c>
      <c r="D3990" t="s">
        <v>2832</v>
      </c>
      <c r="E3990">
        <v>97385466</v>
      </c>
      <c r="F3990">
        <v>94705337</v>
      </c>
      <c r="G3990">
        <v>36470016</v>
      </c>
      <c r="P3990">
        <v>40</v>
      </c>
      <c r="Q3990" t="s">
        <v>8323</v>
      </c>
    </row>
    <row r="3991" spans="1:17" x14ac:dyDescent="0.3">
      <c r="A3991" t="s">
        <v>75</v>
      </c>
      <c r="B3991" t="str">
        <f>"300018"</f>
        <v>300018</v>
      </c>
      <c r="C3991" t="s">
        <v>8324</v>
      </c>
      <c r="D3991" t="s">
        <v>682</v>
      </c>
      <c r="E3991">
        <v>97236570</v>
      </c>
      <c r="F3991">
        <v>112882079</v>
      </c>
      <c r="G3991">
        <v>78110103</v>
      </c>
      <c r="H3991">
        <v>120205213</v>
      </c>
      <c r="I3991">
        <v>85517385</v>
      </c>
      <c r="J3991">
        <v>82440876</v>
      </c>
      <c r="K3991">
        <v>83671131</v>
      </c>
      <c r="L3991">
        <v>54228146</v>
      </c>
      <c r="M3991">
        <v>45729909</v>
      </c>
      <c r="N3991">
        <v>40266588</v>
      </c>
      <c r="O3991">
        <v>34408251</v>
      </c>
      <c r="P3991">
        <v>127</v>
      </c>
      <c r="Q3991" t="s">
        <v>8325</v>
      </c>
    </row>
    <row r="3992" spans="1:17" x14ac:dyDescent="0.3">
      <c r="A3992" t="s">
        <v>17</v>
      </c>
      <c r="B3992" t="str">
        <f>"600568"</f>
        <v>600568</v>
      </c>
      <c r="C3992" t="s">
        <v>8326</v>
      </c>
      <c r="D3992" t="s">
        <v>1129</v>
      </c>
      <c r="E3992">
        <v>97155936</v>
      </c>
      <c r="F3992">
        <v>117810030</v>
      </c>
      <c r="G3992">
        <v>183761111</v>
      </c>
      <c r="H3992">
        <v>173869414</v>
      </c>
      <c r="I3992">
        <v>159565235</v>
      </c>
      <c r="J3992">
        <v>204973601</v>
      </c>
      <c r="K3992">
        <v>350528788</v>
      </c>
      <c r="L3992">
        <v>308897904</v>
      </c>
      <c r="M3992">
        <v>139214092</v>
      </c>
      <c r="N3992">
        <v>108330643</v>
      </c>
      <c r="O3992">
        <v>176859068</v>
      </c>
      <c r="P3992">
        <v>98</v>
      </c>
      <c r="Q3992" t="s">
        <v>8327</v>
      </c>
    </row>
    <row r="3993" spans="1:17" x14ac:dyDescent="0.3">
      <c r="A3993" t="s">
        <v>17</v>
      </c>
      <c r="B3993" t="str">
        <f>"600130"</f>
        <v>600130</v>
      </c>
      <c r="C3993" t="s">
        <v>8328</v>
      </c>
      <c r="D3993" t="s">
        <v>55</v>
      </c>
      <c r="E3993">
        <v>96822125</v>
      </c>
      <c r="F3993">
        <v>200269134</v>
      </c>
      <c r="G3993">
        <v>49001633</v>
      </c>
      <c r="H3993">
        <v>159509433</v>
      </c>
      <c r="I3993">
        <v>196453382</v>
      </c>
      <c r="J3993">
        <v>536413498</v>
      </c>
      <c r="K3993">
        <v>887330145</v>
      </c>
      <c r="L3993">
        <v>363324726</v>
      </c>
      <c r="M3993">
        <v>362899750</v>
      </c>
      <c r="N3993">
        <v>287261305</v>
      </c>
      <c r="O3993">
        <v>190356035</v>
      </c>
      <c r="P3993">
        <v>93</v>
      </c>
      <c r="Q3993" t="s">
        <v>8329</v>
      </c>
    </row>
    <row r="3994" spans="1:17" x14ac:dyDescent="0.3">
      <c r="A3994" t="s">
        <v>17</v>
      </c>
      <c r="B3994" t="str">
        <f>"603789"</f>
        <v>603789</v>
      </c>
      <c r="C3994" t="s">
        <v>8330</v>
      </c>
      <c r="D3994" t="s">
        <v>1639</v>
      </c>
      <c r="E3994">
        <v>96674619</v>
      </c>
      <c r="F3994">
        <v>119567978</v>
      </c>
      <c r="G3994">
        <v>72334830</v>
      </c>
      <c r="H3994">
        <v>165320629</v>
      </c>
      <c r="I3994">
        <v>105082148</v>
      </c>
      <c r="J3994">
        <v>177836697</v>
      </c>
      <c r="K3994">
        <v>117255117</v>
      </c>
      <c r="L3994">
        <v>151355536</v>
      </c>
      <c r="P3994">
        <v>64</v>
      </c>
      <c r="Q3994" t="s">
        <v>8331</v>
      </c>
    </row>
    <row r="3995" spans="1:17" x14ac:dyDescent="0.3">
      <c r="A3995" t="s">
        <v>75</v>
      </c>
      <c r="B3995" t="str">
        <f>"301052"</f>
        <v>301052</v>
      </c>
      <c r="C3995" t="s">
        <v>8332</v>
      </c>
      <c r="D3995" t="s">
        <v>1703</v>
      </c>
      <c r="E3995">
        <v>96661985</v>
      </c>
      <c r="P3995">
        <v>16</v>
      </c>
      <c r="Q3995" t="s">
        <v>8333</v>
      </c>
    </row>
    <row r="3996" spans="1:17" x14ac:dyDescent="0.3">
      <c r="A3996" t="s">
        <v>75</v>
      </c>
      <c r="B3996" t="str">
        <f>"300929"</f>
        <v>300929</v>
      </c>
      <c r="C3996" t="s">
        <v>8334</v>
      </c>
      <c r="D3996" t="s">
        <v>1107</v>
      </c>
      <c r="E3996">
        <v>96642703</v>
      </c>
      <c r="F3996">
        <v>104500184</v>
      </c>
      <c r="G3996">
        <v>168177645</v>
      </c>
      <c r="P3996">
        <v>48</v>
      </c>
      <c r="Q3996" t="s">
        <v>8335</v>
      </c>
    </row>
    <row r="3997" spans="1:17" x14ac:dyDescent="0.3">
      <c r="A3997" t="s">
        <v>75</v>
      </c>
      <c r="B3997" t="str">
        <f>"300614"</f>
        <v>300614</v>
      </c>
      <c r="C3997" t="s">
        <v>8336</v>
      </c>
      <c r="D3997" t="s">
        <v>1187</v>
      </c>
      <c r="E3997">
        <v>96625607</v>
      </c>
      <c r="F3997">
        <v>95456122</v>
      </c>
      <c r="G3997">
        <v>87165588</v>
      </c>
      <c r="P3997">
        <v>41</v>
      </c>
      <c r="Q3997" t="s">
        <v>8337</v>
      </c>
    </row>
    <row r="3998" spans="1:17" x14ac:dyDescent="0.3">
      <c r="A3998" t="s">
        <v>75</v>
      </c>
      <c r="B3998" t="str">
        <f>"002877"</f>
        <v>002877</v>
      </c>
      <c r="C3998" t="s">
        <v>8338</v>
      </c>
      <c r="D3998" t="s">
        <v>153</v>
      </c>
      <c r="E3998">
        <v>96489901</v>
      </c>
      <c r="F3998">
        <v>113134542</v>
      </c>
      <c r="G3998">
        <v>65812131</v>
      </c>
      <c r="H3998">
        <v>73050630</v>
      </c>
      <c r="I3998">
        <v>63175282</v>
      </c>
      <c r="J3998">
        <v>30298051</v>
      </c>
      <c r="K3998">
        <v>0</v>
      </c>
      <c r="P3998">
        <v>100</v>
      </c>
      <c r="Q3998" t="s">
        <v>8339</v>
      </c>
    </row>
    <row r="3999" spans="1:17" x14ac:dyDescent="0.3">
      <c r="A3999" t="s">
        <v>17</v>
      </c>
      <c r="B3999" t="str">
        <f>"600209"</f>
        <v>600209</v>
      </c>
      <c r="C3999" t="s">
        <v>8340</v>
      </c>
      <c r="D3999" t="s">
        <v>707</v>
      </c>
      <c r="E3999">
        <v>96325052</v>
      </c>
      <c r="F3999">
        <v>18582309</v>
      </c>
      <c r="G3999">
        <v>25128688</v>
      </c>
      <c r="H3999">
        <v>66615554</v>
      </c>
      <c r="I3999">
        <v>52919762</v>
      </c>
      <c r="J3999">
        <v>55937592</v>
      </c>
      <c r="K3999">
        <v>31705896</v>
      </c>
      <c r="L3999">
        <v>42156736</v>
      </c>
      <c r="M3999">
        <v>55167036</v>
      </c>
      <c r="N3999">
        <v>53436081</v>
      </c>
      <c r="O3999">
        <v>120846251</v>
      </c>
      <c r="P3999">
        <v>49</v>
      </c>
      <c r="Q3999" t="s">
        <v>8341</v>
      </c>
    </row>
    <row r="4000" spans="1:17" x14ac:dyDescent="0.3">
      <c r="A4000" t="s">
        <v>17</v>
      </c>
      <c r="B4000" t="str">
        <f>"688659"</f>
        <v>688659</v>
      </c>
      <c r="C4000" t="s">
        <v>8342</v>
      </c>
      <c r="D4000" t="s">
        <v>292</v>
      </c>
      <c r="E4000">
        <v>96312792</v>
      </c>
      <c r="F4000">
        <v>66891947</v>
      </c>
      <c r="G4000">
        <v>82886533</v>
      </c>
      <c r="P4000">
        <v>40</v>
      </c>
      <c r="Q4000" t="s">
        <v>8343</v>
      </c>
    </row>
    <row r="4001" spans="1:17" x14ac:dyDescent="0.3">
      <c r="A4001" t="s">
        <v>17</v>
      </c>
      <c r="B4001" t="str">
        <f>"605255"</f>
        <v>605255</v>
      </c>
      <c r="C4001" t="s">
        <v>8344</v>
      </c>
      <c r="D4001" t="s">
        <v>172</v>
      </c>
      <c r="E4001">
        <v>96254387</v>
      </c>
      <c r="F4001">
        <v>119510139</v>
      </c>
      <c r="G4001">
        <v>89461668</v>
      </c>
      <c r="P4001">
        <v>51</v>
      </c>
      <c r="Q4001" t="s">
        <v>8345</v>
      </c>
    </row>
    <row r="4002" spans="1:17" x14ac:dyDescent="0.3">
      <c r="A4002" t="s">
        <v>75</v>
      </c>
      <c r="B4002" t="str">
        <f>"002205"</f>
        <v>002205</v>
      </c>
      <c r="C4002" t="s">
        <v>8346</v>
      </c>
      <c r="D4002" t="s">
        <v>2307</v>
      </c>
      <c r="E4002">
        <v>96202908</v>
      </c>
      <c r="F4002">
        <v>73113361</v>
      </c>
      <c r="G4002">
        <v>101320739</v>
      </c>
      <c r="H4002">
        <v>130248905</v>
      </c>
      <c r="I4002">
        <v>66163250</v>
      </c>
      <c r="J4002">
        <v>67722716</v>
      </c>
      <c r="K4002">
        <v>66325786</v>
      </c>
      <c r="L4002">
        <v>89508080</v>
      </c>
      <c r="M4002">
        <v>106682137</v>
      </c>
      <c r="N4002">
        <v>122657561</v>
      </c>
      <c r="O4002">
        <v>149064785</v>
      </c>
      <c r="P4002">
        <v>86</v>
      </c>
      <c r="Q4002" t="s">
        <v>8347</v>
      </c>
    </row>
    <row r="4003" spans="1:17" x14ac:dyDescent="0.3">
      <c r="A4003" t="s">
        <v>75</v>
      </c>
      <c r="B4003" t="str">
        <f>"301279"</f>
        <v>301279</v>
      </c>
      <c r="C4003" t="s">
        <v>8348</v>
      </c>
      <c r="E4003">
        <v>96173549</v>
      </c>
      <c r="F4003">
        <v>111069751</v>
      </c>
      <c r="P4003">
        <v>5</v>
      </c>
      <c r="Q4003" t="s">
        <v>8349</v>
      </c>
    </row>
    <row r="4004" spans="1:17" x14ac:dyDescent="0.3">
      <c r="A4004" t="s">
        <v>75</v>
      </c>
      <c r="B4004" t="str">
        <f>"000721"</f>
        <v>000721</v>
      </c>
      <c r="C4004" t="s">
        <v>8350</v>
      </c>
      <c r="D4004" t="s">
        <v>4807</v>
      </c>
      <c r="E4004">
        <v>95981788</v>
      </c>
      <c r="F4004">
        <v>93737800</v>
      </c>
      <c r="G4004">
        <v>51332508</v>
      </c>
      <c r="H4004">
        <v>129572934</v>
      </c>
      <c r="I4004">
        <v>116691380</v>
      </c>
      <c r="J4004">
        <v>113431832</v>
      </c>
      <c r="K4004">
        <v>105849069</v>
      </c>
      <c r="L4004">
        <v>110263747</v>
      </c>
      <c r="M4004">
        <v>119545325</v>
      </c>
      <c r="N4004">
        <v>134236699</v>
      </c>
      <c r="O4004">
        <v>132957951</v>
      </c>
      <c r="P4004">
        <v>130</v>
      </c>
      <c r="Q4004" t="s">
        <v>8351</v>
      </c>
    </row>
    <row r="4005" spans="1:17" x14ac:dyDescent="0.3">
      <c r="A4005" t="s">
        <v>17</v>
      </c>
      <c r="B4005" t="str">
        <f>"688267"</f>
        <v>688267</v>
      </c>
      <c r="C4005" t="s">
        <v>8352</v>
      </c>
      <c r="E4005">
        <v>95845312</v>
      </c>
      <c r="P4005">
        <v>7</v>
      </c>
      <c r="Q4005" t="s">
        <v>8353</v>
      </c>
    </row>
    <row r="4006" spans="1:17" x14ac:dyDescent="0.3">
      <c r="A4006" t="s">
        <v>17</v>
      </c>
      <c r="B4006" t="str">
        <f>"688578"</f>
        <v>688578</v>
      </c>
      <c r="C4006" t="s">
        <v>8354</v>
      </c>
      <c r="D4006" t="s">
        <v>543</v>
      </c>
      <c r="E4006">
        <v>95701230</v>
      </c>
      <c r="F4006">
        <v>4390822</v>
      </c>
      <c r="G4006">
        <v>0</v>
      </c>
      <c r="H4006">
        <v>0</v>
      </c>
      <c r="P4006">
        <v>47</v>
      </c>
      <c r="Q4006" t="s">
        <v>8355</v>
      </c>
    </row>
    <row r="4007" spans="1:17" x14ac:dyDescent="0.3">
      <c r="A4007" t="s">
        <v>75</v>
      </c>
      <c r="B4007" t="str">
        <f>"003007"</f>
        <v>003007</v>
      </c>
      <c r="C4007" t="s">
        <v>8356</v>
      </c>
      <c r="D4007" t="s">
        <v>116</v>
      </c>
      <c r="E4007">
        <v>95700189</v>
      </c>
      <c r="F4007">
        <v>89048556</v>
      </c>
      <c r="G4007">
        <v>77678958</v>
      </c>
      <c r="P4007">
        <v>38</v>
      </c>
      <c r="Q4007" t="s">
        <v>8357</v>
      </c>
    </row>
    <row r="4008" spans="1:17" x14ac:dyDescent="0.3">
      <c r="A4008" t="s">
        <v>75</v>
      </c>
      <c r="B4008" t="str">
        <f>"002161"</f>
        <v>002161</v>
      </c>
      <c r="C4008" t="s">
        <v>8358</v>
      </c>
      <c r="D4008" t="s">
        <v>221</v>
      </c>
      <c r="E4008">
        <v>95504920</v>
      </c>
      <c r="F4008">
        <v>103921864</v>
      </c>
      <c r="G4008">
        <v>100366437</v>
      </c>
      <c r="H4008">
        <v>140529654</v>
      </c>
      <c r="I4008">
        <v>77084222</v>
      </c>
      <c r="J4008">
        <v>103430671</v>
      </c>
      <c r="K4008">
        <v>92576056</v>
      </c>
      <c r="L4008">
        <v>152242245</v>
      </c>
      <c r="M4008">
        <v>125408291</v>
      </c>
      <c r="N4008">
        <v>94880700</v>
      </c>
      <c r="O4008">
        <v>46910426</v>
      </c>
      <c r="P4008">
        <v>211</v>
      </c>
      <c r="Q4008" t="s">
        <v>8359</v>
      </c>
    </row>
    <row r="4009" spans="1:17" x14ac:dyDescent="0.3">
      <c r="A4009" t="s">
        <v>75</v>
      </c>
      <c r="B4009" t="str">
        <f>"300831"</f>
        <v>300831</v>
      </c>
      <c r="C4009" t="s">
        <v>8360</v>
      </c>
      <c r="D4009" t="s">
        <v>2728</v>
      </c>
      <c r="E4009">
        <v>95355593</v>
      </c>
      <c r="F4009">
        <v>20038831</v>
      </c>
      <c r="G4009">
        <v>19759544</v>
      </c>
      <c r="H4009">
        <v>74168053</v>
      </c>
      <c r="P4009">
        <v>129</v>
      </c>
      <c r="Q4009" t="s">
        <v>8361</v>
      </c>
    </row>
    <row r="4010" spans="1:17" x14ac:dyDescent="0.3">
      <c r="A4010" t="s">
        <v>75</v>
      </c>
      <c r="B4010" t="str">
        <f>"300786"</f>
        <v>300786</v>
      </c>
      <c r="C4010" t="s">
        <v>8362</v>
      </c>
      <c r="D4010" t="s">
        <v>1642</v>
      </c>
      <c r="E4010">
        <v>95229046</v>
      </c>
      <c r="F4010">
        <v>130779601</v>
      </c>
      <c r="G4010">
        <v>77377924</v>
      </c>
      <c r="H4010">
        <v>88628616</v>
      </c>
      <c r="I4010">
        <v>65522923</v>
      </c>
      <c r="P4010">
        <v>95</v>
      </c>
      <c r="Q4010" t="s">
        <v>8363</v>
      </c>
    </row>
    <row r="4011" spans="1:17" x14ac:dyDescent="0.3">
      <c r="A4011" t="s">
        <v>17</v>
      </c>
      <c r="B4011" t="str">
        <f>"603105"</f>
        <v>603105</v>
      </c>
      <c r="C4011" t="s">
        <v>8364</v>
      </c>
      <c r="D4011" t="s">
        <v>3126</v>
      </c>
      <c r="E4011">
        <v>95011031</v>
      </c>
      <c r="F4011">
        <v>70226515</v>
      </c>
      <c r="G4011">
        <v>73201509</v>
      </c>
      <c r="H4011">
        <v>55472308</v>
      </c>
      <c r="I4011">
        <v>89252597</v>
      </c>
      <c r="J4011">
        <v>43897722</v>
      </c>
      <c r="P4011">
        <v>144</v>
      </c>
      <c r="Q4011" t="s">
        <v>8365</v>
      </c>
    </row>
    <row r="4012" spans="1:17" x14ac:dyDescent="0.3">
      <c r="A4012" t="s">
        <v>75</v>
      </c>
      <c r="B4012" t="str">
        <f>"300811"</f>
        <v>300811</v>
      </c>
      <c r="C4012" t="s">
        <v>8366</v>
      </c>
      <c r="D4012" t="s">
        <v>1096</v>
      </c>
      <c r="E4012">
        <v>94992870</v>
      </c>
      <c r="F4012">
        <v>59458733</v>
      </c>
      <c r="G4012">
        <v>45987297</v>
      </c>
      <c r="H4012">
        <v>53918822</v>
      </c>
      <c r="P4012">
        <v>163</v>
      </c>
      <c r="Q4012" t="s">
        <v>8367</v>
      </c>
    </row>
    <row r="4013" spans="1:17" x14ac:dyDescent="0.3">
      <c r="A4013" t="s">
        <v>75</v>
      </c>
      <c r="B4013" t="str">
        <f>"002767"</f>
        <v>002767</v>
      </c>
      <c r="C4013" t="s">
        <v>8368</v>
      </c>
      <c r="D4013" t="s">
        <v>2549</v>
      </c>
      <c r="E4013">
        <v>94961541</v>
      </c>
      <c r="F4013">
        <v>54655399</v>
      </c>
      <c r="G4013">
        <v>39602089</v>
      </c>
      <c r="H4013">
        <v>48477249</v>
      </c>
      <c r="I4013">
        <v>49439554</v>
      </c>
      <c r="J4013">
        <v>45301353</v>
      </c>
      <c r="K4013">
        <v>38656180</v>
      </c>
      <c r="L4013">
        <v>0</v>
      </c>
      <c r="M4013">
        <v>0</v>
      </c>
      <c r="P4013">
        <v>73</v>
      </c>
      <c r="Q4013" t="s">
        <v>8369</v>
      </c>
    </row>
    <row r="4014" spans="1:17" x14ac:dyDescent="0.3">
      <c r="A4014" t="s">
        <v>75</v>
      </c>
      <c r="B4014" t="str">
        <f>"300606"</f>
        <v>300606</v>
      </c>
      <c r="C4014" t="s">
        <v>8370</v>
      </c>
      <c r="D4014" t="s">
        <v>3587</v>
      </c>
      <c r="E4014">
        <v>94878740</v>
      </c>
      <c r="F4014">
        <v>73922356</v>
      </c>
      <c r="G4014">
        <v>138951133</v>
      </c>
      <c r="H4014">
        <v>59737725</v>
      </c>
      <c r="I4014">
        <v>56531064</v>
      </c>
      <c r="J4014">
        <v>61483412</v>
      </c>
      <c r="K4014">
        <v>54453397</v>
      </c>
      <c r="P4014">
        <v>92</v>
      </c>
      <c r="Q4014" t="s">
        <v>8371</v>
      </c>
    </row>
    <row r="4015" spans="1:17" x14ac:dyDescent="0.3">
      <c r="A4015" t="s">
        <v>75</v>
      </c>
      <c r="B4015" t="str">
        <f>"300111"</f>
        <v>300111</v>
      </c>
      <c r="C4015" t="s">
        <v>8372</v>
      </c>
      <c r="D4015" t="s">
        <v>417</v>
      </c>
      <c r="E4015">
        <v>94760563</v>
      </c>
      <c r="F4015">
        <v>50495121</v>
      </c>
      <c r="G4015">
        <v>63151731</v>
      </c>
      <c r="H4015">
        <v>102553617</v>
      </c>
      <c r="I4015">
        <v>163562284</v>
      </c>
      <c r="J4015">
        <v>159110699</v>
      </c>
      <c r="K4015">
        <v>360323504</v>
      </c>
      <c r="L4015">
        <v>378997938</v>
      </c>
      <c r="M4015">
        <v>396181235</v>
      </c>
      <c r="N4015">
        <v>180287103</v>
      </c>
      <c r="O4015">
        <v>250178503</v>
      </c>
      <c r="P4015">
        <v>124</v>
      </c>
      <c r="Q4015" t="s">
        <v>8373</v>
      </c>
    </row>
    <row r="4016" spans="1:17" x14ac:dyDescent="0.3">
      <c r="A4016" t="s">
        <v>75</v>
      </c>
      <c r="B4016" t="str">
        <f>"002338"</f>
        <v>002338</v>
      </c>
      <c r="C4016" t="s">
        <v>8374</v>
      </c>
      <c r="D4016" t="s">
        <v>1572</v>
      </c>
      <c r="E4016">
        <v>94701089</v>
      </c>
      <c r="F4016">
        <v>142215841</v>
      </c>
      <c r="G4016">
        <v>131995133</v>
      </c>
      <c r="H4016">
        <v>64871256</v>
      </c>
      <c r="I4016">
        <v>55504365</v>
      </c>
      <c r="J4016">
        <v>48183648</v>
      </c>
      <c r="K4016">
        <v>67281441</v>
      </c>
      <c r="L4016">
        <v>47895373</v>
      </c>
      <c r="M4016">
        <v>48774681</v>
      </c>
      <c r="N4016">
        <v>17431664</v>
      </c>
      <c r="O4016">
        <v>32275267</v>
      </c>
      <c r="P4016">
        <v>147</v>
      </c>
      <c r="Q4016" t="s">
        <v>8375</v>
      </c>
    </row>
    <row r="4017" spans="1:17" x14ac:dyDescent="0.3">
      <c r="A4017" t="s">
        <v>75</v>
      </c>
      <c r="B4017" t="str">
        <f>"301198"</f>
        <v>301198</v>
      </c>
      <c r="C4017" t="s">
        <v>8376</v>
      </c>
      <c r="D4017" t="s">
        <v>1603</v>
      </c>
      <c r="E4017">
        <v>94636997</v>
      </c>
      <c r="P4017">
        <v>16</v>
      </c>
      <c r="Q4017" t="s">
        <v>8377</v>
      </c>
    </row>
    <row r="4018" spans="1:17" x14ac:dyDescent="0.3">
      <c r="A4018" t="s">
        <v>17</v>
      </c>
      <c r="B4018" t="str">
        <f>"688626"</f>
        <v>688626</v>
      </c>
      <c r="C4018" t="s">
        <v>8378</v>
      </c>
      <c r="D4018" t="s">
        <v>334</v>
      </c>
      <c r="E4018">
        <v>94386928</v>
      </c>
      <c r="F4018">
        <v>88332831</v>
      </c>
      <c r="G4018">
        <v>40366706</v>
      </c>
      <c r="P4018">
        <v>82</v>
      </c>
      <c r="Q4018" t="s">
        <v>8379</v>
      </c>
    </row>
    <row r="4019" spans="1:17" x14ac:dyDescent="0.3">
      <c r="A4019" t="s">
        <v>17</v>
      </c>
      <c r="B4019" t="str">
        <f>"605028"</f>
        <v>605028</v>
      </c>
      <c r="C4019" t="s">
        <v>8380</v>
      </c>
      <c r="D4019" t="s">
        <v>446</v>
      </c>
      <c r="E4019">
        <v>94371573</v>
      </c>
      <c r="F4019">
        <v>88431358</v>
      </c>
      <c r="G4019">
        <v>56445891</v>
      </c>
      <c r="P4019">
        <v>46</v>
      </c>
      <c r="Q4019" t="s">
        <v>8381</v>
      </c>
    </row>
    <row r="4020" spans="1:17" x14ac:dyDescent="0.3">
      <c r="A4020" t="s">
        <v>17</v>
      </c>
      <c r="B4020" t="str">
        <f>"600226"</f>
        <v>600226</v>
      </c>
      <c r="C4020" t="s">
        <v>8382</v>
      </c>
      <c r="D4020" t="s">
        <v>1165</v>
      </c>
      <c r="E4020">
        <v>94227116</v>
      </c>
      <c r="F4020">
        <v>88032003</v>
      </c>
      <c r="G4020">
        <v>94142574</v>
      </c>
      <c r="H4020">
        <v>133743537</v>
      </c>
      <c r="I4020">
        <v>235883820</v>
      </c>
      <c r="J4020">
        <v>224288414</v>
      </c>
      <c r="K4020">
        <v>186927153</v>
      </c>
      <c r="L4020">
        <v>210250195</v>
      </c>
      <c r="M4020">
        <v>281907975</v>
      </c>
      <c r="N4020">
        <v>314471399</v>
      </c>
      <c r="O4020">
        <v>372549366</v>
      </c>
      <c r="P4020">
        <v>109</v>
      </c>
      <c r="Q4020" t="s">
        <v>8383</v>
      </c>
    </row>
    <row r="4021" spans="1:17" x14ac:dyDescent="0.3">
      <c r="A4021" t="s">
        <v>17</v>
      </c>
      <c r="B4021" t="str">
        <f>"688127"</f>
        <v>688127</v>
      </c>
      <c r="C4021" t="s">
        <v>8384</v>
      </c>
      <c r="D4021" t="s">
        <v>975</v>
      </c>
      <c r="E4021">
        <v>94064800</v>
      </c>
      <c r="F4021">
        <v>128932481</v>
      </c>
      <c r="G4021">
        <v>0</v>
      </c>
      <c r="H4021">
        <v>0</v>
      </c>
      <c r="P4021">
        <v>86</v>
      </c>
      <c r="Q4021" t="s">
        <v>8385</v>
      </c>
    </row>
    <row r="4022" spans="1:17" x14ac:dyDescent="0.3">
      <c r="A4022" t="s">
        <v>17</v>
      </c>
      <c r="B4022" t="str">
        <f>"688589"</f>
        <v>688589</v>
      </c>
      <c r="C4022" t="s">
        <v>8386</v>
      </c>
      <c r="D4022" t="s">
        <v>883</v>
      </c>
      <c r="E4022">
        <v>94053680</v>
      </c>
      <c r="F4022">
        <v>43329423</v>
      </c>
      <c r="G4022">
        <v>30789911</v>
      </c>
      <c r="H4022">
        <v>32147830</v>
      </c>
      <c r="P4022">
        <v>73</v>
      </c>
      <c r="Q4022" t="s">
        <v>8387</v>
      </c>
    </row>
    <row r="4023" spans="1:17" x14ac:dyDescent="0.3">
      <c r="A4023" t="s">
        <v>75</v>
      </c>
      <c r="B4023" t="str">
        <f>"002848"</f>
        <v>002848</v>
      </c>
      <c r="C4023" t="s">
        <v>8388</v>
      </c>
      <c r="D4023" t="s">
        <v>1413</v>
      </c>
      <c r="E4023">
        <v>94022916</v>
      </c>
      <c r="F4023">
        <v>171679631</v>
      </c>
      <c r="G4023">
        <v>94157511</v>
      </c>
      <c r="H4023">
        <v>175102866</v>
      </c>
      <c r="I4023">
        <v>153875182</v>
      </c>
      <c r="J4023">
        <v>181687124</v>
      </c>
      <c r="K4023">
        <v>227019284</v>
      </c>
      <c r="P4023">
        <v>189</v>
      </c>
      <c r="Q4023" t="s">
        <v>8389</v>
      </c>
    </row>
    <row r="4024" spans="1:17" x14ac:dyDescent="0.3">
      <c r="A4024" t="s">
        <v>17</v>
      </c>
      <c r="B4024" t="str">
        <f>"688677"</f>
        <v>688677</v>
      </c>
      <c r="C4024" t="s">
        <v>8390</v>
      </c>
      <c r="D4024" t="s">
        <v>334</v>
      </c>
      <c r="E4024">
        <v>94017503</v>
      </c>
      <c r="F4024">
        <v>66986010</v>
      </c>
      <c r="I4024">
        <v>48937178</v>
      </c>
      <c r="P4024">
        <v>94</v>
      </c>
      <c r="Q4024" t="s">
        <v>8391</v>
      </c>
    </row>
    <row r="4025" spans="1:17" x14ac:dyDescent="0.3">
      <c r="A4025" t="s">
        <v>17</v>
      </c>
      <c r="B4025" t="str">
        <f>"600714"</f>
        <v>600714</v>
      </c>
      <c r="C4025" t="s">
        <v>8392</v>
      </c>
      <c r="D4025" t="s">
        <v>1275</v>
      </c>
      <c r="E4025">
        <v>93977314</v>
      </c>
      <c r="F4025">
        <v>31243649</v>
      </c>
      <c r="G4025">
        <v>18588563</v>
      </c>
      <c r="H4025">
        <v>70588968</v>
      </c>
      <c r="I4025">
        <v>19957794</v>
      </c>
      <c r="J4025">
        <v>6689182</v>
      </c>
      <c r="K4025">
        <v>13379125</v>
      </c>
      <c r="L4025">
        <v>172365115</v>
      </c>
      <c r="M4025">
        <v>50526853</v>
      </c>
      <c r="N4025">
        <v>170110971</v>
      </c>
      <c r="O4025">
        <v>88607742</v>
      </c>
      <c r="P4025">
        <v>68</v>
      </c>
      <c r="Q4025" t="s">
        <v>8393</v>
      </c>
    </row>
    <row r="4026" spans="1:17" x14ac:dyDescent="0.3">
      <c r="A4026" t="s">
        <v>75</v>
      </c>
      <c r="B4026" t="str">
        <f>"301024"</f>
        <v>301024</v>
      </c>
      <c r="C4026" t="s">
        <v>8394</v>
      </c>
      <c r="D4026" t="s">
        <v>2118</v>
      </c>
      <c r="E4026">
        <v>93892553</v>
      </c>
      <c r="F4026">
        <v>54776705</v>
      </c>
      <c r="G4026">
        <v>60147296</v>
      </c>
      <c r="P4026">
        <v>22</v>
      </c>
      <c r="Q4026" t="s">
        <v>8395</v>
      </c>
    </row>
    <row r="4027" spans="1:17" x14ac:dyDescent="0.3">
      <c r="A4027" t="s">
        <v>75</v>
      </c>
      <c r="B4027" t="str">
        <f>"003015"</f>
        <v>003015</v>
      </c>
      <c r="C4027" t="s">
        <v>8396</v>
      </c>
      <c r="D4027" t="s">
        <v>975</v>
      </c>
      <c r="E4027">
        <v>93699222</v>
      </c>
      <c r="F4027">
        <v>71813799</v>
      </c>
      <c r="G4027">
        <v>93583353</v>
      </c>
      <c r="P4027">
        <v>46</v>
      </c>
      <c r="Q4027" t="s">
        <v>8397</v>
      </c>
    </row>
    <row r="4028" spans="1:17" x14ac:dyDescent="0.3">
      <c r="A4028" t="s">
        <v>75</v>
      </c>
      <c r="B4028" t="str">
        <f>"300447"</f>
        <v>300447</v>
      </c>
      <c r="C4028" t="s">
        <v>8398</v>
      </c>
      <c r="D4028" t="s">
        <v>1572</v>
      </c>
      <c r="E4028">
        <v>93610672</v>
      </c>
      <c r="F4028">
        <v>80402228</v>
      </c>
      <c r="G4028">
        <v>122513180</v>
      </c>
      <c r="H4028">
        <v>133162715</v>
      </c>
      <c r="I4028">
        <v>57506925</v>
      </c>
      <c r="J4028">
        <v>48357213</v>
      </c>
      <c r="K4028">
        <v>42796318</v>
      </c>
      <c r="L4028">
        <v>38346622</v>
      </c>
      <c r="P4028">
        <v>119</v>
      </c>
      <c r="Q4028" t="s">
        <v>8399</v>
      </c>
    </row>
    <row r="4029" spans="1:17" x14ac:dyDescent="0.3">
      <c r="A4029" t="s">
        <v>75</v>
      </c>
      <c r="B4029" t="str">
        <f>"002072"</f>
        <v>002072</v>
      </c>
      <c r="C4029" t="s">
        <v>8400</v>
      </c>
      <c r="D4029" t="s">
        <v>1284</v>
      </c>
      <c r="E4029">
        <v>93422725</v>
      </c>
      <c r="F4029">
        <v>4872168</v>
      </c>
      <c r="G4029">
        <v>6161957</v>
      </c>
      <c r="H4029">
        <v>1395679</v>
      </c>
      <c r="I4029">
        <v>40937798</v>
      </c>
      <c r="J4029">
        <v>18883570</v>
      </c>
      <c r="K4029">
        <v>183365</v>
      </c>
      <c r="L4029">
        <v>17248363</v>
      </c>
      <c r="M4029">
        <v>180431174</v>
      </c>
      <c r="N4029">
        <v>248084583</v>
      </c>
      <c r="O4029">
        <v>174661838</v>
      </c>
      <c r="P4029">
        <v>64</v>
      </c>
      <c r="Q4029" t="s">
        <v>8401</v>
      </c>
    </row>
    <row r="4030" spans="1:17" x14ac:dyDescent="0.3">
      <c r="A4030" t="s">
        <v>17</v>
      </c>
      <c r="B4030" t="str">
        <f>"600381"</f>
        <v>600381</v>
      </c>
      <c r="C4030" t="s">
        <v>8402</v>
      </c>
      <c r="D4030" t="s">
        <v>2100</v>
      </c>
      <c r="E4030">
        <v>93340866</v>
      </c>
      <c r="F4030">
        <v>18527085</v>
      </c>
      <c r="G4030">
        <v>5425836</v>
      </c>
      <c r="H4030">
        <v>21935652</v>
      </c>
      <c r="I4030">
        <v>71972689</v>
      </c>
      <c r="J4030">
        <v>156514367</v>
      </c>
      <c r="K4030">
        <v>111262466</v>
      </c>
      <c r="L4030">
        <v>356608620</v>
      </c>
      <c r="M4030">
        <v>700000</v>
      </c>
      <c r="N4030">
        <v>0</v>
      </c>
      <c r="O4030">
        <v>121635612</v>
      </c>
      <c r="P4030">
        <v>131</v>
      </c>
      <c r="Q4030" t="s">
        <v>8403</v>
      </c>
    </row>
    <row r="4031" spans="1:17" x14ac:dyDescent="0.3">
      <c r="A4031" t="s">
        <v>75</v>
      </c>
      <c r="B4031" t="str">
        <f>"300949"</f>
        <v>300949</v>
      </c>
      <c r="C4031" t="s">
        <v>8404</v>
      </c>
      <c r="D4031" t="s">
        <v>1523</v>
      </c>
      <c r="E4031">
        <v>93318869</v>
      </c>
      <c r="F4031">
        <v>115527257</v>
      </c>
      <c r="G4031">
        <v>75456292</v>
      </c>
      <c r="P4031">
        <v>39</v>
      </c>
      <c r="Q4031" t="s">
        <v>8405</v>
      </c>
    </row>
    <row r="4032" spans="1:17" x14ac:dyDescent="0.3">
      <c r="A4032" t="s">
        <v>75</v>
      </c>
      <c r="B4032" t="str">
        <f>"300851"</f>
        <v>300851</v>
      </c>
      <c r="C4032" t="s">
        <v>8406</v>
      </c>
      <c r="D4032" t="s">
        <v>156</v>
      </c>
      <c r="E4032">
        <v>93312787</v>
      </c>
      <c r="F4032">
        <v>98019501</v>
      </c>
      <c r="G4032">
        <v>24183563</v>
      </c>
      <c r="H4032">
        <v>43557392</v>
      </c>
      <c r="P4032">
        <v>45</v>
      </c>
      <c r="Q4032" t="s">
        <v>8407</v>
      </c>
    </row>
    <row r="4033" spans="1:17" x14ac:dyDescent="0.3">
      <c r="A4033" t="s">
        <v>17</v>
      </c>
      <c r="B4033" t="str">
        <f>"605398"</f>
        <v>605398</v>
      </c>
      <c r="C4033" t="s">
        <v>8408</v>
      </c>
      <c r="D4033" t="s">
        <v>224</v>
      </c>
      <c r="E4033">
        <v>93312478</v>
      </c>
      <c r="F4033">
        <v>82496341</v>
      </c>
      <c r="G4033">
        <v>47841714</v>
      </c>
      <c r="P4033">
        <v>39</v>
      </c>
      <c r="Q4033" t="s">
        <v>8409</v>
      </c>
    </row>
    <row r="4034" spans="1:17" x14ac:dyDescent="0.3">
      <c r="A4034" t="s">
        <v>75</v>
      </c>
      <c r="B4034" t="str">
        <f>"002581"</f>
        <v>002581</v>
      </c>
      <c r="C4034" t="s">
        <v>8410</v>
      </c>
      <c r="D4034" t="s">
        <v>1533</v>
      </c>
      <c r="E4034">
        <v>93250988</v>
      </c>
      <c r="F4034">
        <v>94360939</v>
      </c>
      <c r="G4034">
        <v>102612409</v>
      </c>
      <c r="H4034">
        <v>154514592</v>
      </c>
      <c r="I4034">
        <v>202695404</v>
      </c>
      <c r="J4034">
        <v>244611984</v>
      </c>
      <c r="K4034">
        <v>261666272</v>
      </c>
      <c r="L4034">
        <v>91998288</v>
      </c>
      <c r="M4034">
        <v>76276748</v>
      </c>
      <c r="N4034">
        <v>52420526</v>
      </c>
      <c r="O4034">
        <v>65016947</v>
      </c>
      <c r="P4034">
        <v>228</v>
      </c>
      <c r="Q4034" t="s">
        <v>8411</v>
      </c>
    </row>
    <row r="4035" spans="1:17" x14ac:dyDescent="0.3">
      <c r="A4035" t="s">
        <v>17</v>
      </c>
      <c r="B4035" t="str">
        <f>"600260"</f>
        <v>600260</v>
      </c>
      <c r="C4035" t="s">
        <v>8412</v>
      </c>
      <c r="D4035" t="s">
        <v>4225</v>
      </c>
      <c r="E4035">
        <v>93226896</v>
      </c>
      <c r="F4035">
        <v>1706086679</v>
      </c>
      <c r="G4035">
        <v>587945167</v>
      </c>
      <c r="H4035">
        <v>1912102787</v>
      </c>
      <c r="I4035">
        <v>4074671495</v>
      </c>
      <c r="J4035">
        <v>4028283338</v>
      </c>
      <c r="K4035">
        <v>1274475675</v>
      </c>
      <c r="L4035">
        <v>230339492</v>
      </c>
      <c r="M4035">
        <v>250371945</v>
      </c>
      <c r="N4035">
        <v>462706390</v>
      </c>
      <c r="O4035">
        <v>352942229</v>
      </c>
      <c r="P4035">
        <v>467</v>
      </c>
      <c r="Q4035" t="s">
        <v>8413</v>
      </c>
    </row>
    <row r="4036" spans="1:17" x14ac:dyDescent="0.3">
      <c r="A4036" t="s">
        <v>17</v>
      </c>
      <c r="B4036" t="str">
        <f>"600560"</f>
        <v>600560</v>
      </c>
      <c r="C4036" t="s">
        <v>8414</v>
      </c>
      <c r="D4036" t="s">
        <v>786</v>
      </c>
      <c r="E4036">
        <v>93121974</v>
      </c>
      <c r="F4036">
        <v>208559310</v>
      </c>
      <c r="G4036">
        <v>161256233</v>
      </c>
      <c r="H4036">
        <v>101791408</v>
      </c>
      <c r="I4036">
        <v>100425468</v>
      </c>
      <c r="J4036">
        <v>53385230</v>
      </c>
      <c r="K4036">
        <v>51294949</v>
      </c>
      <c r="L4036">
        <v>94619545</v>
      </c>
      <c r="M4036">
        <v>106797299</v>
      </c>
      <c r="N4036">
        <v>353051034</v>
      </c>
      <c r="O4036">
        <v>278073544</v>
      </c>
      <c r="P4036">
        <v>78</v>
      </c>
      <c r="Q4036" t="s">
        <v>8415</v>
      </c>
    </row>
    <row r="4037" spans="1:17" x14ac:dyDescent="0.3">
      <c r="A4037" t="s">
        <v>17</v>
      </c>
      <c r="B4037" t="str">
        <f>"688179"</f>
        <v>688179</v>
      </c>
      <c r="C4037" t="s">
        <v>8416</v>
      </c>
      <c r="D4037" t="s">
        <v>292</v>
      </c>
      <c r="E4037">
        <v>93112817</v>
      </c>
      <c r="F4037">
        <v>69946366</v>
      </c>
      <c r="G4037">
        <v>38176766</v>
      </c>
      <c r="H4037">
        <v>43869007</v>
      </c>
      <c r="I4037">
        <v>30381975</v>
      </c>
      <c r="P4037">
        <v>156</v>
      </c>
      <c r="Q4037" t="s">
        <v>8417</v>
      </c>
    </row>
    <row r="4038" spans="1:17" x14ac:dyDescent="0.3">
      <c r="A4038" t="s">
        <v>75</v>
      </c>
      <c r="B4038" t="str">
        <f>"300067"</f>
        <v>300067</v>
      </c>
      <c r="C4038" t="s">
        <v>8418</v>
      </c>
      <c r="D4038" t="s">
        <v>1160</v>
      </c>
      <c r="E4038">
        <v>92800537</v>
      </c>
      <c r="F4038">
        <v>126425034</v>
      </c>
      <c r="G4038">
        <v>95080450</v>
      </c>
      <c r="H4038">
        <v>129228847</v>
      </c>
      <c r="I4038">
        <v>156634587</v>
      </c>
      <c r="J4038">
        <v>174145386</v>
      </c>
      <c r="K4038">
        <v>111209008</v>
      </c>
      <c r="L4038">
        <v>81618407</v>
      </c>
      <c r="M4038">
        <v>50814257</v>
      </c>
      <c r="N4038">
        <v>26353889</v>
      </c>
      <c r="O4038">
        <v>31607190</v>
      </c>
      <c r="P4038">
        <v>100</v>
      </c>
      <c r="Q4038" t="s">
        <v>8419</v>
      </c>
    </row>
    <row r="4039" spans="1:17" x14ac:dyDescent="0.3">
      <c r="A4039" t="s">
        <v>17</v>
      </c>
      <c r="B4039" t="str">
        <f>"605098"</f>
        <v>605098</v>
      </c>
      <c r="C4039" t="s">
        <v>8420</v>
      </c>
      <c r="D4039" t="s">
        <v>1739</v>
      </c>
      <c r="E4039">
        <v>92776452</v>
      </c>
      <c r="F4039">
        <v>97714190</v>
      </c>
      <c r="G4039">
        <v>52749869</v>
      </c>
      <c r="P4039">
        <v>53</v>
      </c>
      <c r="Q4039" t="s">
        <v>8421</v>
      </c>
    </row>
    <row r="4040" spans="1:17" x14ac:dyDescent="0.3">
      <c r="A4040" t="s">
        <v>75</v>
      </c>
      <c r="B4040" t="str">
        <f>"002086"</f>
        <v>002086</v>
      </c>
      <c r="C4040" t="s">
        <v>8422</v>
      </c>
      <c r="D4040" t="s">
        <v>2597</v>
      </c>
      <c r="E4040">
        <v>92694426</v>
      </c>
      <c r="F4040">
        <v>78818463</v>
      </c>
      <c r="G4040">
        <v>72973503</v>
      </c>
      <c r="H4040">
        <v>111443762</v>
      </c>
      <c r="I4040">
        <v>122568311</v>
      </c>
      <c r="J4040">
        <v>107731381</v>
      </c>
      <c r="K4040">
        <v>97728787</v>
      </c>
      <c r="L4040">
        <v>152043469</v>
      </c>
      <c r="M4040">
        <v>101698505</v>
      </c>
      <c r="N4040">
        <v>114513203</v>
      </c>
      <c r="O4040">
        <v>181192776</v>
      </c>
      <c r="P4040">
        <v>70</v>
      </c>
      <c r="Q4040" t="s">
        <v>8423</v>
      </c>
    </row>
    <row r="4041" spans="1:17" x14ac:dyDescent="0.3">
      <c r="A4041" t="s">
        <v>17</v>
      </c>
      <c r="B4041" t="str">
        <f>"688279"</f>
        <v>688279</v>
      </c>
      <c r="C4041" t="s">
        <v>8424</v>
      </c>
      <c r="E4041">
        <v>92637042</v>
      </c>
      <c r="P4041">
        <v>6</v>
      </c>
      <c r="Q4041" t="s">
        <v>8425</v>
      </c>
    </row>
    <row r="4042" spans="1:17" x14ac:dyDescent="0.3">
      <c r="A4042" t="s">
        <v>75</v>
      </c>
      <c r="B4042" t="str">
        <f>"300468"</f>
        <v>300468</v>
      </c>
      <c r="C4042" t="s">
        <v>8426</v>
      </c>
      <c r="D4042" t="s">
        <v>116</v>
      </c>
      <c r="E4042">
        <v>92631466</v>
      </c>
      <c r="F4042">
        <v>91568193</v>
      </c>
      <c r="G4042">
        <v>49964879</v>
      </c>
      <c r="H4042">
        <v>127921910</v>
      </c>
      <c r="I4042">
        <v>75125682</v>
      </c>
      <c r="J4042">
        <v>65896988</v>
      </c>
      <c r="K4042">
        <v>46423334</v>
      </c>
      <c r="L4042">
        <v>0</v>
      </c>
      <c r="M4042">
        <v>0</v>
      </c>
      <c r="P4042">
        <v>213</v>
      </c>
      <c r="Q4042" t="s">
        <v>8427</v>
      </c>
    </row>
    <row r="4043" spans="1:17" x14ac:dyDescent="0.3">
      <c r="A4043" t="s">
        <v>75</v>
      </c>
      <c r="B4043" t="str">
        <f>"300990"</f>
        <v>300990</v>
      </c>
      <c r="C4043" t="s">
        <v>8428</v>
      </c>
      <c r="D4043" t="s">
        <v>2626</v>
      </c>
      <c r="E4043">
        <v>92556286</v>
      </c>
      <c r="F4043">
        <v>95900101</v>
      </c>
      <c r="G4043">
        <v>65933165</v>
      </c>
      <c r="P4043">
        <v>42</v>
      </c>
      <c r="Q4043" t="s">
        <v>8429</v>
      </c>
    </row>
    <row r="4044" spans="1:17" x14ac:dyDescent="0.3">
      <c r="A4044" t="s">
        <v>17</v>
      </c>
      <c r="B4044" t="str">
        <f>"688699"</f>
        <v>688699</v>
      </c>
      <c r="C4044" t="s">
        <v>8430</v>
      </c>
      <c r="D4044" t="s">
        <v>2580</v>
      </c>
      <c r="E4044">
        <v>92288956</v>
      </c>
      <c r="F4044">
        <v>95996205</v>
      </c>
      <c r="G4044">
        <v>54246016</v>
      </c>
      <c r="P4044">
        <v>140</v>
      </c>
      <c r="Q4044" t="s">
        <v>8431</v>
      </c>
    </row>
    <row r="4045" spans="1:17" x14ac:dyDescent="0.3">
      <c r="A4045" t="s">
        <v>17</v>
      </c>
      <c r="B4045" t="str">
        <f>"688786"</f>
        <v>688786</v>
      </c>
      <c r="C4045" t="s">
        <v>8432</v>
      </c>
      <c r="D4045" t="s">
        <v>1526</v>
      </c>
      <c r="E4045">
        <v>92221643</v>
      </c>
      <c r="P4045">
        <v>31</v>
      </c>
      <c r="Q4045" t="s">
        <v>8433</v>
      </c>
    </row>
    <row r="4046" spans="1:17" x14ac:dyDescent="0.3">
      <c r="A4046" t="s">
        <v>75</v>
      </c>
      <c r="B4046" t="str">
        <f>"002113"</f>
        <v>002113</v>
      </c>
      <c r="C4046" t="s">
        <v>8434</v>
      </c>
      <c r="D4046" t="s">
        <v>1165</v>
      </c>
      <c r="E4046">
        <v>92135343</v>
      </c>
      <c r="F4046">
        <v>135543388</v>
      </c>
      <c r="G4046">
        <v>151211799</v>
      </c>
      <c r="H4046">
        <v>140680874</v>
      </c>
      <c r="I4046">
        <v>162180126</v>
      </c>
      <c r="J4046">
        <v>24344946</v>
      </c>
      <c r="K4046">
        <v>4501000</v>
      </c>
      <c r="L4046">
        <v>4450000</v>
      </c>
      <c r="M4046">
        <v>4174024</v>
      </c>
      <c r="N4046">
        <v>7017088</v>
      </c>
      <c r="O4046">
        <v>6208139</v>
      </c>
      <c r="P4046">
        <v>77</v>
      </c>
      <c r="Q4046" t="s">
        <v>8435</v>
      </c>
    </row>
    <row r="4047" spans="1:17" x14ac:dyDescent="0.3">
      <c r="A4047" t="s">
        <v>17</v>
      </c>
      <c r="B4047" t="str">
        <f>"603755"</f>
        <v>603755</v>
      </c>
      <c r="C4047" t="s">
        <v>8436</v>
      </c>
      <c r="D4047" t="s">
        <v>774</v>
      </c>
      <c r="E4047">
        <v>92116653</v>
      </c>
      <c r="F4047">
        <v>73848357</v>
      </c>
      <c r="G4047">
        <v>39923883</v>
      </c>
      <c r="H4047">
        <v>58262030</v>
      </c>
      <c r="P4047">
        <v>370</v>
      </c>
      <c r="Q4047" t="s">
        <v>8437</v>
      </c>
    </row>
    <row r="4048" spans="1:17" x14ac:dyDescent="0.3">
      <c r="A4048" t="s">
        <v>75</v>
      </c>
      <c r="B4048" t="str">
        <f>"300245"</f>
        <v>300245</v>
      </c>
      <c r="C4048" t="s">
        <v>8438</v>
      </c>
      <c r="D4048" t="s">
        <v>224</v>
      </c>
      <c r="E4048">
        <v>91805575</v>
      </c>
      <c r="F4048">
        <v>114275707</v>
      </c>
      <c r="G4048">
        <v>39834734</v>
      </c>
      <c r="H4048">
        <v>60923858</v>
      </c>
      <c r="I4048">
        <v>61863483</v>
      </c>
      <c r="J4048">
        <v>69212996</v>
      </c>
      <c r="K4048">
        <v>54331740</v>
      </c>
      <c r="L4048">
        <v>67766780</v>
      </c>
      <c r="M4048">
        <v>52931724</v>
      </c>
      <c r="N4048">
        <v>63290837</v>
      </c>
      <c r="O4048">
        <v>54813321</v>
      </c>
      <c r="P4048">
        <v>128</v>
      </c>
      <c r="Q4048" t="s">
        <v>8439</v>
      </c>
    </row>
    <row r="4049" spans="1:17" x14ac:dyDescent="0.3">
      <c r="A4049" t="s">
        <v>17</v>
      </c>
      <c r="B4049" t="str">
        <f>"688168"</f>
        <v>688168</v>
      </c>
      <c r="C4049" t="s">
        <v>8440</v>
      </c>
      <c r="D4049" t="s">
        <v>989</v>
      </c>
      <c r="E4049">
        <v>91749987</v>
      </c>
      <c r="F4049">
        <v>92703389</v>
      </c>
      <c r="G4049">
        <v>54217878</v>
      </c>
      <c r="H4049">
        <v>47141569</v>
      </c>
      <c r="P4049">
        <v>144</v>
      </c>
      <c r="Q4049" t="s">
        <v>8441</v>
      </c>
    </row>
    <row r="4050" spans="1:17" x14ac:dyDescent="0.3">
      <c r="A4050" t="s">
        <v>17</v>
      </c>
      <c r="B4050" t="str">
        <f>"688630"</f>
        <v>688630</v>
      </c>
      <c r="C4050" t="s">
        <v>8442</v>
      </c>
      <c r="D4050" t="s">
        <v>1624</v>
      </c>
      <c r="E4050">
        <v>91370045</v>
      </c>
      <c r="F4050">
        <v>61884122</v>
      </c>
      <c r="G4050">
        <v>25427611</v>
      </c>
      <c r="P4050">
        <v>63</v>
      </c>
      <c r="Q4050" t="s">
        <v>8443</v>
      </c>
    </row>
    <row r="4051" spans="1:17" x14ac:dyDescent="0.3">
      <c r="A4051" t="s">
        <v>75</v>
      </c>
      <c r="B4051" t="str">
        <f>"300572"</f>
        <v>300572</v>
      </c>
      <c r="C4051" t="s">
        <v>8444</v>
      </c>
      <c r="D4051" t="s">
        <v>3153</v>
      </c>
      <c r="E4051">
        <v>91306644</v>
      </c>
      <c r="F4051">
        <v>117417475</v>
      </c>
      <c r="G4051">
        <v>76187717</v>
      </c>
      <c r="H4051">
        <v>201663663</v>
      </c>
      <c r="I4051">
        <v>93448797</v>
      </c>
      <c r="J4051">
        <v>109459692</v>
      </c>
      <c r="K4051">
        <v>61853960</v>
      </c>
      <c r="P4051">
        <v>466</v>
      </c>
      <c r="Q4051" t="s">
        <v>8445</v>
      </c>
    </row>
    <row r="4052" spans="1:17" x14ac:dyDescent="0.3">
      <c r="A4052" t="s">
        <v>75</v>
      </c>
      <c r="B4052" t="str">
        <f>"301092"</f>
        <v>301092</v>
      </c>
      <c r="C4052" t="s">
        <v>8446</v>
      </c>
      <c r="D4052" t="s">
        <v>2855</v>
      </c>
      <c r="E4052">
        <v>91237139</v>
      </c>
      <c r="G4052">
        <v>77549040</v>
      </c>
      <c r="P4052">
        <v>22</v>
      </c>
      <c r="Q4052" t="s">
        <v>8447</v>
      </c>
    </row>
    <row r="4053" spans="1:17" x14ac:dyDescent="0.3">
      <c r="A4053" t="s">
        <v>17</v>
      </c>
      <c r="B4053" t="str">
        <f>"688210"</f>
        <v>688210</v>
      </c>
      <c r="C4053" t="s">
        <v>8448</v>
      </c>
      <c r="D4053" t="s">
        <v>55</v>
      </c>
      <c r="E4053">
        <v>91030715</v>
      </c>
      <c r="P4053">
        <v>9</v>
      </c>
      <c r="Q4053" t="s">
        <v>8449</v>
      </c>
    </row>
    <row r="4054" spans="1:17" x14ac:dyDescent="0.3">
      <c r="A4054" t="s">
        <v>17</v>
      </c>
      <c r="B4054" t="str">
        <f>"688698"</f>
        <v>688698</v>
      </c>
      <c r="C4054" t="s">
        <v>8450</v>
      </c>
      <c r="D4054" t="s">
        <v>1352</v>
      </c>
      <c r="E4054">
        <v>90919392</v>
      </c>
      <c r="F4054">
        <v>67497961</v>
      </c>
      <c r="G4054">
        <v>40126424</v>
      </c>
      <c r="P4054">
        <v>74</v>
      </c>
      <c r="Q4054" t="s">
        <v>8451</v>
      </c>
    </row>
    <row r="4055" spans="1:17" x14ac:dyDescent="0.3">
      <c r="A4055" t="s">
        <v>75</v>
      </c>
      <c r="B4055" t="str">
        <f>"002667"</f>
        <v>002667</v>
      </c>
      <c r="C4055" t="s">
        <v>8452</v>
      </c>
      <c r="D4055" t="s">
        <v>786</v>
      </c>
      <c r="E4055">
        <v>90838916</v>
      </c>
      <c r="F4055">
        <v>69971521</v>
      </c>
      <c r="G4055">
        <v>35991604</v>
      </c>
      <c r="H4055">
        <v>57925748</v>
      </c>
      <c r="I4055">
        <v>30609206</v>
      </c>
      <c r="J4055">
        <v>32067820</v>
      </c>
      <c r="K4055">
        <v>28946351</v>
      </c>
      <c r="L4055">
        <v>38558158</v>
      </c>
      <c r="M4055">
        <v>41174530</v>
      </c>
      <c r="N4055">
        <v>53113066</v>
      </c>
      <c r="O4055">
        <v>33391638</v>
      </c>
      <c r="P4055">
        <v>73</v>
      </c>
      <c r="Q4055" t="s">
        <v>8453</v>
      </c>
    </row>
    <row r="4056" spans="1:17" x14ac:dyDescent="0.3">
      <c r="A4056" t="s">
        <v>75</v>
      </c>
      <c r="B4056" t="str">
        <f>"300809"</f>
        <v>300809</v>
      </c>
      <c r="C4056" t="s">
        <v>8454</v>
      </c>
      <c r="D4056" t="s">
        <v>3360</v>
      </c>
      <c r="E4056">
        <v>90745426</v>
      </c>
      <c r="F4056">
        <v>80369553</v>
      </c>
      <c r="G4056">
        <v>108406473</v>
      </c>
      <c r="H4056">
        <v>111575386</v>
      </c>
      <c r="P4056">
        <v>110</v>
      </c>
      <c r="Q4056" t="s">
        <v>8455</v>
      </c>
    </row>
    <row r="4057" spans="1:17" x14ac:dyDescent="0.3">
      <c r="A4057" t="s">
        <v>75</v>
      </c>
      <c r="B4057" t="str">
        <f>"300549"</f>
        <v>300549</v>
      </c>
      <c r="C4057" t="s">
        <v>8456</v>
      </c>
      <c r="D4057" t="s">
        <v>1624</v>
      </c>
      <c r="E4057">
        <v>90569696</v>
      </c>
      <c r="F4057">
        <v>89752467</v>
      </c>
      <c r="G4057">
        <v>83605521</v>
      </c>
      <c r="H4057">
        <v>92494060</v>
      </c>
      <c r="I4057">
        <v>125371802</v>
      </c>
      <c r="J4057">
        <v>100720141</v>
      </c>
      <c r="K4057">
        <v>92087694</v>
      </c>
      <c r="P4057">
        <v>92</v>
      </c>
      <c r="Q4057" t="s">
        <v>8457</v>
      </c>
    </row>
    <row r="4058" spans="1:17" x14ac:dyDescent="0.3">
      <c r="A4058" t="s">
        <v>75</v>
      </c>
      <c r="B4058" t="str">
        <f>"301120"</f>
        <v>301120</v>
      </c>
      <c r="C4058" t="s">
        <v>8458</v>
      </c>
      <c r="E4058">
        <v>90278217</v>
      </c>
      <c r="F4058">
        <v>53667037</v>
      </c>
      <c r="P4058">
        <v>7</v>
      </c>
      <c r="Q4058" t="s">
        <v>8459</v>
      </c>
    </row>
    <row r="4059" spans="1:17" x14ac:dyDescent="0.3">
      <c r="A4059" t="s">
        <v>75</v>
      </c>
      <c r="B4059" t="str">
        <f>"300948"</f>
        <v>300948</v>
      </c>
      <c r="C4059" t="s">
        <v>8460</v>
      </c>
      <c r="D4059" t="s">
        <v>1523</v>
      </c>
      <c r="E4059">
        <v>90166706</v>
      </c>
      <c r="F4059">
        <v>32516996</v>
      </c>
      <c r="G4059">
        <v>37103180</v>
      </c>
      <c r="P4059">
        <v>38</v>
      </c>
      <c r="Q4059" t="s">
        <v>8461</v>
      </c>
    </row>
    <row r="4060" spans="1:17" x14ac:dyDescent="0.3">
      <c r="A4060" t="s">
        <v>17</v>
      </c>
      <c r="B4060" t="str">
        <f>"688182"</f>
        <v>688182</v>
      </c>
      <c r="C4060" t="s">
        <v>8462</v>
      </c>
      <c r="D4060" t="s">
        <v>169</v>
      </c>
      <c r="E4060">
        <v>90151760</v>
      </c>
      <c r="F4060">
        <v>105747254</v>
      </c>
      <c r="G4060">
        <v>407663793</v>
      </c>
      <c r="P4060">
        <v>17</v>
      </c>
      <c r="Q4060" t="s">
        <v>8463</v>
      </c>
    </row>
    <row r="4061" spans="1:17" x14ac:dyDescent="0.3">
      <c r="A4061" t="s">
        <v>17</v>
      </c>
      <c r="B4061" t="str">
        <f>"900953"</f>
        <v>900953</v>
      </c>
      <c r="C4061" t="s">
        <v>8464</v>
      </c>
      <c r="E4061">
        <v>90116891.190599993</v>
      </c>
      <c r="F4061">
        <v>102526718.0856</v>
      </c>
      <c r="G4061">
        <v>71821145.935000002</v>
      </c>
      <c r="H4061">
        <v>145660970.49399999</v>
      </c>
      <c r="I4061">
        <v>172648301.3046</v>
      </c>
      <c r="J4061">
        <v>181464763.29960001</v>
      </c>
      <c r="K4061">
        <v>163865563.67120001</v>
      </c>
      <c r="L4061">
        <v>210836426.2008</v>
      </c>
      <c r="M4061">
        <v>244956237.83039999</v>
      </c>
      <c r="N4061">
        <v>232404361.028</v>
      </c>
      <c r="O4061">
        <v>244900711.93720001</v>
      </c>
      <c r="P4061">
        <v>6</v>
      </c>
      <c r="Q4061" t="s">
        <v>8465</v>
      </c>
    </row>
    <row r="4062" spans="1:17" x14ac:dyDescent="0.3">
      <c r="A4062" t="s">
        <v>75</v>
      </c>
      <c r="B4062" t="str">
        <f>"300711"</f>
        <v>300711</v>
      </c>
      <c r="C4062" t="s">
        <v>8466</v>
      </c>
      <c r="D4062" t="s">
        <v>4225</v>
      </c>
      <c r="E4062">
        <v>90006930</v>
      </c>
      <c r="F4062">
        <v>51575968</v>
      </c>
      <c r="G4062">
        <v>70299367</v>
      </c>
      <c r="H4062">
        <v>51099861</v>
      </c>
      <c r="I4062">
        <v>49469451</v>
      </c>
      <c r="J4062">
        <v>35938093</v>
      </c>
      <c r="P4062">
        <v>130</v>
      </c>
      <c r="Q4062" t="s">
        <v>8467</v>
      </c>
    </row>
    <row r="4063" spans="1:17" x14ac:dyDescent="0.3">
      <c r="A4063" t="s">
        <v>75</v>
      </c>
      <c r="B4063" t="str">
        <f>"002858"</f>
        <v>002858</v>
      </c>
      <c r="C4063" t="s">
        <v>8468</v>
      </c>
      <c r="D4063" t="s">
        <v>4124</v>
      </c>
      <c r="E4063">
        <v>89806808</v>
      </c>
      <c r="F4063">
        <v>83956045</v>
      </c>
      <c r="G4063">
        <v>102998140</v>
      </c>
      <c r="H4063">
        <v>108913562</v>
      </c>
      <c r="I4063">
        <v>54178733</v>
      </c>
      <c r="J4063">
        <v>39831220</v>
      </c>
      <c r="K4063">
        <v>58911046</v>
      </c>
      <c r="P4063">
        <v>75</v>
      </c>
      <c r="Q4063" t="s">
        <v>8469</v>
      </c>
    </row>
    <row r="4064" spans="1:17" x14ac:dyDescent="0.3">
      <c r="A4064" t="s">
        <v>75</v>
      </c>
      <c r="B4064" t="str">
        <f>"300818"</f>
        <v>300818</v>
      </c>
      <c r="C4064" t="s">
        <v>8470</v>
      </c>
      <c r="D4064" t="s">
        <v>3587</v>
      </c>
      <c r="E4064">
        <v>89612935</v>
      </c>
      <c r="F4064">
        <v>67301390</v>
      </c>
      <c r="G4064">
        <v>134163178</v>
      </c>
      <c r="H4064">
        <v>60715262</v>
      </c>
      <c r="P4064">
        <v>92</v>
      </c>
      <c r="Q4064" t="s">
        <v>8471</v>
      </c>
    </row>
    <row r="4065" spans="1:17" x14ac:dyDescent="0.3">
      <c r="A4065" t="s">
        <v>75</v>
      </c>
      <c r="B4065" t="str">
        <f>"300262"</f>
        <v>300262</v>
      </c>
      <c r="C4065" t="s">
        <v>8472</v>
      </c>
      <c r="D4065" t="s">
        <v>1107</v>
      </c>
      <c r="E4065">
        <v>89208661</v>
      </c>
      <c r="F4065">
        <v>230641889</v>
      </c>
      <c r="G4065">
        <v>148626751</v>
      </c>
      <c r="H4065">
        <v>188262425</v>
      </c>
      <c r="I4065">
        <v>249753920</v>
      </c>
      <c r="J4065">
        <v>142259970</v>
      </c>
      <c r="K4065">
        <v>89797527</v>
      </c>
      <c r="L4065">
        <v>42078259</v>
      </c>
      <c r="M4065">
        <v>40640362</v>
      </c>
      <c r="N4065">
        <v>11131218</v>
      </c>
      <c r="O4065">
        <v>10356529</v>
      </c>
      <c r="P4065">
        <v>127</v>
      </c>
      <c r="Q4065" t="s">
        <v>8473</v>
      </c>
    </row>
    <row r="4066" spans="1:17" x14ac:dyDescent="0.3">
      <c r="A4066" t="s">
        <v>75</v>
      </c>
      <c r="B4066" t="str">
        <f>"300321"</f>
        <v>300321</v>
      </c>
      <c r="C4066" t="s">
        <v>8474</v>
      </c>
      <c r="D4066" t="s">
        <v>134</v>
      </c>
      <c r="E4066">
        <v>88905480</v>
      </c>
      <c r="F4066">
        <v>59220639</v>
      </c>
      <c r="G4066">
        <v>52328126</v>
      </c>
      <c r="H4066">
        <v>54099024</v>
      </c>
      <c r="I4066">
        <v>61588743</v>
      </c>
      <c r="J4066">
        <v>59625426</v>
      </c>
      <c r="K4066">
        <v>54373579</v>
      </c>
      <c r="L4066">
        <v>70609220</v>
      </c>
      <c r="M4066">
        <v>117428365</v>
      </c>
      <c r="N4066">
        <v>89160198</v>
      </c>
      <c r="O4066">
        <v>70253548</v>
      </c>
      <c r="P4066">
        <v>45</v>
      </c>
      <c r="Q4066" t="s">
        <v>8475</v>
      </c>
    </row>
    <row r="4067" spans="1:17" x14ac:dyDescent="0.3">
      <c r="A4067" t="s">
        <v>75</v>
      </c>
      <c r="B4067" t="str">
        <f>"300537"</f>
        <v>300537</v>
      </c>
      <c r="C4067" t="s">
        <v>8476</v>
      </c>
      <c r="D4067" t="s">
        <v>1853</v>
      </c>
      <c r="E4067">
        <v>88560877</v>
      </c>
      <c r="F4067">
        <v>117083818</v>
      </c>
      <c r="G4067">
        <v>131103439</v>
      </c>
      <c r="H4067">
        <v>109700552</v>
      </c>
      <c r="I4067">
        <v>89074009</v>
      </c>
      <c r="J4067">
        <v>65454969</v>
      </c>
      <c r="K4067">
        <v>69629334</v>
      </c>
      <c r="P4067">
        <v>225</v>
      </c>
      <c r="Q4067" t="s">
        <v>8477</v>
      </c>
    </row>
    <row r="4068" spans="1:17" x14ac:dyDescent="0.3">
      <c r="A4068" t="s">
        <v>75</v>
      </c>
      <c r="B4068" t="str">
        <f>"000796"</f>
        <v>000796</v>
      </c>
      <c r="C4068" t="s">
        <v>8478</v>
      </c>
      <c r="D4068" t="s">
        <v>6342</v>
      </c>
      <c r="E4068">
        <v>88544811</v>
      </c>
      <c r="F4068">
        <v>311294771</v>
      </c>
      <c r="G4068">
        <v>584541525</v>
      </c>
      <c r="H4068">
        <v>1589502278</v>
      </c>
      <c r="I4068">
        <v>1719150367</v>
      </c>
      <c r="J4068">
        <v>1230810918</v>
      </c>
      <c r="K4068">
        <v>1089990508</v>
      </c>
      <c r="L4068">
        <v>119551092</v>
      </c>
      <c r="M4068">
        <v>182483804</v>
      </c>
      <c r="N4068">
        <v>98511768</v>
      </c>
      <c r="O4068">
        <v>85134331</v>
      </c>
      <c r="P4068">
        <v>224</v>
      </c>
      <c r="Q4068" t="s">
        <v>8479</v>
      </c>
    </row>
    <row r="4069" spans="1:17" x14ac:dyDescent="0.3">
      <c r="A4069" t="s">
        <v>75</v>
      </c>
      <c r="B4069" t="str">
        <f>"000576"</f>
        <v>000576</v>
      </c>
      <c r="C4069" t="s">
        <v>8480</v>
      </c>
      <c r="D4069" t="s">
        <v>3072</v>
      </c>
      <c r="E4069">
        <v>88514459</v>
      </c>
      <c r="F4069">
        <v>67158845</v>
      </c>
      <c r="G4069">
        <v>118075525</v>
      </c>
      <c r="H4069">
        <v>64629306</v>
      </c>
      <c r="I4069">
        <v>94484994</v>
      </c>
      <c r="J4069">
        <v>48402820</v>
      </c>
      <c r="K4069">
        <v>30553040</v>
      </c>
      <c r="L4069">
        <v>26337396</v>
      </c>
      <c r="M4069">
        <v>21174243</v>
      </c>
      <c r="N4069">
        <v>26326973</v>
      </c>
      <c r="O4069">
        <v>24241999</v>
      </c>
      <c r="P4069">
        <v>161</v>
      </c>
      <c r="Q4069" t="s">
        <v>8481</v>
      </c>
    </row>
    <row r="4070" spans="1:17" x14ac:dyDescent="0.3">
      <c r="A4070" t="s">
        <v>75</v>
      </c>
      <c r="B4070" t="str">
        <f>"300862"</f>
        <v>300862</v>
      </c>
      <c r="C4070" t="s">
        <v>8482</v>
      </c>
      <c r="D4070" t="s">
        <v>2549</v>
      </c>
      <c r="E4070">
        <v>88500322</v>
      </c>
      <c r="F4070">
        <v>82919272</v>
      </c>
      <c r="G4070">
        <v>62662505</v>
      </c>
      <c r="P4070">
        <v>68</v>
      </c>
      <c r="Q4070" t="s">
        <v>8483</v>
      </c>
    </row>
    <row r="4071" spans="1:17" x14ac:dyDescent="0.3">
      <c r="A4071" t="s">
        <v>17</v>
      </c>
      <c r="B4071" t="str">
        <f>"600834"</f>
        <v>600834</v>
      </c>
      <c r="C4071" t="s">
        <v>8484</v>
      </c>
      <c r="D4071" t="s">
        <v>1195</v>
      </c>
      <c r="E4071">
        <v>88373108</v>
      </c>
      <c r="F4071">
        <v>30505602</v>
      </c>
      <c r="G4071">
        <v>54572079</v>
      </c>
      <c r="H4071">
        <v>192336221</v>
      </c>
      <c r="I4071">
        <v>171321896</v>
      </c>
      <c r="J4071">
        <v>176027963</v>
      </c>
      <c r="K4071">
        <v>174994717</v>
      </c>
      <c r="L4071">
        <v>183334322</v>
      </c>
      <c r="M4071">
        <v>178479296</v>
      </c>
      <c r="N4071">
        <v>168282369</v>
      </c>
      <c r="O4071">
        <v>180597502</v>
      </c>
      <c r="P4071">
        <v>120</v>
      </c>
      <c r="Q4071" t="s">
        <v>8485</v>
      </c>
    </row>
    <row r="4072" spans="1:17" x14ac:dyDescent="0.3">
      <c r="A4072" t="s">
        <v>75</v>
      </c>
      <c r="B4072" t="str">
        <f>"002622"</f>
        <v>002622</v>
      </c>
      <c r="C4072" t="s">
        <v>8486</v>
      </c>
      <c r="D4072" t="s">
        <v>347</v>
      </c>
      <c r="E4072">
        <v>88289809</v>
      </c>
      <c r="F4072">
        <v>22195317</v>
      </c>
      <c r="G4072">
        <v>24099038</v>
      </c>
      <c r="H4072">
        <v>44784625</v>
      </c>
      <c r="I4072">
        <v>25294407</v>
      </c>
      <c r="J4072">
        <v>31283584</v>
      </c>
      <c r="K4072">
        <v>14237857</v>
      </c>
      <c r="L4072">
        <v>17572469</v>
      </c>
      <c r="M4072">
        <v>26545421</v>
      </c>
      <c r="N4072">
        <v>42261332</v>
      </c>
      <c r="O4072">
        <v>76275409</v>
      </c>
      <c r="P4072">
        <v>120</v>
      </c>
      <c r="Q4072" t="s">
        <v>8487</v>
      </c>
    </row>
    <row r="4073" spans="1:17" x14ac:dyDescent="0.3">
      <c r="A4073" t="s">
        <v>17</v>
      </c>
      <c r="B4073" t="str">
        <f>"688501"</f>
        <v>688501</v>
      </c>
      <c r="C4073" t="s">
        <v>8488</v>
      </c>
      <c r="D4073" t="s">
        <v>1642</v>
      </c>
      <c r="E4073">
        <v>88184268</v>
      </c>
      <c r="F4073">
        <v>84480450</v>
      </c>
      <c r="G4073">
        <v>69484914</v>
      </c>
      <c r="P4073">
        <v>24</v>
      </c>
      <c r="Q4073" t="s">
        <v>8489</v>
      </c>
    </row>
    <row r="4074" spans="1:17" x14ac:dyDescent="0.3">
      <c r="A4074" t="s">
        <v>75</v>
      </c>
      <c r="B4074" t="str">
        <f>"300762"</f>
        <v>300762</v>
      </c>
      <c r="C4074" t="s">
        <v>8490</v>
      </c>
      <c r="D4074" t="s">
        <v>1572</v>
      </c>
      <c r="E4074">
        <v>87585831</v>
      </c>
      <c r="F4074">
        <v>184264873</v>
      </c>
      <c r="G4074">
        <v>71820892</v>
      </c>
      <c r="H4074">
        <v>56323527</v>
      </c>
      <c r="I4074">
        <v>44949016</v>
      </c>
      <c r="J4074">
        <v>22386763</v>
      </c>
      <c r="P4074">
        <v>181</v>
      </c>
      <c r="Q4074" t="s">
        <v>8491</v>
      </c>
    </row>
    <row r="4075" spans="1:17" x14ac:dyDescent="0.3">
      <c r="A4075" t="s">
        <v>17</v>
      </c>
      <c r="B4075" t="str">
        <f>"688234"</f>
        <v>688234</v>
      </c>
      <c r="C4075" t="s">
        <v>8492</v>
      </c>
      <c r="D4075" t="s">
        <v>489</v>
      </c>
      <c r="E4075">
        <v>87494104</v>
      </c>
      <c r="P4075">
        <v>32</v>
      </c>
      <c r="Q4075" t="s">
        <v>8493</v>
      </c>
    </row>
    <row r="4076" spans="1:17" x14ac:dyDescent="0.3">
      <c r="A4076" t="s">
        <v>17</v>
      </c>
      <c r="B4076" t="str">
        <f>"603041"</f>
        <v>603041</v>
      </c>
      <c r="C4076" t="s">
        <v>8494</v>
      </c>
      <c r="D4076" t="s">
        <v>134</v>
      </c>
      <c r="E4076">
        <v>87453279</v>
      </c>
      <c r="F4076">
        <v>74034576</v>
      </c>
      <c r="G4076">
        <v>55581650</v>
      </c>
      <c r="H4076">
        <v>67768395</v>
      </c>
      <c r="I4076">
        <v>65153155</v>
      </c>
      <c r="J4076">
        <v>45144238</v>
      </c>
      <c r="K4076">
        <v>41586041</v>
      </c>
      <c r="P4076">
        <v>98</v>
      </c>
      <c r="Q4076" t="s">
        <v>8495</v>
      </c>
    </row>
    <row r="4077" spans="1:17" x14ac:dyDescent="0.3">
      <c r="A4077" t="s">
        <v>75</v>
      </c>
      <c r="B4077" t="str">
        <f>"300093"</f>
        <v>300093</v>
      </c>
      <c r="C4077" t="s">
        <v>8496</v>
      </c>
      <c r="D4077" t="s">
        <v>1436</v>
      </c>
      <c r="E4077">
        <v>87303985</v>
      </c>
      <c r="F4077">
        <v>161579237</v>
      </c>
      <c r="G4077">
        <v>111447494</v>
      </c>
      <c r="H4077">
        <v>222440239</v>
      </c>
      <c r="I4077">
        <v>183877990</v>
      </c>
      <c r="J4077">
        <v>79716674</v>
      </c>
      <c r="K4077">
        <v>70618550</v>
      </c>
      <c r="L4077">
        <v>98470571</v>
      </c>
      <c r="M4077">
        <v>130098814</v>
      </c>
      <c r="N4077">
        <v>120734414</v>
      </c>
      <c r="O4077">
        <v>116123611</v>
      </c>
      <c r="P4077">
        <v>80</v>
      </c>
      <c r="Q4077" t="s">
        <v>8497</v>
      </c>
    </row>
    <row r="4078" spans="1:17" x14ac:dyDescent="0.3">
      <c r="A4078" t="s">
        <v>17</v>
      </c>
      <c r="B4078" t="str">
        <f>"688195"</f>
        <v>688195</v>
      </c>
      <c r="C4078" t="s">
        <v>8498</v>
      </c>
      <c r="D4078" t="s">
        <v>975</v>
      </c>
      <c r="E4078">
        <v>87133883</v>
      </c>
      <c r="F4078">
        <v>55720587</v>
      </c>
      <c r="G4078">
        <v>35886791</v>
      </c>
      <c r="P4078">
        <v>41</v>
      </c>
      <c r="Q4078" t="s">
        <v>8499</v>
      </c>
    </row>
    <row r="4079" spans="1:17" x14ac:dyDescent="0.3">
      <c r="A4079" t="s">
        <v>17</v>
      </c>
      <c r="B4079" t="str">
        <f>"688616"</f>
        <v>688616</v>
      </c>
      <c r="C4079" t="s">
        <v>8500</v>
      </c>
      <c r="D4079" t="s">
        <v>2251</v>
      </c>
      <c r="E4079">
        <v>87092009</v>
      </c>
      <c r="F4079">
        <v>84596191</v>
      </c>
      <c r="G4079">
        <v>65462222</v>
      </c>
      <c r="P4079">
        <v>23</v>
      </c>
      <c r="Q4079" t="s">
        <v>8501</v>
      </c>
    </row>
    <row r="4080" spans="1:17" x14ac:dyDescent="0.3">
      <c r="A4080" t="s">
        <v>75</v>
      </c>
      <c r="B4080" t="str">
        <f>"300902"</f>
        <v>300902</v>
      </c>
      <c r="C4080" t="s">
        <v>8502</v>
      </c>
      <c r="D4080" t="s">
        <v>1624</v>
      </c>
      <c r="E4080">
        <v>87034083</v>
      </c>
      <c r="F4080">
        <v>36797674</v>
      </c>
      <c r="P4080">
        <v>40</v>
      </c>
      <c r="Q4080" t="s">
        <v>8503</v>
      </c>
    </row>
    <row r="4081" spans="1:17" x14ac:dyDescent="0.3">
      <c r="A4081" t="s">
        <v>17</v>
      </c>
      <c r="B4081" t="str">
        <f>"688356"</f>
        <v>688356</v>
      </c>
      <c r="C4081" t="s">
        <v>8504</v>
      </c>
      <c r="D4081" t="s">
        <v>1242</v>
      </c>
      <c r="E4081">
        <v>86869340</v>
      </c>
      <c r="F4081">
        <v>42097141</v>
      </c>
      <c r="G4081">
        <v>20461404</v>
      </c>
      <c r="H4081">
        <v>32601336</v>
      </c>
      <c r="P4081">
        <v>152</v>
      </c>
      <c r="Q4081" t="s">
        <v>8505</v>
      </c>
    </row>
    <row r="4082" spans="1:17" x14ac:dyDescent="0.3">
      <c r="A4082" t="s">
        <v>17</v>
      </c>
      <c r="B4082" t="str">
        <f>"600847"</f>
        <v>600847</v>
      </c>
      <c r="C4082" t="s">
        <v>8506</v>
      </c>
      <c r="D4082" t="s">
        <v>605</v>
      </c>
      <c r="E4082">
        <v>86868955</v>
      </c>
      <c r="F4082">
        <v>111798333</v>
      </c>
      <c r="G4082">
        <v>60053573</v>
      </c>
      <c r="H4082">
        <v>93598418</v>
      </c>
      <c r="I4082">
        <v>93800921</v>
      </c>
      <c r="J4082">
        <v>49313538</v>
      </c>
      <c r="K4082">
        <v>22383261</v>
      </c>
      <c r="L4082">
        <v>16915031</v>
      </c>
      <c r="M4082">
        <v>8894971</v>
      </c>
      <c r="N4082">
        <v>16563266</v>
      </c>
      <c r="O4082">
        <v>36566545</v>
      </c>
      <c r="P4082">
        <v>54</v>
      </c>
      <c r="Q4082" t="s">
        <v>8507</v>
      </c>
    </row>
    <row r="4083" spans="1:17" x14ac:dyDescent="0.3">
      <c r="A4083" t="s">
        <v>17</v>
      </c>
      <c r="B4083" t="str">
        <f>"603232"</f>
        <v>603232</v>
      </c>
      <c r="C4083" t="s">
        <v>8508</v>
      </c>
      <c r="D4083" t="s">
        <v>116</v>
      </c>
      <c r="E4083">
        <v>86813565</v>
      </c>
      <c r="F4083">
        <v>122873570</v>
      </c>
      <c r="G4083">
        <v>51217530</v>
      </c>
      <c r="H4083">
        <v>56078169</v>
      </c>
      <c r="I4083">
        <v>36753909</v>
      </c>
      <c r="J4083">
        <v>35909147</v>
      </c>
      <c r="K4083">
        <v>21503448</v>
      </c>
      <c r="P4083">
        <v>159</v>
      </c>
      <c r="Q4083" t="s">
        <v>8509</v>
      </c>
    </row>
    <row r="4084" spans="1:17" x14ac:dyDescent="0.3">
      <c r="A4084" t="s">
        <v>17</v>
      </c>
      <c r="B4084" t="str">
        <f>"600311"</f>
        <v>600311</v>
      </c>
      <c r="C4084" t="s">
        <v>8510</v>
      </c>
      <c r="D4084" t="s">
        <v>390</v>
      </c>
      <c r="E4084">
        <v>86537077</v>
      </c>
      <c r="F4084">
        <v>92801384</v>
      </c>
      <c r="G4084">
        <v>33504276</v>
      </c>
      <c r="H4084">
        <v>8520000</v>
      </c>
      <c r="I4084">
        <v>25800000</v>
      </c>
      <c r="J4084">
        <v>25500000</v>
      </c>
      <c r="K4084">
        <v>0</v>
      </c>
      <c r="L4084">
        <v>48360000</v>
      </c>
      <c r="M4084">
        <v>67160000</v>
      </c>
      <c r="N4084">
        <v>53180000</v>
      </c>
      <c r="O4084">
        <v>85690000</v>
      </c>
      <c r="P4084">
        <v>53</v>
      </c>
      <c r="Q4084" t="s">
        <v>8511</v>
      </c>
    </row>
    <row r="4085" spans="1:17" x14ac:dyDescent="0.3">
      <c r="A4085" t="s">
        <v>75</v>
      </c>
      <c r="B4085" t="str">
        <f>"301065"</f>
        <v>301065</v>
      </c>
      <c r="C4085" t="s">
        <v>8512</v>
      </c>
      <c r="D4085" t="s">
        <v>292</v>
      </c>
      <c r="E4085">
        <v>86477005</v>
      </c>
      <c r="P4085">
        <v>12</v>
      </c>
      <c r="Q4085" t="s">
        <v>8513</v>
      </c>
    </row>
    <row r="4086" spans="1:17" x14ac:dyDescent="0.3">
      <c r="A4086" t="s">
        <v>75</v>
      </c>
      <c r="B4086" t="str">
        <f>"000929"</f>
        <v>000929</v>
      </c>
      <c r="C4086" t="s">
        <v>8514</v>
      </c>
      <c r="D4086" t="s">
        <v>671</v>
      </c>
      <c r="E4086">
        <v>86455443</v>
      </c>
      <c r="F4086">
        <v>133246432</v>
      </c>
      <c r="G4086">
        <v>76977119</v>
      </c>
      <c r="H4086">
        <v>133715463</v>
      </c>
      <c r="I4086">
        <v>173025724</v>
      </c>
      <c r="J4086">
        <v>182326857</v>
      </c>
      <c r="K4086">
        <v>192256503</v>
      </c>
      <c r="L4086">
        <v>216870797</v>
      </c>
      <c r="M4086">
        <v>265178528</v>
      </c>
      <c r="N4086">
        <v>280558503</v>
      </c>
      <c r="O4086">
        <v>257224998</v>
      </c>
      <c r="P4086">
        <v>144</v>
      </c>
      <c r="Q4086" t="s">
        <v>8515</v>
      </c>
    </row>
    <row r="4087" spans="1:17" x14ac:dyDescent="0.3">
      <c r="A4087" t="s">
        <v>75</v>
      </c>
      <c r="B4087" t="str">
        <f>"300665"</f>
        <v>300665</v>
      </c>
      <c r="C4087" t="s">
        <v>8516</v>
      </c>
      <c r="D4087" t="s">
        <v>4853</v>
      </c>
      <c r="E4087">
        <v>86374021</v>
      </c>
      <c r="F4087">
        <v>70052146</v>
      </c>
      <c r="G4087">
        <v>59132654</v>
      </c>
      <c r="H4087">
        <v>77368358</v>
      </c>
      <c r="I4087">
        <v>51950354</v>
      </c>
      <c r="J4087">
        <v>31029613</v>
      </c>
      <c r="K4087">
        <v>35730188</v>
      </c>
      <c r="P4087">
        <v>109</v>
      </c>
      <c r="Q4087" t="s">
        <v>8517</v>
      </c>
    </row>
    <row r="4088" spans="1:17" x14ac:dyDescent="0.3">
      <c r="A4088" t="s">
        <v>75</v>
      </c>
      <c r="B4088" t="str">
        <f>"300371"</f>
        <v>300371</v>
      </c>
      <c r="C4088" t="s">
        <v>8518</v>
      </c>
      <c r="D4088" t="s">
        <v>2549</v>
      </c>
      <c r="E4088">
        <v>86260868</v>
      </c>
      <c r="F4088">
        <v>71049357</v>
      </c>
      <c r="G4088">
        <v>62644555</v>
      </c>
      <c r="H4088">
        <v>51107678</v>
      </c>
      <c r="I4088">
        <v>48053837</v>
      </c>
      <c r="J4088">
        <v>28603403</v>
      </c>
      <c r="K4088">
        <v>29857888</v>
      </c>
      <c r="L4088">
        <v>24952090</v>
      </c>
      <c r="M4088">
        <v>26204059</v>
      </c>
      <c r="N4088">
        <v>15027419</v>
      </c>
      <c r="P4088">
        <v>288</v>
      </c>
      <c r="Q4088" t="s">
        <v>8519</v>
      </c>
    </row>
    <row r="4089" spans="1:17" x14ac:dyDescent="0.3">
      <c r="A4089" t="s">
        <v>17</v>
      </c>
      <c r="B4089" t="str">
        <f>"601188"</f>
        <v>601188</v>
      </c>
      <c r="C4089" t="s">
        <v>8520</v>
      </c>
      <c r="D4089" t="s">
        <v>1248</v>
      </c>
      <c r="E4089">
        <v>86187802</v>
      </c>
      <c r="F4089">
        <v>93090928</v>
      </c>
      <c r="G4089">
        <v>83434621</v>
      </c>
      <c r="H4089">
        <v>170172273</v>
      </c>
      <c r="I4089">
        <v>180096362</v>
      </c>
      <c r="J4089">
        <v>266563983</v>
      </c>
      <c r="K4089">
        <v>127034557</v>
      </c>
      <c r="L4089">
        <v>201941711</v>
      </c>
      <c r="M4089">
        <v>112350812</v>
      </c>
      <c r="N4089">
        <v>86303645</v>
      </c>
      <c r="O4089">
        <v>92021548</v>
      </c>
      <c r="P4089">
        <v>124</v>
      </c>
      <c r="Q4089" t="s">
        <v>8521</v>
      </c>
    </row>
    <row r="4090" spans="1:17" x14ac:dyDescent="0.3">
      <c r="A4090" t="s">
        <v>17</v>
      </c>
      <c r="B4090" t="str">
        <f>"688656"</f>
        <v>688656</v>
      </c>
      <c r="C4090" t="s">
        <v>8522</v>
      </c>
      <c r="D4090" t="s">
        <v>967</v>
      </c>
      <c r="E4090">
        <v>86163504</v>
      </c>
      <c r="F4090">
        <v>70738820</v>
      </c>
      <c r="G4090">
        <v>31950841</v>
      </c>
      <c r="H4090">
        <v>0</v>
      </c>
      <c r="P4090">
        <v>59</v>
      </c>
      <c r="Q4090" t="s">
        <v>8523</v>
      </c>
    </row>
    <row r="4091" spans="1:17" x14ac:dyDescent="0.3">
      <c r="A4091" t="s">
        <v>17</v>
      </c>
      <c r="B4091" t="str">
        <f>"688579"</f>
        <v>688579</v>
      </c>
      <c r="C4091" t="s">
        <v>8524</v>
      </c>
      <c r="D4091" t="s">
        <v>116</v>
      </c>
      <c r="E4091">
        <v>85616387</v>
      </c>
      <c r="F4091">
        <v>90183941</v>
      </c>
      <c r="G4091">
        <v>54770294</v>
      </c>
      <c r="P4091">
        <v>34</v>
      </c>
      <c r="Q4091" t="s">
        <v>8525</v>
      </c>
    </row>
    <row r="4092" spans="1:17" x14ac:dyDescent="0.3">
      <c r="A4092" t="s">
        <v>17</v>
      </c>
      <c r="B4092" t="str">
        <f>"603701"</f>
        <v>603701</v>
      </c>
      <c r="C4092" t="s">
        <v>8526</v>
      </c>
      <c r="D4092" t="s">
        <v>172</v>
      </c>
      <c r="E4092">
        <v>85589482</v>
      </c>
      <c r="F4092">
        <v>80067660</v>
      </c>
      <c r="G4092">
        <v>65472401</v>
      </c>
      <c r="H4092">
        <v>62974846</v>
      </c>
      <c r="I4092">
        <v>85618236</v>
      </c>
      <c r="J4092">
        <v>84559853</v>
      </c>
      <c r="K4092">
        <v>73125643</v>
      </c>
      <c r="L4092">
        <v>64205296</v>
      </c>
      <c r="P4092">
        <v>93</v>
      </c>
      <c r="Q4092" t="s">
        <v>8527</v>
      </c>
    </row>
    <row r="4093" spans="1:17" x14ac:dyDescent="0.3">
      <c r="A4093" t="s">
        <v>75</v>
      </c>
      <c r="B4093" t="str">
        <f>"300144"</f>
        <v>300144</v>
      </c>
      <c r="C4093" t="s">
        <v>8528</v>
      </c>
      <c r="D4093" t="s">
        <v>2078</v>
      </c>
      <c r="E4093">
        <v>85458493</v>
      </c>
      <c r="F4093">
        <v>220865210</v>
      </c>
      <c r="G4093">
        <v>94519169</v>
      </c>
      <c r="H4093">
        <v>800414582</v>
      </c>
      <c r="I4093">
        <v>898078455</v>
      </c>
      <c r="J4093">
        <v>789415861</v>
      </c>
      <c r="K4093">
        <v>605777192</v>
      </c>
      <c r="L4093">
        <v>233900118</v>
      </c>
      <c r="M4093">
        <v>154952343</v>
      </c>
      <c r="N4093">
        <v>110276130</v>
      </c>
      <c r="O4093">
        <v>75056794</v>
      </c>
      <c r="P4093">
        <v>3022</v>
      </c>
      <c r="Q4093" t="s">
        <v>8529</v>
      </c>
    </row>
    <row r="4094" spans="1:17" x14ac:dyDescent="0.3">
      <c r="A4094" t="s">
        <v>75</v>
      </c>
      <c r="B4094" t="str">
        <f>"300963"</f>
        <v>300963</v>
      </c>
      <c r="C4094" t="s">
        <v>8530</v>
      </c>
      <c r="D4094" t="s">
        <v>1526</v>
      </c>
      <c r="E4094">
        <v>85390155</v>
      </c>
      <c r="F4094">
        <v>71340576</v>
      </c>
      <c r="G4094">
        <v>82136933</v>
      </c>
      <c r="P4094">
        <v>35</v>
      </c>
      <c r="Q4094" t="s">
        <v>8531</v>
      </c>
    </row>
    <row r="4095" spans="1:17" x14ac:dyDescent="0.3">
      <c r="A4095" t="s">
        <v>75</v>
      </c>
      <c r="B4095" t="str">
        <f>"300576"</f>
        <v>300576</v>
      </c>
      <c r="C4095" t="s">
        <v>8532</v>
      </c>
      <c r="D4095" t="s">
        <v>1853</v>
      </c>
      <c r="E4095">
        <v>85344569</v>
      </c>
      <c r="F4095">
        <v>101300686</v>
      </c>
      <c r="G4095">
        <v>45581894</v>
      </c>
      <c r="H4095">
        <v>45943733</v>
      </c>
      <c r="I4095">
        <v>42367204</v>
      </c>
      <c r="J4095">
        <v>36400537</v>
      </c>
      <c r="K4095">
        <v>39746404</v>
      </c>
      <c r="P4095">
        <v>189</v>
      </c>
      <c r="Q4095" t="s">
        <v>8533</v>
      </c>
    </row>
    <row r="4096" spans="1:17" x14ac:dyDescent="0.3">
      <c r="A4096" t="s">
        <v>17</v>
      </c>
      <c r="B4096" t="str">
        <f>"603559"</f>
        <v>603559</v>
      </c>
      <c r="C4096" t="s">
        <v>8534</v>
      </c>
      <c r="D4096" t="s">
        <v>1647</v>
      </c>
      <c r="E4096">
        <v>85338180</v>
      </c>
      <c r="F4096">
        <v>204950497</v>
      </c>
      <c r="G4096">
        <v>173242057</v>
      </c>
      <c r="H4096">
        <v>154427728</v>
      </c>
      <c r="I4096">
        <v>109861834</v>
      </c>
      <c r="J4096">
        <v>80517199</v>
      </c>
      <c r="K4096">
        <v>102945022</v>
      </c>
      <c r="P4096">
        <v>159</v>
      </c>
      <c r="Q4096" t="s">
        <v>8535</v>
      </c>
    </row>
    <row r="4097" spans="1:17" x14ac:dyDescent="0.3">
      <c r="A4097" t="s">
        <v>75</v>
      </c>
      <c r="B4097" t="str">
        <f>"300175"</f>
        <v>300175</v>
      </c>
      <c r="C4097" t="s">
        <v>8536</v>
      </c>
      <c r="D4097" t="s">
        <v>1856</v>
      </c>
      <c r="E4097">
        <v>85322534</v>
      </c>
      <c r="F4097">
        <v>64532584</v>
      </c>
      <c r="G4097">
        <v>113800470</v>
      </c>
      <c r="H4097">
        <v>130661950</v>
      </c>
      <c r="I4097">
        <v>65415297</v>
      </c>
      <c r="J4097">
        <v>93685162</v>
      </c>
      <c r="K4097">
        <v>234898395</v>
      </c>
      <c r="L4097">
        <v>189240009</v>
      </c>
      <c r="M4097">
        <v>119712628</v>
      </c>
      <c r="N4097">
        <v>136023189</v>
      </c>
      <c r="O4097">
        <v>122146598</v>
      </c>
      <c r="P4097">
        <v>84</v>
      </c>
      <c r="Q4097" t="s">
        <v>8537</v>
      </c>
    </row>
    <row r="4098" spans="1:17" x14ac:dyDescent="0.3">
      <c r="A4098" t="s">
        <v>75</v>
      </c>
      <c r="B4098" t="str">
        <f>"300250"</f>
        <v>300250</v>
      </c>
      <c r="C4098" t="s">
        <v>8538</v>
      </c>
      <c r="D4098" t="s">
        <v>224</v>
      </c>
      <c r="E4098">
        <v>85316220</v>
      </c>
      <c r="F4098">
        <v>80757762</v>
      </c>
      <c r="G4098">
        <v>68920579</v>
      </c>
      <c r="H4098">
        <v>145262730</v>
      </c>
      <c r="I4098">
        <v>113082716</v>
      </c>
      <c r="J4098">
        <v>85154849</v>
      </c>
      <c r="K4098">
        <v>58866272</v>
      </c>
      <c r="L4098">
        <v>59879518</v>
      </c>
      <c r="M4098">
        <v>34510030</v>
      </c>
      <c r="N4098">
        <v>44534159</v>
      </c>
      <c r="O4098">
        <v>37279534</v>
      </c>
      <c r="P4098">
        <v>159</v>
      </c>
      <c r="Q4098" t="s">
        <v>8539</v>
      </c>
    </row>
    <row r="4099" spans="1:17" x14ac:dyDescent="0.3">
      <c r="A4099" t="s">
        <v>75</v>
      </c>
      <c r="B4099" t="str">
        <f>"301190"</f>
        <v>301190</v>
      </c>
      <c r="C4099" t="s">
        <v>8540</v>
      </c>
      <c r="D4099" t="s">
        <v>1160</v>
      </c>
      <c r="E4099">
        <v>85270514</v>
      </c>
      <c r="P4099">
        <v>11</v>
      </c>
      <c r="Q4099" t="s">
        <v>8541</v>
      </c>
    </row>
    <row r="4100" spans="1:17" x14ac:dyDescent="0.3">
      <c r="A4100" t="s">
        <v>75</v>
      </c>
      <c r="B4100" t="str">
        <f>"300651"</f>
        <v>300651</v>
      </c>
      <c r="C4100" t="s">
        <v>8542</v>
      </c>
      <c r="D4100" t="s">
        <v>4124</v>
      </c>
      <c r="E4100">
        <v>85216839</v>
      </c>
      <c r="F4100">
        <v>135065806</v>
      </c>
      <c r="G4100">
        <v>88825250</v>
      </c>
      <c r="H4100">
        <v>106176700</v>
      </c>
      <c r="I4100">
        <v>101163854</v>
      </c>
      <c r="J4100">
        <v>60369270</v>
      </c>
      <c r="K4100">
        <v>52468729</v>
      </c>
      <c r="P4100">
        <v>99</v>
      </c>
      <c r="Q4100" t="s">
        <v>8543</v>
      </c>
    </row>
    <row r="4101" spans="1:17" x14ac:dyDescent="0.3">
      <c r="A4101" t="s">
        <v>17</v>
      </c>
      <c r="B4101" t="str">
        <f>"600530"</f>
        <v>600530</v>
      </c>
      <c r="C4101" t="s">
        <v>8544</v>
      </c>
      <c r="D4101" t="s">
        <v>2100</v>
      </c>
      <c r="E4101">
        <v>85158920</v>
      </c>
      <c r="F4101">
        <v>80738031</v>
      </c>
      <c r="G4101">
        <v>66025953</v>
      </c>
      <c r="H4101">
        <v>55886499</v>
      </c>
      <c r="I4101">
        <v>76843016</v>
      </c>
      <c r="J4101">
        <v>76004675</v>
      </c>
      <c r="K4101">
        <v>81957787</v>
      </c>
      <c r="L4101">
        <v>80027733</v>
      </c>
      <c r="M4101">
        <v>100297559</v>
      </c>
      <c r="N4101">
        <v>92904723</v>
      </c>
      <c r="O4101">
        <v>110439742</v>
      </c>
      <c r="P4101">
        <v>86</v>
      </c>
      <c r="Q4101" t="s">
        <v>8545</v>
      </c>
    </row>
    <row r="4102" spans="1:17" x14ac:dyDescent="0.3">
      <c r="A4102" t="s">
        <v>75</v>
      </c>
      <c r="B4102" t="str">
        <f>"301005"</f>
        <v>301005</v>
      </c>
      <c r="C4102" t="s">
        <v>8546</v>
      </c>
      <c r="D4102" t="s">
        <v>1321</v>
      </c>
      <c r="E4102">
        <v>85047210</v>
      </c>
      <c r="F4102">
        <v>92326661</v>
      </c>
      <c r="G4102">
        <v>72478816</v>
      </c>
      <c r="P4102">
        <v>23</v>
      </c>
      <c r="Q4102" t="s">
        <v>8547</v>
      </c>
    </row>
    <row r="4103" spans="1:17" x14ac:dyDescent="0.3">
      <c r="A4103" t="s">
        <v>17</v>
      </c>
      <c r="B4103" t="str">
        <f>"600538"</f>
        <v>600538</v>
      </c>
      <c r="C4103" t="s">
        <v>8548</v>
      </c>
      <c r="D4103" t="s">
        <v>123</v>
      </c>
      <c r="E4103">
        <v>84713924</v>
      </c>
      <c r="F4103">
        <v>67877856</v>
      </c>
      <c r="G4103">
        <v>68068643</v>
      </c>
      <c r="H4103">
        <v>60459892</v>
      </c>
      <c r="I4103">
        <v>50479613</v>
      </c>
      <c r="J4103">
        <v>92609825</v>
      </c>
      <c r="K4103">
        <v>92136228</v>
      </c>
      <c r="L4103">
        <v>116461804</v>
      </c>
      <c r="M4103">
        <v>109652304</v>
      </c>
      <c r="N4103">
        <v>143477593</v>
      </c>
      <c r="O4103">
        <v>142167474</v>
      </c>
      <c r="P4103">
        <v>69</v>
      </c>
      <c r="Q4103" t="s">
        <v>8549</v>
      </c>
    </row>
    <row r="4104" spans="1:17" x14ac:dyDescent="0.3">
      <c r="A4104" t="s">
        <v>75</v>
      </c>
      <c r="B4104" t="str">
        <f>"300931"</f>
        <v>300931</v>
      </c>
      <c r="C4104" t="s">
        <v>8550</v>
      </c>
      <c r="D4104" t="s">
        <v>892</v>
      </c>
      <c r="E4104">
        <v>84629462</v>
      </c>
      <c r="F4104">
        <v>79719143</v>
      </c>
      <c r="G4104">
        <v>50741159</v>
      </c>
      <c r="P4104">
        <v>31</v>
      </c>
      <c r="Q4104" t="s">
        <v>8551</v>
      </c>
    </row>
    <row r="4105" spans="1:17" x14ac:dyDescent="0.3">
      <c r="A4105" t="s">
        <v>17</v>
      </c>
      <c r="B4105" t="str">
        <f>"603106"</f>
        <v>603106</v>
      </c>
      <c r="C4105" t="s">
        <v>8552</v>
      </c>
      <c r="D4105" t="s">
        <v>508</v>
      </c>
      <c r="E4105">
        <v>84498805</v>
      </c>
      <c r="F4105">
        <v>110062477</v>
      </c>
      <c r="G4105">
        <v>119664196</v>
      </c>
      <c r="H4105">
        <v>115110339</v>
      </c>
      <c r="I4105">
        <v>145574177</v>
      </c>
      <c r="J4105">
        <v>172849782</v>
      </c>
      <c r="P4105">
        <v>2938</v>
      </c>
      <c r="Q4105" t="s">
        <v>8553</v>
      </c>
    </row>
    <row r="4106" spans="1:17" x14ac:dyDescent="0.3">
      <c r="A4106" t="s">
        <v>75</v>
      </c>
      <c r="B4106" t="str">
        <f>"300404"</f>
        <v>300404</v>
      </c>
      <c r="C4106" t="s">
        <v>8554</v>
      </c>
      <c r="D4106" t="s">
        <v>716</v>
      </c>
      <c r="E4106">
        <v>83935330</v>
      </c>
      <c r="F4106">
        <v>59801628</v>
      </c>
      <c r="G4106">
        <v>37229172</v>
      </c>
      <c r="H4106">
        <v>46196289</v>
      </c>
      <c r="I4106">
        <v>43719141</v>
      </c>
      <c r="J4106">
        <v>21402970</v>
      </c>
      <c r="K4106">
        <v>12302149</v>
      </c>
      <c r="L4106">
        <v>25666110</v>
      </c>
      <c r="M4106">
        <v>16445227</v>
      </c>
      <c r="P4106">
        <v>150</v>
      </c>
      <c r="Q4106" t="s">
        <v>8555</v>
      </c>
    </row>
    <row r="4107" spans="1:17" x14ac:dyDescent="0.3">
      <c r="A4107" t="s">
        <v>17</v>
      </c>
      <c r="B4107" t="str">
        <f>"603199"</f>
        <v>603199</v>
      </c>
      <c r="C4107" t="s">
        <v>8556</v>
      </c>
      <c r="D4107" t="s">
        <v>7744</v>
      </c>
      <c r="E4107">
        <v>83809969</v>
      </c>
      <c r="F4107">
        <v>97913063</v>
      </c>
      <c r="G4107">
        <v>20704787</v>
      </c>
      <c r="H4107">
        <v>131628424</v>
      </c>
      <c r="I4107">
        <v>110802525</v>
      </c>
      <c r="J4107">
        <v>116661427</v>
      </c>
      <c r="K4107">
        <v>100267077</v>
      </c>
      <c r="L4107">
        <v>79998096</v>
      </c>
      <c r="M4107">
        <v>85859442</v>
      </c>
      <c r="P4107">
        <v>144</v>
      </c>
      <c r="Q4107" t="s">
        <v>8557</v>
      </c>
    </row>
    <row r="4108" spans="1:17" x14ac:dyDescent="0.3">
      <c r="A4108" t="s">
        <v>75</v>
      </c>
      <c r="B4108" t="str">
        <f>"300484"</f>
        <v>300484</v>
      </c>
      <c r="C4108" t="s">
        <v>8558</v>
      </c>
      <c r="D4108" t="s">
        <v>1352</v>
      </c>
      <c r="E4108">
        <v>83714806</v>
      </c>
      <c r="F4108">
        <v>134504527</v>
      </c>
      <c r="G4108">
        <v>93975044</v>
      </c>
      <c r="H4108">
        <v>75394152</v>
      </c>
      <c r="I4108">
        <v>74815810</v>
      </c>
      <c r="J4108">
        <v>98450024</v>
      </c>
      <c r="K4108">
        <v>48842485</v>
      </c>
      <c r="L4108">
        <v>19168942</v>
      </c>
      <c r="P4108">
        <v>219</v>
      </c>
      <c r="Q4108" t="s">
        <v>8559</v>
      </c>
    </row>
    <row r="4109" spans="1:17" x14ac:dyDescent="0.3">
      <c r="A4109" t="s">
        <v>17</v>
      </c>
      <c r="B4109" t="str">
        <f>"600716"</f>
        <v>600716</v>
      </c>
      <c r="C4109" t="s">
        <v>8560</v>
      </c>
      <c r="D4109" t="s">
        <v>65</v>
      </c>
      <c r="E4109">
        <v>83426446</v>
      </c>
      <c r="F4109">
        <v>124875615</v>
      </c>
      <c r="G4109">
        <v>41412882</v>
      </c>
      <c r="H4109">
        <v>194519360</v>
      </c>
      <c r="I4109">
        <v>357172997</v>
      </c>
      <c r="J4109">
        <v>233138118</v>
      </c>
      <c r="K4109">
        <v>385270964</v>
      </c>
      <c r="L4109">
        <v>86435030</v>
      </c>
      <c r="M4109">
        <v>286002094</v>
      </c>
      <c r="N4109">
        <v>191586042</v>
      </c>
      <c r="O4109">
        <v>33710111</v>
      </c>
      <c r="P4109">
        <v>95</v>
      </c>
      <c r="Q4109" t="s">
        <v>8561</v>
      </c>
    </row>
    <row r="4110" spans="1:17" x14ac:dyDescent="0.3">
      <c r="A4110" t="s">
        <v>75</v>
      </c>
      <c r="B4110" t="str">
        <f>"300900"</f>
        <v>300900</v>
      </c>
      <c r="C4110" t="s">
        <v>8562</v>
      </c>
      <c r="D4110" t="s">
        <v>1551</v>
      </c>
      <c r="E4110">
        <v>83418805</v>
      </c>
      <c r="F4110">
        <v>40688740</v>
      </c>
      <c r="G4110">
        <v>22752729</v>
      </c>
      <c r="P4110">
        <v>76</v>
      </c>
      <c r="Q4110" t="s">
        <v>8563</v>
      </c>
    </row>
    <row r="4111" spans="1:17" x14ac:dyDescent="0.3">
      <c r="A4111" t="s">
        <v>75</v>
      </c>
      <c r="B4111" t="str">
        <f>"301133"</f>
        <v>301133</v>
      </c>
      <c r="C4111" t="s">
        <v>8564</v>
      </c>
      <c r="D4111" t="s">
        <v>194</v>
      </c>
      <c r="E4111">
        <v>82688907</v>
      </c>
      <c r="P4111">
        <v>15</v>
      </c>
      <c r="Q4111" t="s">
        <v>8565</v>
      </c>
    </row>
    <row r="4112" spans="1:17" x14ac:dyDescent="0.3">
      <c r="A4112" t="s">
        <v>17</v>
      </c>
      <c r="B4112" t="str">
        <f>"688586"</f>
        <v>688586</v>
      </c>
      <c r="C4112" t="s">
        <v>8566</v>
      </c>
      <c r="D4112" t="s">
        <v>1551</v>
      </c>
      <c r="E4112">
        <v>82091890</v>
      </c>
      <c r="F4112">
        <v>122638805</v>
      </c>
      <c r="G4112">
        <v>122696338</v>
      </c>
      <c r="H4112">
        <v>66204686</v>
      </c>
      <c r="P4112">
        <v>70</v>
      </c>
      <c r="Q4112" t="s">
        <v>8567</v>
      </c>
    </row>
    <row r="4113" spans="1:17" x14ac:dyDescent="0.3">
      <c r="A4113" t="s">
        <v>75</v>
      </c>
      <c r="B4113" t="str">
        <f>"300515"</f>
        <v>300515</v>
      </c>
      <c r="C4113" t="s">
        <v>8568</v>
      </c>
      <c r="D4113" t="s">
        <v>2549</v>
      </c>
      <c r="E4113">
        <v>81737301</v>
      </c>
      <c r="F4113">
        <v>85704543</v>
      </c>
      <c r="G4113">
        <v>55599984</v>
      </c>
      <c r="H4113">
        <v>64287166</v>
      </c>
      <c r="I4113">
        <v>55944545</v>
      </c>
      <c r="J4113">
        <v>43073675</v>
      </c>
      <c r="K4113">
        <v>44824416</v>
      </c>
      <c r="L4113">
        <v>43113538</v>
      </c>
      <c r="P4113">
        <v>80</v>
      </c>
      <c r="Q4113" t="s">
        <v>8569</v>
      </c>
    </row>
    <row r="4114" spans="1:17" x14ac:dyDescent="0.3">
      <c r="A4114" t="s">
        <v>75</v>
      </c>
      <c r="B4114" t="str">
        <f>"301089"</f>
        <v>301089</v>
      </c>
      <c r="C4114" t="s">
        <v>8570</v>
      </c>
      <c r="D4114" t="s">
        <v>1242</v>
      </c>
      <c r="E4114">
        <v>81571658</v>
      </c>
      <c r="P4114">
        <v>37</v>
      </c>
      <c r="Q4114" t="s">
        <v>8571</v>
      </c>
    </row>
    <row r="4115" spans="1:17" x14ac:dyDescent="0.3">
      <c r="A4115" t="s">
        <v>17</v>
      </c>
      <c r="B4115" t="str">
        <f>"688466"</f>
        <v>688466</v>
      </c>
      <c r="C4115" t="s">
        <v>8572</v>
      </c>
      <c r="D4115" t="s">
        <v>1107</v>
      </c>
      <c r="E4115">
        <v>81342755</v>
      </c>
      <c r="F4115">
        <v>90665646</v>
      </c>
      <c r="G4115">
        <v>80320682</v>
      </c>
      <c r="H4115">
        <v>79148269</v>
      </c>
      <c r="P4115">
        <v>60</v>
      </c>
      <c r="Q4115" t="s">
        <v>8573</v>
      </c>
    </row>
    <row r="4116" spans="1:17" x14ac:dyDescent="0.3">
      <c r="A4116" t="s">
        <v>17</v>
      </c>
      <c r="B4116" t="str">
        <f>"600289"</f>
        <v>600289</v>
      </c>
      <c r="C4116" t="s">
        <v>8574</v>
      </c>
      <c r="D4116" t="s">
        <v>1647</v>
      </c>
      <c r="E4116">
        <v>81253533</v>
      </c>
      <c r="F4116">
        <v>70751858</v>
      </c>
      <c r="G4116">
        <v>48941682</v>
      </c>
      <c r="H4116">
        <v>231601587</v>
      </c>
      <c r="I4116">
        <v>286006098</v>
      </c>
      <c r="J4116">
        <v>234078588</v>
      </c>
      <c r="K4116">
        <v>196600296</v>
      </c>
      <c r="L4116">
        <v>261495329</v>
      </c>
      <c r="M4116">
        <v>284551818</v>
      </c>
      <c r="N4116">
        <v>185389105</v>
      </c>
      <c r="O4116">
        <v>173346317</v>
      </c>
      <c r="P4116">
        <v>74</v>
      </c>
      <c r="Q4116" t="s">
        <v>8575</v>
      </c>
    </row>
    <row r="4117" spans="1:17" x14ac:dyDescent="0.3">
      <c r="A4117" t="s">
        <v>75</v>
      </c>
      <c r="B4117" t="str">
        <f>"300116"</f>
        <v>300116</v>
      </c>
      <c r="C4117" t="s">
        <v>8576</v>
      </c>
      <c r="D4117" t="s">
        <v>131</v>
      </c>
      <c r="E4117">
        <v>81248379</v>
      </c>
      <c r="F4117">
        <v>27752859</v>
      </c>
      <c r="G4117">
        <v>1701437</v>
      </c>
      <c r="H4117">
        <v>99284335</v>
      </c>
      <c r="I4117">
        <v>1279522373</v>
      </c>
      <c r="J4117">
        <v>1048831175</v>
      </c>
      <c r="K4117">
        <v>144339869</v>
      </c>
      <c r="L4117">
        <v>122526631</v>
      </c>
      <c r="M4117">
        <v>56035555</v>
      </c>
      <c r="N4117">
        <v>34491400</v>
      </c>
      <c r="O4117">
        <v>19304261</v>
      </c>
      <c r="P4117">
        <v>173</v>
      </c>
      <c r="Q4117" t="s">
        <v>8577</v>
      </c>
    </row>
    <row r="4118" spans="1:17" x14ac:dyDescent="0.3">
      <c r="A4118" t="s">
        <v>17</v>
      </c>
      <c r="B4118" t="str">
        <f>"603138"</f>
        <v>603138</v>
      </c>
      <c r="C4118" t="s">
        <v>8578</v>
      </c>
      <c r="D4118" t="s">
        <v>224</v>
      </c>
      <c r="E4118">
        <v>81181251</v>
      </c>
      <c r="F4118">
        <v>71305703</v>
      </c>
      <c r="G4118">
        <v>62366213</v>
      </c>
      <c r="H4118">
        <v>82705677</v>
      </c>
      <c r="I4118">
        <v>90575657</v>
      </c>
      <c r="J4118">
        <v>84884606</v>
      </c>
      <c r="K4118">
        <v>93445793</v>
      </c>
      <c r="P4118">
        <v>147</v>
      </c>
      <c r="Q4118" t="s">
        <v>8579</v>
      </c>
    </row>
    <row r="4119" spans="1:17" x14ac:dyDescent="0.3">
      <c r="A4119" t="s">
        <v>75</v>
      </c>
      <c r="B4119" t="str">
        <f>"003005"</f>
        <v>003005</v>
      </c>
      <c r="C4119" t="s">
        <v>8580</v>
      </c>
      <c r="D4119" t="s">
        <v>224</v>
      </c>
      <c r="E4119">
        <v>81050406</v>
      </c>
      <c r="F4119">
        <v>117475557</v>
      </c>
      <c r="G4119">
        <v>63918628</v>
      </c>
      <c r="P4119">
        <v>68</v>
      </c>
      <c r="Q4119" t="s">
        <v>8581</v>
      </c>
    </row>
    <row r="4120" spans="1:17" x14ac:dyDescent="0.3">
      <c r="A4120" t="s">
        <v>17</v>
      </c>
      <c r="B4120" t="str">
        <f>"688333"</f>
        <v>688333</v>
      </c>
      <c r="C4120" t="s">
        <v>8582</v>
      </c>
      <c r="D4120" t="s">
        <v>3360</v>
      </c>
      <c r="E4120">
        <v>80900546</v>
      </c>
      <c r="F4120">
        <v>91255432</v>
      </c>
      <c r="G4120">
        <v>78465685</v>
      </c>
      <c r="H4120">
        <v>40236609</v>
      </c>
      <c r="I4120">
        <v>0</v>
      </c>
      <c r="P4120">
        <v>117</v>
      </c>
      <c r="Q4120" t="s">
        <v>8583</v>
      </c>
    </row>
    <row r="4121" spans="1:17" x14ac:dyDescent="0.3">
      <c r="A4121" t="s">
        <v>17</v>
      </c>
      <c r="B4121" t="str">
        <f>"600898"</f>
        <v>600898</v>
      </c>
      <c r="C4121" t="s">
        <v>8584</v>
      </c>
      <c r="D4121" t="s">
        <v>55</v>
      </c>
      <c r="E4121">
        <v>80602607</v>
      </c>
      <c r="F4121">
        <v>26921752</v>
      </c>
      <c r="G4121">
        <v>257570298</v>
      </c>
      <c r="H4121">
        <v>253437033</v>
      </c>
      <c r="I4121">
        <v>907641527</v>
      </c>
      <c r="J4121">
        <v>417027329</v>
      </c>
      <c r="K4121">
        <v>183407531</v>
      </c>
      <c r="L4121">
        <v>203814446</v>
      </c>
      <c r="M4121">
        <v>193282786</v>
      </c>
      <c r="N4121">
        <v>185662876</v>
      </c>
      <c r="O4121">
        <v>159193314</v>
      </c>
      <c r="P4121">
        <v>57</v>
      </c>
      <c r="Q4121" t="s">
        <v>8585</v>
      </c>
    </row>
    <row r="4122" spans="1:17" x14ac:dyDescent="0.3">
      <c r="A4122" t="s">
        <v>75</v>
      </c>
      <c r="B4122" t="str">
        <f>"301119"</f>
        <v>301119</v>
      </c>
      <c r="C4122" t="s">
        <v>8586</v>
      </c>
      <c r="D4122" t="s">
        <v>172</v>
      </c>
      <c r="E4122">
        <v>80591754</v>
      </c>
      <c r="P4122">
        <v>12</v>
      </c>
      <c r="Q4122" t="s">
        <v>8587</v>
      </c>
    </row>
    <row r="4123" spans="1:17" x14ac:dyDescent="0.3">
      <c r="A4123" t="s">
        <v>75</v>
      </c>
      <c r="B4123" t="str">
        <f>"300654"</f>
        <v>300654</v>
      </c>
      <c r="C4123" t="s">
        <v>8588</v>
      </c>
      <c r="D4123" t="s">
        <v>1433</v>
      </c>
      <c r="E4123">
        <v>80551851</v>
      </c>
      <c r="F4123">
        <v>63833245</v>
      </c>
      <c r="G4123">
        <v>59695806</v>
      </c>
      <c r="H4123">
        <v>69424165</v>
      </c>
      <c r="I4123">
        <v>55793782</v>
      </c>
      <c r="J4123">
        <v>66452403</v>
      </c>
      <c r="P4123">
        <v>73</v>
      </c>
      <c r="Q4123" t="s">
        <v>8589</v>
      </c>
    </row>
    <row r="4124" spans="1:17" x14ac:dyDescent="0.3">
      <c r="A4124" t="s">
        <v>75</v>
      </c>
      <c r="B4124" t="str">
        <f>"003025"</f>
        <v>003025</v>
      </c>
      <c r="C4124" t="s">
        <v>8590</v>
      </c>
      <c r="D4124" t="s">
        <v>3360</v>
      </c>
      <c r="E4124">
        <v>80515310</v>
      </c>
      <c r="F4124">
        <v>73392997</v>
      </c>
      <c r="G4124">
        <v>40782701</v>
      </c>
      <c r="P4124">
        <v>118</v>
      </c>
      <c r="Q4124" t="s">
        <v>8591</v>
      </c>
    </row>
    <row r="4125" spans="1:17" x14ac:dyDescent="0.3">
      <c r="A4125" t="s">
        <v>75</v>
      </c>
      <c r="B4125" t="str">
        <f>"300052"</f>
        <v>300052</v>
      </c>
      <c r="C4125" t="s">
        <v>8592</v>
      </c>
      <c r="D4125" t="s">
        <v>1165</v>
      </c>
      <c r="E4125">
        <v>80454456</v>
      </c>
      <c r="F4125">
        <v>82840755</v>
      </c>
      <c r="G4125">
        <v>315089122</v>
      </c>
      <c r="H4125">
        <v>133845187</v>
      </c>
      <c r="I4125">
        <v>50570037</v>
      </c>
      <c r="J4125">
        <v>51914252</v>
      </c>
      <c r="K4125">
        <v>59505337</v>
      </c>
      <c r="L4125">
        <v>67818398</v>
      </c>
      <c r="M4125">
        <v>100470198</v>
      </c>
      <c r="N4125">
        <v>43826049</v>
      </c>
      <c r="O4125">
        <v>39749559</v>
      </c>
      <c r="P4125">
        <v>219</v>
      </c>
      <c r="Q4125" t="s">
        <v>8593</v>
      </c>
    </row>
    <row r="4126" spans="1:17" x14ac:dyDescent="0.3">
      <c r="A4126" t="s">
        <v>17</v>
      </c>
      <c r="B4126" t="str">
        <f>"688670"</f>
        <v>688670</v>
      </c>
      <c r="C4126" t="s">
        <v>8594</v>
      </c>
      <c r="D4126" t="s">
        <v>928</v>
      </c>
      <c r="E4126">
        <v>80436362</v>
      </c>
      <c r="F4126">
        <v>148488779</v>
      </c>
      <c r="G4126">
        <v>13975783</v>
      </c>
      <c r="P4126">
        <v>19</v>
      </c>
      <c r="Q4126" t="s">
        <v>8595</v>
      </c>
    </row>
    <row r="4127" spans="1:17" x14ac:dyDescent="0.3">
      <c r="A4127" t="s">
        <v>75</v>
      </c>
      <c r="B4127" t="str">
        <f>"300813"</f>
        <v>300813</v>
      </c>
      <c r="C4127" t="s">
        <v>8596</v>
      </c>
      <c r="D4127" t="s">
        <v>1624</v>
      </c>
      <c r="E4127">
        <v>80299615</v>
      </c>
      <c r="F4127">
        <v>54997620</v>
      </c>
      <c r="G4127">
        <v>56934968</v>
      </c>
      <c r="H4127">
        <v>34289807</v>
      </c>
      <c r="P4127">
        <v>106</v>
      </c>
      <c r="Q4127" t="s">
        <v>8597</v>
      </c>
    </row>
    <row r="4128" spans="1:17" x14ac:dyDescent="0.3">
      <c r="A4128" t="s">
        <v>17</v>
      </c>
      <c r="B4128" t="str">
        <f>"603949"</f>
        <v>603949</v>
      </c>
      <c r="C4128" t="s">
        <v>8598</v>
      </c>
      <c r="D4128" t="s">
        <v>172</v>
      </c>
      <c r="E4128">
        <v>80194105</v>
      </c>
      <c r="F4128">
        <v>120355347</v>
      </c>
      <c r="G4128">
        <v>54990499</v>
      </c>
      <c r="H4128">
        <v>52329908</v>
      </c>
      <c r="P4128">
        <v>158</v>
      </c>
      <c r="Q4128" t="s">
        <v>8599</v>
      </c>
    </row>
    <row r="4129" spans="1:17" x14ac:dyDescent="0.3">
      <c r="A4129" t="s">
        <v>17</v>
      </c>
      <c r="B4129" t="str">
        <f>"688080"</f>
        <v>688080</v>
      </c>
      <c r="C4129" t="s">
        <v>8600</v>
      </c>
      <c r="D4129" t="s">
        <v>4225</v>
      </c>
      <c r="E4129">
        <v>80109313</v>
      </c>
      <c r="F4129">
        <v>77776453</v>
      </c>
      <c r="G4129">
        <v>52914801</v>
      </c>
      <c r="H4129">
        <v>33506351</v>
      </c>
      <c r="P4129">
        <v>87</v>
      </c>
      <c r="Q4129" t="s">
        <v>8601</v>
      </c>
    </row>
    <row r="4130" spans="1:17" x14ac:dyDescent="0.3">
      <c r="A4130" t="s">
        <v>17</v>
      </c>
      <c r="B4130" t="str">
        <f>"688060"</f>
        <v>688060</v>
      </c>
      <c r="C4130" t="s">
        <v>8602</v>
      </c>
      <c r="D4130" t="s">
        <v>508</v>
      </c>
      <c r="E4130">
        <v>80038423</v>
      </c>
      <c r="F4130">
        <v>58496052</v>
      </c>
      <c r="G4130">
        <v>37369763</v>
      </c>
      <c r="H4130">
        <v>50841870</v>
      </c>
      <c r="P4130">
        <v>75</v>
      </c>
      <c r="Q4130" t="s">
        <v>8603</v>
      </c>
    </row>
    <row r="4131" spans="1:17" x14ac:dyDescent="0.3">
      <c r="A4131" t="s">
        <v>75</v>
      </c>
      <c r="B4131" t="str">
        <f>"000610"</f>
        <v>000610</v>
      </c>
      <c r="C4131" t="s">
        <v>8604</v>
      </c>
      <c r="D4131" t="s">
        <v>1769</v>
      </c>
      <c r="E4131">
        <v>79992697</v>
      </c>
      <c r="F4131">
        <v>82994541</v>
      </c>
      <c r="G4131">
        <v>43900894</v>
      </c>
      <c r="H4131">
        <v>132339640</v>
      </c>
      <c r="I4131">
        <v>89500272</v>
      </c>
      <c r="J4131">
        <v>114072028</v>
      </c>
      <c r="K4131">
        <v>110649357</v>
      </c>
      <c r="L4131">
        <v>77591708</v>
      </c>
      <c r="M4131">
        <v>78673549</v>
      </c>
      <c r="N4131">
        <v>83366989</v>
      </c>
      <c r="O4131">
        <v>223923192</v>
      </c>
      <c r="P4131">
        <v>152</v>
      </c>
      <c r="Q4131" t="s">
        <v>8605</v>
      </c>
    </row>
    <row r="4132" spans="1:17" x14ac:dyDescent="0.3">
      <c r="A4132" t="s">
        <v>17</v>
      </c>
      <c r="B4132" t="str">
        <f>"688046"</f>
        <v>688046</v>
      </c>
      <c r="C4132" t="s">
        <v>8606</v>
      </c>
      <c r="E4132">
        <v>79985363</v>
      </c>
      <c r="P4132">
        <v>2</v>
      </c>
      <c r="Q4132" t="s">
        <v>8607</v>
      </c>
    </row>
    <row r="4133" spans="1:17" x14ac:dyDescent="0.3">
      <c r="A4133" t="s">
        <v>17</v>
      </c>
      <c r="B4133" t="str">
        <f>"688286"</f>
        <v>688286</v>
      </c>
      <c r="C4133" t="s">
        <v>8608</v>
      </c>
      <c r="D4133" t="s">
        <v>2580</v>
      </c>
      <c r="E4133">
        <v>79966479</v>
      </c>
      <c r="F4133">
        <v>97692000</v>
      </c>
      <c r="G4133">
        <v>64963581</v>
      </c>
      <c r="H4133">
        <v>66005321</v>
      </c>
      <c r="P4133">
        <v>91</v>
      </c>
      <c r="Q4133" t="s">
        <v>8609</v>
      </c>
    </row>
    <row r="4134" spans="1:17" x14ac:dyDescent="0.3">
      <c r="A4134" t="s">
        <v>75</v>
      </c>
      <c r="B4134" t="str">
        <f>"000802"</f>
        <v>000802</v>
      </c>
      <c r="C4134" t="s">
        <v>8610</v>
      </c>
      <c r="D4134" t="s">
        <v>2532</v>
      </c>
      <c r="E4134">
        <v>79851889</v>
      </c>
      <c r="F4134">
        <v>787607619</v>
      </c>
      <c r="G4134">
        <v>261848581</v>
      </c>
      <c r="H4134">
        <v>480155515</v>
      </c>
      <c r="I4134">
        <v>427007097</v>
      </c>
      <c r="J4134">
        <v>251820320</v>
      </c>
      <c r="K4134">
        <v>94325923</v>
      </c>
      <c r="L4134">
        <v>168964654</v>
      </c>
      <c r="M4134">
        <v>36866076</v>
      </c>
      <c r="N4134">
        <v>35038293</v>
      </c>
      <c r="O4134">
        <v>35035487</v>
      </c>
      <c r="P4134">
        <v>205</v>
      </c>
      <c r="Q4134" t="s">
        <v>8611</v>
      </c>
    </row>
    <row r="4135" spans="1:17" x14ac:dyDescent="0.3">
      <c r="A4135" t="s">
        <v>17</v>
      </c>
      <c r="B4135" t="str">
        <f>"600137"</f>
        <v>600137</v>
      </c>
      <c r="C4135" t="s">
        <v>8612</v>
      </c>
      <c r="D4135" t="s">
        <v>2921</v>
      </c>
      <c r="E4135">
        <v>79688695</v>
      </c>
      <c r="F4135">
        <v>70897587</v>
      </c>
      <c r="G4135">
        <v>54121176</v>
      </c>
      <c r="H4135">
        <v>83559398</v>
      </c>
      <c r="I4135">
        <v>71282396</v>
      </c>
      <c r="J4135">
        <v>51117725</v>
      </c>
      <c r="K4135">
        <v>44131445</v>
      </c>
      <c r="L4135">
        <v>51873114</v>
      </c>
      <c r="M4135">
        <v>79731928</v>
      </c>
      <c r="N4135">
        <v>88503837</v>
      </c>
      <c r="O4135">
        <v>73374703</v>
      </c>
      <c r="P4135">
        <v>75</v>
      </c>
      <c r="Q4135" t="s">
        <v>8613</v>
      </c>
    </row>
    <row r="4136" spans="1:17" x14ac:dyDescent="0.3">
      <c r="A4136" t="s">
        <v>17</v>
      </c>
      <c r="B4136" t="str">
        <f>"688021"</f>
        <v>688021</v>
      </c>
      <c r="C4136" t="s">
        <v>8614</v>
      </c>
      <c r="D4136" t="s">
        <v>1321</v>
      </c>
      <c r="E4136">
        <v>79556960</v>
      </c>
      <c r="F4136">
        <v>54953575</v>
      </c>
      <c r="G4136">
        <v>20433137</v>
      </c>
      <c r="H4136">
        <v>42233095</v>
      </c>
      <c r="P4136">
        <v>79</v>
      </c>
      <c r="Q4136" t="s">
        <v>8615</v>
      </c>
    </row>
    <row r="4137" spans="1:17" x14ac:dyDescent="0.3">
      <c r="A4137" t="s">
        <v>75</v>
      </c>
      <c r="B4137" t="str">
        <f>"300329"</f>
        <v>300329</v>
      </c>
      <c r="C4137" t="s">
        <v>8616</v>
      </c>
      <c r="D4137" t="s">
        <v>5484</v>
      </c>
      <c r="E4137">
        <v>78921607</v>
      </c>
      <c r="F4137">
        <v>120687381</v>
      </c>
      <c r="G4137">
        <v>41750700</v>
      </c>
      <c r="H4137">
        <v>105356575</v>
      </c>
      <c r="I4137">
        <v>120015305</v>
      </c>
      <c r="J4137">
        <v>90433977</v>
      </c>
      <c r="K4137">
        <v>72948472</v>
      </c>
      <c r="L4137">
        <v>70618820</v>
      </c>
      <c r="M4137">
        <v>59937246</v>
      </c>
      <c r="N4137">
        <v>68215046</v>
      </c>
      <c r="O4137">
        <v>64991501</v>
      </c>
      <c r="P4137">
        <v>96</v>
      </c>
      <c r="Q4137" t="s">
        <v>8617</v>
      </c>
    </row>
    <row r="4138" spans="1:17" x14ac:dyDescent="0.3">
      <c r="A4138" t="s">
        <v>75</v>
      </c>
      <c r="B4138" t="str">
        <f>"300522"</f>
        <v>300522</v>
      </c>
      <c r="C4138" t="s">
        <v>8618</v>
      </c>
      <c r="D4138" t="s">
        <v>4853</v>
      </c>
      <c r="E4138">
        <v>78781364</v>
      </c>
      <c r="F4138">
        <v>85813907</v>
      </c>
      <c r="G4138">
        <v>37440307</v>
      </c>
      <c r="H4138">
        <v>42517086</v>
      </c>
      <c r="I4138">
        <v>73318880</v>
      </c>
      <c r="J4138">
        <v>72325012</v>
      </c>
      <c r="K4138">
        <v>46836748</v>
      </c>
      <c r="L4138">
        <v>41629931</v>
      </c>
      <c r="P4138">
        <v>99</v>
      </c>
      <c r="Q4138" t="s">
        <v>8619</v>
      </c>
    </row>
    <row r="4139" spans="1:17" x14ac:dyDescent="0.3">
      <c r="A4139" t="s">
        <v>75</v>
      </c>
      <c r="B4139" t="str">
        <f>"300849"</f>
        <v>300849</v>
      </c>
      <c r="C4139" t="s">
        <v>8620</v>
      </c>
      <c r="D4139" t="s">
        <v>2758</v>
      </c>
      <c r="E4139">
        <v>78511058</v>
      </c>
      <c r="F4139">
        <v>54657776</v>
      </c>
      <c r="G4139">
        <v>57947249</v>
      </c>
      <c r="H4139">
        <v>95625352</v>
      </c>
      <c r="P4139">
        <v>44</v>
      </c>
      <c r="Q4139" t="s">
        <v>8621</v>
      </c>
    </row>
    <row r="4140" spans="1:17" x14ac:dyDescent="0.3">
      <c r="A4140" t="s">
        <v>75</v>
      </c>
      <c r="B4140" t="str">
        <f>"300885"</f>
        <v>300885</v>
      </c>
      <c r="C4140" t="s">
        <v>8622</v>
      </c>
      <c r="D4140" t="s">
        <v>153</v>
      </c>
      <c r="E4140">
        <v>78423547</v>
      </c>
      <c r="F4140">
        <v>73308996</v>
      </c>
      <c r="G4140">
        <v>44788995</v>
      </c>
      <c r="P4140">
        <v>45</v>
      </c>
      <c r="Q4140" t="s">
        <v>8623</v>
      </c>
    </row>
    <row r="4141" spans="1:17" x14ac:dyDescent="0.3">
      <c r="A4141" t="s">
        <v>75</v>
      </c>
      <c r="B4141" t="str">
        <f>"300306"</f>
        <v>300306</v>
      </c>
      <c r="C4141" t="s">
        <v>8624</v>
      </c>
      <c r="D4141" t="s">
        <v>2549</v>
      </c>
      <c r="E4141">
        <v>78186459</v>
      </c>
      <c r="F4141">
        <v>80814740</v>
      </c>
      <c r="G4141">
        <v>59043163</v>
      </c>
      <c r="H4141">
        <v>82443865</v>
      </c>
      <c r="I4141">
        <v>96929948</v>
      </c>
      <c r="J4141">
        <v>107208518</v>
      </c>
      <c r="K4141">
        <v>42465282</v>
      </c>
      <c r="L4141">
        <v>42570126</v>
      </c>
      <c r="M4141">
        <v>44350123</v>
      </c>
      <c r="N4141">
        <v>41128617</v>
      </c>
      <c r="O4141">
        <v>40899672</v>
      </c>
      <c r="P4141">
        <v>169</v>
      </c>
      <c r="Q4141" t="s">
        <v>8625</v>
      </c>
    </row>
    <row r="4142" spans="1:17" x14ac:dyDescent="0.3">
      <c r="A4142" t="s">
        <v>17</v>
      </c>
      <c r="B4142" t="str">
        <f>"603036"</f>
        <v>603036</v>
      </c>
      <c r="C4142" t="s">
        <v>8626</v>
      </c>
      <c r="D4142" t="s">
        <v>786</v>
      </c>
      <c r="E4142">
        <v>78154648</v>
      </c>
      <c r="F4142">
        <v>73393943</v>
      </c>
      <c r="G4142">
        <v>53317622</v>
      </c>
      <c r="H4142">
        <v>59858638</v>
      </c>
      <c r="I4142">
        <v>35900963</v>
      </c>
      <c r="J4142">
        <v>43508745</v>
      </c>
      <c r="K4142">
        <v>44448790</v>
      </c>
      <c r="P4142">
        <v>61</v>
      </c>
      <c r="Q4142" t="s">
        <v>8627</v>
      </c>
    </row>
    <row r="4143" spans="1:17" x14ac:dyDescent="0.3">
      <c r="A4143" t="s">
        <v>75</v>
      </c>
      <c r="B4143" t="str">
        <f>"300148"</f>
        <v>300148</v>
      </c>
      <c r="C4143" t="s">
        <v>8628</v>
      </c>
      <c r="D4143" t="s">
        <v>1165</v>
      </c>
      <c r="E4143">
        <v>77985591</v>
      </c>
      <c r="F4143">
        <v>127444156</v>
      </c>
      <c r="G4143">
        <v>243514467</v>
      </c>
      <c r="H4143">
        <v>263313559</v>
      </c>
      <c r="I4143">
        <v>163573090</v>
      </c>
      <c r="J4143">
        <v>176793775</v>
      </c>
      <c r="K4143">
        <v>60790742</v>
      </c>
      <c r="L4143">
        <v>80087804</v>
      </c>
      <c r="M4143">
        <v>37483937</v>
      </c>
      <c r="N4143">
        <v>28775142</v>
      </c>
      <c r="O4143">
        <v>21436247</v>
      </c>
      <c r="P4143">
        <v>99</v>
      </c>
      <c r="Q4143" t="s">
        <v>8629</v>
      </c>
    </row>
    <row r="4144" spans="1:17" x14ac:dyDescent="0.3">
      <c r="A4144" t="s">
        <v>17</v>
      </c>
      <c r="B4144" t="str">
        <f>"688386"</f>
        <v>688386</v>
      </c>
      <c r="C4144" t="s">
        <v>8630</v>
      </c>
      <c r="D4144" t="s">
        <v>2029</v>
      </c>
      <c r="E4144">
        <v>77893561</v>
      </c>
      <c r="F4144">
        <v>63477825</v>
      </c>
      <c r="G4144">
        <v>54546754</v>
      </c>
      <c r="H4144">
        <v>46859640</v>
      </c>
      <c r="P4144">
        <v>43</v>
      </c>
      <c r="Q4144" t="s">
        <v>8631</v>
      </c>
    </row>
    <row r="4145" spans="1:17" x14ac:dyDescent="0.3">
      <c r="A4145" t="s">
        <v>75</v>
      </c>
      <c r="B4145" t="str">
        <f>"002868"</f>
        <v>002868</v>
      </c>
      <c r="C4145" t="s">
        <v>8632</v>
      </c>
      <c r="D4145" t="s">
        <v>3609</v>
      </c>
      <c r="E4145">
        <v>77859590</v>
      </c>
      <c r="F4145">
        <v>65261792</v>
      </c>
      <c r="G4145">
        <v>86297989</v>
      </c>
      <c r="H4145">
        <v>83951000</v>
      </c>
      <c r="I4145">
        <v>94383899</v>
      </c>
      <c r="J4145">
        <v>94982164</v>
      </c>
      <c r="K4145">
        <v>118628932</v>
      </c>
      <c r="P4145">
        <v>88</v>
      </c>
      <c r="Q4145" t="s">
        <v>8633</v>
      </c>
    </row>
    <row r="4146" spans="1:17" x14ac:dyDescent="0.3">
      <c r="A4146" t="s">
        <v>75</v>
      </c>
      <c r="B4146" t="str">
        <f>"300678"</f>
        <v>300678</v>
      </c>
      <c r="C4146" t="s">
        <v>8634</v>
      </c>
      <c r="D4146" t="s">
        <v>224</v>
      </c>
      <c r="E4146">
        <v>77758592</v>
      </c>
      <c r="F4146">
        <v>67117108</v>
      </c>
      <c r="G4146">
        <v>41639655</v>
      </c>
      <c r="H4146">
        <v>44526946</v>
      </c>
      <c r="I4146">
        <v>56061396</v>
      </c>
      <c r="J4146">
        <v>30375144</v>
      </c>
      <c r="K4146">
        <v>27590990</v>
      </c>
      <c r="P4146">
        <v>105</v>
      </c>
      <c r="Q4146" t="s">
        <v>8635</v>
      </c>
    </row>
    <row r="4147" spans="1:17" x14ac:dyDescent="0.3">
      <c r="A4147" t="s">
        <v>75</v>
      </c>
      <c r="B4147" t="str">
        <f>"003029"</f>
        <v>003029</v>
      </c>
      <c r="C4147" t="s">
        <v>8636</v>
      </c>
      <c r="D4147" t="s">
        <v>116</v>
      </c>
      <c r="E4147">
        <v>77749008</v>
      </c>
      <c r="F4147">
        <v>151379238</v>
      </c>
      <c r="G4147">
        <v>41703234</v>
      </c>
      <c r="P4147">
        <v>75</v>
      </c>
      <c r="Q4147" t="s">
        <v>8637</v>
      </c>
    </row>
    <row r="4148" spans="1:17" x14ac:dyDescent="0.3">
      <c r="A4148" t="s">
        <v>17</v>
      </c>
      <c r="B4148" t="str">
        <f>"688619"</f>
        <v>688619</v>
      </c>
      <c r="C4148" t="s">
        <v>8638</v>
      </c>
      <c r="D4148" t="s">
        <v>337</v>
      </c>
      <c r="E4148">
        <v>77724908</v>
      </c>
      <c r="F4148">
        <v>45666969</v>
      </c>
      <c r="G4148">
        <v>56292273</v>
      </c>
      <c r="H4148">
        <v>0</v>
      </c>
      <c r="P4148">
        <v>31</v>
      </c>
      <c r="Q4148" t="s">
        <v>8639</v>
      </c>
    </row>
    <row r="4149" spans="1:17" x14ac:dyDescent="0.3">
      <c r="A4149" t="s">
        <v>75</v>
      </c>
      <c r="B4149" t="str">
        <f>"000037"</f>
        <v>000037</v>
      </c>
      <c r="C4149" t="s">
        <v>8640</v>
      </c>
      <c r="D4149" t="s">
        <v>446</v>
      </c>
      <c r="E4149">
        <v>77508218</v>
      </c>
      <c r="F4149">
        <v>82084456</v>
      </c>
      <c r="G4149">
        <v>269328079</v>
      </c>
      <c r="H4149">
        <v>186351277</v>
      </c>
      <c r="I4149">
        <v>389122194</v>
      </c>
      <c r="J4149">
        <v>335696984</v>
      </c>
      <c r="K4149">
        <v>159473281</v>
      </c>
      <c r="L4149">
        <v>251417637</v>
      </c>
      <c r="M4149">
        <v>164738655</v>
      </c>
      <c r="N4149">
        <v>301469188</v>
      </c>
      <c r="O4149">
        <v>648812850</v>
      </c>
      <c r="P4149">
        <v>112</v>
      </c>
      <c r="Q4149" t="s">
        <v>8641</v>
      </c>
    </row>
    <row r="4150" spans="1:17" x14ac:dyDescent="0.3">
      <c r="A4150" t="s">
        <v>17</v>
      </c>
      <c r="B4150" t="str">
        <f>"603488"</f>
        <v>603488</v>
      </c>
      <c r="C4150" t="s">
        <v>8642</v>
      </c>
      <c r="D4150" t="s">
        <v>892</v>
      </c>
      <c r="E4150">
        <v>77388786</v>
      </c>
      <c r="F4150">
        <v>68824865</v>
      </c>
      <c r="G4150">
        <v>45323964</v>
      </c>
      <c r="H4150">
        <v>52563719</v>
      </c>
      <c r="I4150">
        <v>58290960</v>
      </c>
      <c r="J4150">
        <v>49724089</v>
      </c>
      <c r="K4150">
        <v>0</v>
      </c>
      <c r="P4150">
        <v>64</v>
      </c>
      <c r="Q4150" t="s">
        <v>8643</v>
      </c>
    </row>
    <row r="4151" spans="1:17" x14ac:dyDescent="0.3">
      <c r="A4151" t="s">
        <v>17</v>
      </c>
      <c r="B4151" t="str">
        <f>"603838"</f>
        <v>603838</v>
      </c>
      <c r="C4151" t="s">
        <v>8644</v>
      </c>
      <c r="D4151" t="s">
        <v>1192</v>
      </c>
      <c r="E4151">
        <v>77148478</v>
      </c>
      <c r="F4151">
        <v>87292677</v>
      </c>
      <c r="G4151">
        <v>81954342</v>
      </c>
      <c r="H4151">
        <v>70452637</v>
      </c>
      <c r="I4151">
        <v>121698831</v>
      </c>
      <c r="J4151">
        <v>97386247</v>
      </c>
      <c r="K4151">
        <v>93929494</v>
      </c>
      <c r="L4151">
        <v>0</v>
      </c>
      <c r="M4151">
        <v>0</v>
      </c>
      <c r="P4151">
        <v>49</v>
      </c>
      <c r="Q4151" t="s">
        <v>8645</v>
      </c>
    </row>
    <row r="4152" spans="1:17" x14ac:dyDescent="0.3">
      <c r="A4152" t="s">
        <v>75</v>
      </c>
      <c r="B4152" t="str">
        <f>"300844"</f>
        <v>300844</v>
      </c>
      <c r="C4152" t="s">
        <v>8646</v>
      </c>
      <c r="D4152" t="s">
        <v>2118</v>
      </c>
      <c r="E4152">
        <v>77057195</v>
      </c>
      <c r="P4152">
        <v>16</v>
      </c>
      <c r="Q4152" t="s">
        <v>8647</v>
      </c>
    </row>
    <row r="4153" spans="1:17" x14ac:dyDescent="0.3">
      <c r="A4153" t="s">
        <v>75</v>
      </c>
      <c r="B4153" t="str">
        <f>"003004"</f>
        <v>003004</v>
      </c>
      <c r="C4153" t="s">
        <v>8648</v>
      </c>
      <c r="D4153" t="s">
        <v>337</v>
      </c>
      <c r="E4153">
        <v>77022693</v>
      </c>
      <c r="F4153">
        <v>33725201</v>
      </c>
      <c r="G4153">
        <v>44965658</v>
      </c>
      <c r="P4153">
        <v>37</v>
      </c>
      <c r="Q4153" t="s">
        <v>8649</v>
      </c>
    </row>
    <row r="4154" spans="1:17" x14ac:dyDescent="0.3">
      <c r="A4154" t="s">
        <v>75</v>
      </c>
      <c r="B4154" t="str">
        <f>"002529"</f>
        <v>002529</v>
      </c>
      <c r="C4154" t="s">
        <v>8650</v>
      </c>
      <c r="D4154" t="s">
        <v>1624</v>
      </c>
      <c r="E4154">
        <v>76956109</v>
      </c>
      <c r="F4154">
        <v>46886117</v>
      </c>
      <c r="G4154">
        <v>52026549</v>
      </c>
      <c r="H4154">
        <v>55952939</v>
      </c>
      <c r="I4154">
        <v>24165228</v>
      </c>
      <c r="J4154">
        <v>40422104</v>
      </c>
      <c r="K4154">
        <v>15349882</v>
      </c>
      <c r="L4154">
        <v>20259387</v>
      </c>
      <c r="M4154">
        <v>28484463</v>
      </c>
      <c r="N4154">
        <v>41098788</v>
      </c>
      <c r="O4154">
        <v>29231241</v>
      </c>
      <c r="P4154">
        <v>68</v>
      </c>
      <c r="Q4154" t="s">
        <v>8651</v>
      </c>
    </row>
    <row r="4155" spans="1:17" x14ac:dyDescent="0.3">
      <c r="A4155" t="s">
        <v>17</v>
      </c>
      <c r="B4155" t="str">
        <f>"688568"</f>
        <v>688568</v>
      </c>
      <c r="C4155" t="s">
        <v>8652</v>
      </c>
      <c r="D4155" t="s">
        <v>224</v>
      </c>
      <c r="E4155">
        <v>76759110</v>
      </c>
      <c r="F4155">
        <v>80991104</v>
      </c>
      <c r="G4155">
        <v>39826078</v>
      </c>
      <c r="H4155">
        <v>100368685</v>
      </c>
      <c r="P4155">
        <v>98</v>
      </c>
      <c r="Q4155" t="s">
        <v>8653</v>
      </c>
    </row>
    <row r="4156" spans="1:17" x14ac:dyDescent="0.3">
      <c r="A4156" t="s">
        <v>17</v>
      </c>
      <c r="B4156" t="str">
        <f>"688017"</f>
        <v>688017</v>
      </c>
      <c r="C4156" t="s">
        <v>8654</v>
      </c>
      <c r="D4156" t="s">
        <v>3105</v>
      </c>
      <c r="E4156">
        <v>76755268</v>
      </c>
      <c r="F4156">
        <v>56034341</v>
      </c>
      <c r="G4156">
        <v>31932273</v>
      </c>
      <c r="P4156">
        <v>152</v>
      </c>
      <c r="Q4156" t="s">
        <v>8655</v>
      </c>
    </row>
    <row r="4157" spans="1:17" x14ac:dyDescent="0.3">
      <c r="A4157" t="s">
        <v>75</v>
      </c>
      <c r="B4157" t="str">
        <f>"002820"</f>
        <v>002820</v>
      </c>
      <c r="C4157" t="s">
        <v>8656</v>
      </c>
      <c r="D4157" t="s">
        <v>2178</v>
      </c>
      <c r="E4157">
        <v>76751190</v>
      </c>
      <c r="F4157">
        <v>130884683</v>
      </c>
      <c r="G4157">
        <v>109107646</v>
      </c>
      <c r="H4157">
        <v>183130587</v>
      </c>
      <c r="I4157">
        <v>174246205</v>
      </c>
      <c r="J4157">
        <v>180478742</v>
      </c>
      <c r="K4157">
        <v>163182887</v>
      </c>
      <c r="P4157">
        <v>146</v>
      </c>
      <c r="Q4157" t="s">
        <v>8657</v>
      </c>
    </row>
    <row r="4158" spans="1:17" x14ac:dyDescent="0.3">
      <c r="A4158" t="s">
        <v>75</v>
      </c>
      <c r="B4158" t="str">
        <f>"000590"</f>
        <v>000590</v>
      </c>
      <c r="C4158" t="s">
        <v>8658</v>
      </c>
      <c r="D4158" t="s">
        <v>321</v>
      </c>
      <c r="E4158">
        <v>76626346</v>
      </c>
      <c r="F4158">
        <v>80835182</v>
      </c>
      <c r="G4158">
        <v>75978266</v>
      </c>
      <c r="H4158">
        <v>70722762</v>
      </c>
      <c r="I4158">
        <v>51694681</v>
      </c>
      <c r="J4158">
        <v>46107661</v>
      </c>
      <c r="K4158">
        <v>102822534</v>
      </c>
      <c r="L4158">
        <v>95164883</v>
      </c>
      <c r="M4158">
        <v>67248865</v>
      </c>
      <c r="N4158">
        <v>118300802</v>
      </c>
      <c r="O4158">
        <v>83190932</v>
      </c>
      <c r="P4158">
        <v>148</v>
      </c>
      <c r="Q4158" t="s">
        <v>8659</v>
      </c>
    </row>
    <row r="4159" spans="1:17" x14ac:dyDescent="0.3">
      <c r="A4159" t="s">
        <v>75</v>
      </c>
      <c r="B4159" t="str">
        <f>"003026"</f>
        <v>003026</v>
      </c>
      <c r="C4159" t="s">
        <v>8660</v>
      </c>
      <c r="D4159" t="s">
        <v>489</v>
      </c>
      <c r="E4159">
        <v>76407940</v>
      </c>
      <c r="F4159">
        <v>47077957</v>
      </c>
      <c r="G4159">
        <v>45511901</v>
      </c>
      <c r="P4159">
        <v>106</v>
      </c>
      <c r="Q4159" t="s">
        <v>8661</v>
      </c>
    </row>
    <row r="4160" spans="1:17" x14ac:dyDescent="0.3">
      <c r="A4160" t="s">
        <v>17</v>
      </c>
      <c r="B4160" t="str">
        <f>"688212"</f>
        <v>688212</v>
      </c>
      <c r="C4160" t="s">
        <v>8662</v>
      </c>
      <c r="D4160" t="s">
        <v>334</v>
      </c>
      <c r="E4160">
        <v>76088724</v>
      </c>
      <c r="P4160">
        <v>31</v>
      </c>
      <c r="Q4160" t="s">
        <v>8663</v>
      </c>
    </row>
    <row r="4161" spans="1:17" x14ac:dyDescent="0.3">
      <c r="A4161" t="s">
        <v>75</v>
      </c>
      <c r="B4161" t="str">
        <f>"300479"</f>
        <v>300479</v>
      </c>
      <c r="C4161" t="s">
        <v>8664</v>
      </c>
      <c r="D4161" t="s">
        <v>508</v>
      </c>
      <c r="E4161">
        <v>76009321</v>
      </c>
      <c r="F4161">
        <v>114849012</v>
      </c>
      <c r="G4161">
        <v>62101162</v>
      </c>
      <c r="H4161">
        <v>79182489</v>
      </c>
      <c r="I4161">
        <v>70999664</v>
      </c>
      <c r="J4161">
        <v>66330266</v>
      </c>
      <c r="K4161">
        <v>48501186</v>
      </c>
      <c r="L4161">
        <v>54667658</v>
      </c>
      <c r="M4161">
        <v>47554493</v>
      </c>
      <c r="P4161">
        <v>167</v>
      </c>
      <c r="Q4161" t="s">
        <v>8665</v>
      </c>
    </row>
    <row r="4162" spans="1:17" x14ac:dyDescent="0.3">
      <c r="A4162" t="s">
        <v>17</v>
      </c>
      <c r="B4162" t="str">
        <f>"600462"</f>
        <v>600462</v>
      </c>
      <c r="C4162" t="s">
        <v>8666</v>
      </c>
      <c r="D4162" t="s">
        <v>556</v>
      </c>
      <c r="E4162">
        <v>75950776</v>
      </c>
      <c r="F4162">
        <v>67803157</v>
      </c>
      <c r="G4162">
        <v>62317336</v>
      </c>
      <c r="H4162">
        <v>114365590</v>
      </c>
      <c r="I4162">
        <v>432561402</v>
      </c>
      <c r="J4162">
        <v>121212280</v>
      </c>
      <c r="K4162">
        <v>19164433</v>
      </c>
      <c r="L4162">
        <v>31190903</v>
      </c>
      <c r="M4162">
        <v>49063545</v>
      </c>
      <c r="N4162">
        <v>21639908</v>
      </c>
      <c r="O4162">
        <v>26106352</v>
      </c>
      <c r="P4162">
        <v>51</v>
      </c>
      <c r="Q4162" t="s">
        <v>8667</v>
      </c>
    </row>
    <row r="4163" spans="1:17" x14ac:dyDescent="0.3">
      <c r="A4163" t="s">
        <v>75</v>
      </c>
      <c r="B4163" t="str">
        <f>"300445"</f>
        <v>300445</v>
      </c>
      <c r="C4163" t="s">
        <v>8668</v>
      </c>
      <c r="D4163" t="s">
        <v>2549</v>
      </c>
      <c r="E4163">
        <v>75950267</v>
      </c>
      <c r="F4163">
        <v>78251156</v>
      </c>
      <c r="G4163">
        <v>61158197</v>
      </c>
      <c r="H4163">
        <v>64935387</v>
      </c>
      <c r="I4163">
        <v>49289400</v>
      </c>
      <c r="J4163">
        <v>39169637</v>
      </c>
      <c r="K4163">
        <v>29603655</v>
      </c>
      <c r="L4163">
        <v>30800445</v>
      </c>
      <c r="M4163">
        <v>26464320</v>
      </c>
      <c r="P4163">
        <v>169</v>
      </c>
      <c r="Q4163" t="s">
        <v>8669</v>
      </c>
    </row>
    <row r="4164" spans="1:17" x14ac:dyDescent="0.3">
      <c r="A4164" t="s">
        <v>75</v>
      </c>
      <c r="B4164" t="str">
        <f>"000663"</f>
        <v>000663</v>
      </c>
      <c r="C4164" t="s">
        <v>8670</v>
      </c>
      <c r="D4164" t="s">
        <v>1004</v>
      </c>
      <c r="E4164">
        <v>75848116</v>
      </c>
      <c r="F4164">
        <v>58906496</v>
      </c>
      <c r="G4164">
        <v>100842620</v>
      </c>
      <c r="H4164">
        <v>193215333</v>
      </c>
      <c r="I4164">
        <v>160632848</v>
      </c>
      <c r="J4164">
        <v>258721707</v>
      </c>
      <c r="K4164">
        <v>205260671</v>
      </c>
      <c r="L4164">
        <v>92056124</v>
      </c>
      <c r="M4164">
        <v>79442213</v>
      </c>
      <c r="N4164">
        <v>92071235</v>
      </c>
      <c r="O4164">
        <v>104260517</v>
      </c>
      <c r="P4164">
        <v>93</v>
      </c>
      <c r="Q4164" t="s">
        <v>8671</v>
      </c>
    </row>
    <row r="4165" spans="1:17" x14ac:dyDescent="0.3">
      <c r="A4165" t="s">
        <v>17</v>
      </c>
      <c r="B4165" t="str">
        <f>"688056"</f>
        <v>688056</v>
      </c>
      <c r="C4165" t="s">
        <v>8672</v>
      </c>
      <c r="D4165" t="s">
        <v>2549</v>
      </c>
      <c r="E4165">
        <v>75827497</v>
      </c>
      <c r="F4165">
        <v>97451667</v>
      </c>
      <c r="G4165">
        <v>69074951</v>
      </c>
      <c r="P4165">
        <v>50</v>
      </c>
      <c r="Q4165" t="s">
        <v>8673</v>
      </c>
    </row>
    <row r="4166" spans="1:17" x14ac:dyDescent="0.3">
      <c r="A4166" t="s">
        <v>17</v>
      </c>
      <c r="B4166" t="str">
        <f>"688059"</f>
        <v>688059</v>
      </c>
      <c r="C4166" t="s">
        <v>8674</v>
      </c>
      <c r="D4166" t="s">
        <v>153</v>
      </c>
      <c r="E4166">
        <v>75817206</v>
      </c>
      <c r="F4166">
        <v>52446991</v>
      </c>
      <c r="P4166">
        <v>105</v>
      </c>
      <c r="Q4166" t="s">
        <v>8675</v>
      </c>
    </row>
    <row r="4167" spans="1:17" x14ac:dyDescent="0.3">
      <c r="A4167" t="s">
        <v>75</v>
      </c>
      <c r="B4167" t="str">
        <f>"300876"</f>
        <v>300876</v>
      </c>
      <c r="C4167" t="s">
        <v>8676</v>
      </c>
      <c r="D4167" t="s">
        <v>1806</v>
      </c>
      <c r="E4167">
        <v>75670084</v>
      </c>
      <c r="F4167">
        <v>88860201</v>
      </c>
      <c r="G4167">
        <v>50374294</v>
      </c>
      <c r="P4167">
        <v>67</v>
      </c>
      <c r="Q4167" t="s">
        <v>8677</v>
      </c>
    </row>
    <row r="4168" spans="1:17" x14ac:dyDescent="0.3">
      <c r="A4168" t="s">
        <v>17</v>
      </c>
      <c r="B4168" t="str">
        <f>"688611"</f>
        <v>688611</v>
      </c>
      <c r="C4168" t="s">
        <v>8678</v>
      </c>
      <c r="D4168" t="s">
        <v>682</v>
      </c>
      <c r="E4168">
        <v>75259755</v>
      </c>
      <c r="F4168">
        <v>27602761</v>
      </c>
      <c r="G4168">
        <v>54081392</v>
      </c>
      <c r="P4168">
        <v>38</v>
      </c>
      <c r="Q4168" t="s">
        <v>8679</v>
      </c>
    </row>
    <row r="4169" spans="1:17" x14ac:dyDescent="0.3">
      <c r="A4169" t="s">
        <v>75</v>
      </c>
      <c r="B4169" t="str">
        <f>"301097"</f>
        <v>301097</v>
      </c>
      <c r="C4169" t="s">
        <v>8680</v>
      </c>
      <c r="E4169">
        <v>75183525</v>
      </c>
      <c r="P4169">
        <v>2</v>
      </c>
      <c r="Q4169" t="s">
        <v>8681</v>
      </c>
    </row>
    <row r="4170" spans="1:17" x14ac:dyDescent="0.3">
      <c r="A4170" t="s">
        <v>17</v>
      </c>
      <c r="B4170" t="str">
        <f>"688255"</f>
        <v>688255</v>
      </c>
      <c r="C4170" t="s">
        <v>8682</v>
      </c>
      <c r="D4170" t="s">
        <v>3105</v>
      </c>
      <c r="E4170">
        <v>75140196</v>
      </c>
      <c r="F4170">
        <v>100210680</v>
      </c>
      <c r="P4170">
        <v>19</v>
      </c>
      <c r="Q4170" t="s">
        <v>8683</v>
      </c>
    </row>
    <row r="4171" spans="1:17" x14ac:dyDescent="0.3">
      <c r="A4171" t="s">
        <v>17</v>
      </c>
      <c r="B4171" t="str">
        <f>"688109"</f>
        <v>688109</v>
      </c>
      <c r="C4171" t="s">
        <v>8684</v>
      </c>
      <c r="D4171" t="s">
        <v>116</v>
      </c>
      <c r="E4171">
        <v>74926463</v>
      </c>
      <c r="F4171">
        <v>93423261</v>
      </c>
      <c r="G4171">
        <v>45942516</v>
      </c>
      <c r="P4171">
        <v>72</v>
      </c>
      <c r="Q4171" t="s">
        <v>8685</v>
      </c>
    </row>
    <row r="4172" spans="1:17" x14ac:dyDescent="0.3">
      <c r="A4172" t="s">
        <v>75</v>
      </c>
      <c r="B4172" t="str">
        <f>"301076"</f>
        <v>301076</v>
      </c>
      <c r="C4172" t="s">
        <v>8686</v>
      </c>
      <c r="D4172" t="s">
        <v>292</v>
      </c>
      <c r="E4172">
        <v>74911564</v>
      </c>
      <c r="P4172">
        <v>20</v>
      </c>
      <c r="Q4172" t="s">
        <v>8687</v>
      </c>
    </row>
    <row r="4173" spans="1:17" x14ac:dyDescent="0.3">
      <c r="A4173" t="s">
        <v>17</v>
      </c>
      <c r="B4173" t="str">
        <f>"601020"</f>
        <v>601020</v>
      </c>
      <c r="C4173" t="s">
        <v>8688</v>
      </c>
      <c r="D4173" t="s">
        <v>390</v>
      </c>
      <c r="E4173">
        <v>74875980</v>
      </c>
      <c r="F4173">
        <v>315864599</v>
      </c>
      <c r="G4173">
        <v>851697520</v>
      </c>
      <c r="H4173">
        <v>34800000</v>
      </c>
      <c r="I4173">
        <v>304552570</v>
      </c>
      <c r="J4173">
        <v>50500000</v>
      </c>
      <c r="K4173">
        <v>27838634</v>
      </c>
      <c r="L4173">
        <v>66860867</v>
      </c>
      <c r="P4173">
        <v>180</v>
      </c>
      <c r="Q4173" t="s">
        <v>8689</v>
      </c>
    </row>
    <row r="4174" spans="1:17" x14ac:dyDescent="0.3">
      <c r="A4174" t="s">
        <v>75</v>
      </c>
      <c r="B4174" t="str">
        <f>"300753"</f>
        <v>300753</v>
      </c>
      <c r="C4174" t="s">
        <v>8690</v>
      </c>
      <c r="D4174" t="s">
        <v>334</v>
      </c>
      <c r="E4174">
        <v>74541427</v>
      </c>
      <c r="F4174">
        <v>83754906</v>
      </c>
      <c r="G4174">
        <v>45436014</v>
      </c>
      <c r="H4174">
        <v>62247010</v>
      </c>
      <c r="I4174">
        <v>53867858</v>
      </c>
      <c r="P4174">
        <v>243</v>
      </c>
      <c r="Q4174" t="s">
        <v>8691</v>
      </c>
    </row>
    <row r="4175" spans="1:17" x14ac:dyDescent="0.3">
      <c r="A4175" t="s">
        <v>75</v>
      </c>
      <c r="B4175" t="str">
        <f>"000608"</f>
        <v>000608</v>
      </c>
      <c r="C4175" t="s">
        <v>8692</v>
      </c>
      <c r="D4175" t="s">
        <v>179</v>
      </c>
      <c r="E4175">
        <v>74522625</v>
      </c>
      <c r="F4175">
        <v>145449156</v>
      </c>
      <c r="G4175">
        <v>49024484</v>
      </c>
      <c r="H4175">
        <v>59961000</v>
      </c>
      <c r="I4175">
        <v>94874000</v>
      </c>
      <c r="J4175">
        <v>206105000</v>
      </c>
      <c r="K4175">
        <v>115969000</v>
      </c>
      <c r="L4175">
        <v>110433000</v>
      </c>
      <c r="M4175">
        <v>192560000</v>
      </c>
      <c r="N4175">
        <v>278085000</v>
      </c>
      <c r="O4175">
        <v>120682000</v>
      </c>
      <c r="P4175">
        <v>102</v>
      </c>
      <c r="Q4175" t="s">
        <v>8693</v>
      </c>
    </row>
    <row r="4176" spans="1:17" x14ac:dyDescent="0.3">
      <c r="A4176" t="s">
        <v>17</v>
      </c>
      <c r="B4176" t="str">
        <f>"688112"</f>
        <v>688112</v>
      </c>
      <c r="C4176" t="s">
        <v>8694</v>
      </c>
      <c r="D4176" t="s">
        <v>2549</v>
      </c>
      <c r="E4176">
        <v>74481466</v>
      </c>
      <c r="P4176">
        <v>42</v>
      </c>
      <c r="Q4176" t="s">
        <v>8695</v>
      </c>
    </row>
    <row r="4177" spans="1:17" x14ac:dyDescent="0.3">
      <c r="A4177" t="s">
        <v>17</v>
      </c>
      <c r="B4177" t="str">
        <f>"688597"</f>
        <v>688597</v>
      </c>
      <c r="C4177" t="s">
        <v>8696</v>
      </c>
      <c r="D4177" t="s">
        <v>2251</v>
      </c>
      <c r="E4177">
        <v>74366831</v>
      </c>
      <c r="F4177">
        <v>111802630</v>
      </c>
      <c r="G4177">
        <v>109845791</v>
      </c>
      <c r="P4177">
        <v>17</v>
      </c>
      <c r="Q4177" t="s">
        <v>8697</v>
      </c>
    </row>
    <row r="4178" spans="1:17" x14ac:dyDescent="0.3">
      <c r="A4178" t="s">
        <v>17</v>
      </c>
      <c r="B4178" t="str">
        <f>"688193"</f>
        <v>688193</v>
      </c>
      <c r="C4178" t="s">
        <v>8698</v>
      </c>
      <c r="E4178">
        <v>74344188</v>
      </c>
      <c r="P4178">
        <v>2</v>
      </c>
      <c r="Q4178" t="s">
        <v>8699</v>
      </c>
    </row>
    <row r="4179" spans="1:17" x14ac:dyDescent="0.3">
      <c r="A4179" t="s">
        <v>75</v>
      </c>
      <c r="B4179" t="str">
        <f>"000005"</f>
        <v>000005</v>
      </c>
      <c r="C4179" t="s">
        <v>8700</v>
      </c>
      <c r="D4179" t="s">
        <v>2307</v>
      </c>
      <c r="E4179">
        <v>74227856</v>
      </c>
      <c r="F4179">
        <v>155443988</v>
      </c>
      <c r="G4179">
        <v>162608840</v>
      </c>
      <c r="H4179">
        <v>132045466</v>
      </c>
      <c r="I4179">
        <v>193182266</v>
      </c>
      <c r="J4179">
        <v>49079995</v>
      </c>
      <c r="K4179">
        <v>16824371</v>
      </c>
      <c r="L4179">
        <v>9024371</v>
      </c>
      <c r="M4179">
        <v>9700452</v>
      </c>
      <c r="N4179">
        <v>10392500</v>
      </c>
      <c r="O4179">
        <v>10677102</v>
      </c>
      <c r="P4179">
        <v>87</v>
      </c>
      <c r="Q4179" t="s">
        <v>8701</v>
      </c>
    </row>
    <row r="4180" spans="1:17" x14ac:dyDescent="0.3">
      <c r="A4180" t="s">
        <v>75</v>
      </c>
      <c r="B4180" t="str">
        <f>"300719"</f>
        <v>300719</v>
      </c>
      <c r="C4180" t="s">
        <v>8702</v>
      </c>
      <c r="D4180" t="s">
        <v>1551</v>
      </c>
      <c r="E4180">
        <v>74071382</v>
      </c>
      <c r="F4180">
        <v>148022571</v>
      </c>
      <c r="G4180">
        <v>96519286</v>
      </c>
      <c r="H4180">
        <v>286684074</v>
      </c>
      <c r="I4180">
        <v>160132718</v>
      </c>
      <c r="J4180">
        <v>58714715</v>
      </c>
      <c r="P4180">
        <v>93</v>
      </c>
      <c r="Q4180" t="s">
        <v>8703</v>
      </c>
    </row>
    <row r="4181" spans="1:17" x14ac:dyDescent="0.3">
      <c r="A4181" t="s">
        <v>17</v>
      </c>
      <c r="B4181" t="str">
        <f>"688156"</f>
        <v>688156</v>
      </c>
      <c r="C4181" t="s">
        <v>8704</v>
      </c>
      <c r="D4181" t="s">
        <v>1187</v>
      </c>
      <c r="E4181">
        <v>73917564</v>
      </c>
      <c r="F4181">
        <v>57978457</v>
      </c>
      <c r="G4181">
        <v>48770784</v>
      </c>
      <c r="H4181">
        <v>31546137</v>
      </c>
      <c r="P4181">
        <v>41</v>
      </c>
      <c r="Q4181" t="s">
        <v>8705</v>
      </c>
    </row>
    <row r="4182" spans="1:17" x14ac:dyDescent="0.3">
      <c r="A4182" t="s">
        <v>17</v>
      </c>
      <c r="B4182" t="str">
        <f>"600052"</f>
        <v>600052</v>
      </c>
      <c r="C4182" t="s">
        <v>8706</v>
      </c>
      <c r="D4182" t="s">
        <v>2532</v>
      </c>
      <c r="E4182">
        <v>73889242</v>
      </c>
      <c r="F4182">
        <v>30612473</v>
      </c>
      <c r="G4182">
        <v>16525407</v>
      </c>
      <c r="H4182">
        <v>849897934</v>
      </c>
      <c r="I4182">
        <v>532627229</v>
      </c>
      <c r="J4182">
        <v>525043802</v>
      </c>
      <c r="K4182">
        <v>229578201</v>
      </c>
      <c r="L4182">
        <v>267044261</v>
      </c>
      <c r="M4182">
        <v>443713999</v>
      </c>
      <c r="N4182">
        <v>701512894</v>
      </c>
      <c r="O4182">
        <v>336050127</v>
      </c>
      <c r="P4182">
        <v>133</v>
      </c>
      <c r="Q4182" t="s">
        <v>8707</v>
      </c>
    </row>
    <row r="4183" spans="1:17" x14ac:dyDescent="0.3">
      <c r="A4183" t="s">
        <v>75</v>
      </c>
      <c r="B4183" t="str">
        <f>"002857"</f>
        <v>002857</v>
      </c>
      <c r="C4183" t="s">
        <v>8708</v>
      </c>
      <c r="D4183" t="s">
        <v>2251</v>
      </c>
      <c r="E4183">
        <v>73866089</v>
      </c>
      <c r="F4183">
        <v>47561865</v>
      </c>
      <c r="G4183">
        <v>69145133</v>
      </c>
      <c r="H4183">
        <v>61683443</v>
      </c>
      <c r="I4183">
        <v>49827717</v>
      </c>
      <c r="J4183">
        <v>21562167</v>
      </c>
      <c r="K4183">
        <v>35091353</v>
      </c>
      <c r="P4183">
        <v>45</v>
      </c>
      <c r="Q4183" t="s">
        <v>8709</v>
      </c>
    </row>
    <row r="4184" spans="1:17" x14ac:dyDescent="0.3">
      <c r="A4184" t="s">
        <v>75</v>
      </c>
      <c r="B4184" t="str">
        <f>"002985"</f>
        <v>002985</v>
      </c>
      <c r="C4184" t="s">
        <v>8710</v>
      </c>
      <c r="D4184" t="s">
        <v>1551</v>
      </c>
      <c r="E4184">
        <v>73804187</v>
      </c>
      <c r="F4184">
        <v>107571258</v>
      </c>
      <c r="G4184">
        <v>35919410</v>
      </c>
      <c r="H4184">
        <v>41105360</v>
      </c>
      <c r="P4184">
        <v>548</v>
      </c>
      <c r="Q4184" t="s">
        <v>8711</v>
      </c>
    </row>
    <row r="4185" spans="1:17" x14ac:dyDescent="0.3">
      <c r="A4185" t="s">
        <v>17</v>
      </c>
      <c r="B4185" t="str">
        <f>"600246"</f>
        <v>600246</v>
      </c>
      <c r="C4185" t="s">
        <v>8712</v>
      </c>
      <c r="D4185" t="s">
        <v>65</v>
      </c>
      <c r="E4185">
        <v>73573290</v>
      </c>
      <c r="F4185">
        <v>257396103</v>
      </c>
      <c r="G4185">
        <v>177471625</v>
      </c>
      <c r="H4185">
        <v>248654099</v>
      </c>
      <c r="I4185">
        <v>323037195</v>
      </c>
      <c r="J4185">
        <v>487236101</v>
      </c>
      <c r="K4185">
        <v>543446297</v>
      </c>
      <c r="L4185">
        <v>309778396</v>
      </c>
      <c r="M4185">
        <v>353422910</v>
      </c>
      <c r="N4185">
        <v>409383326</v>
      </c>
      <c r="O4185">
        <v>606560284</v>
      </c>
      <c r="P4185">
        <v>122</v>
      </c>
      <c r="Q4185" t="s">
        <v>8713</v>
      </c>
    </row>
    <row r="4186" spans="1:17" x14ac:dyDescent="0.3">
      <c r="A4186" t="s">
        <v>75</v>
      </c>
      <c r="B4186" t="str">
        <f>"301046"</f>
        <v>301046</v>
      </c>
      <c r="C4186" t="s">
        <v>8714</v>
      </c>
      <c r="D4186" t="s">
        <v>52</v>
      </c>
      <c r="E4186">
        <v>73522195</v>
      </c>
      <c r="F4186">
        <v>40672432</v>
      </c>
      <c r="G4186">
        <v>73341893</v>
      </c>
      <c r="P4186">
        <v>33</v>
      </c>
      <c r="Q4186" t="s">
        <v>8715</v>
      </c>
    </row>
    <row r="4187" spans="1:17" x14ac:dyDescent="0.3">
      <c r="A4187" t="s">
        <v>75</v>
      </c>
      <c r="B4187" t="str">
        <f>"002297"</f>
        <v>002297</v>
      </c>
      <c r="C4187" t="s">
        <v>8716</v>
      </c>
      <c r="D4187" t="s">
        <v>1551</v>
      </c>
      <c r="E4187">
        <v>73358653</v>
      </c>
      <c r="F4187">
        <v>92161873</v>
      </c>
      <c r="G4187">
        <v>49889253</v>
      </c>
      <c r="H4187">
        <v>49181327</v>
      </c>
      <c r="I4187">
        <v>124229224</v>
      </c>
      <c r="J4187">
        <v>132164928</v>
      </c>
      <c r="K4187">
        <v>93076907</v>
      </c>
      <c r="L4187">
        <v>73811522</v>
      </c>
      <c r="M4187">
        <v>68670542</v>
      </c>
      <c r="N4187">
        <v>83477734</v>
      </c>
      <c r="O4187">
        <v>56881554</v>
      </c>
      <c r="P4187">
        <v>100</v>
      </c>
      <c r="Q4187" t="s">
        <v>8717</v>
      </c>
    </row>
    <row r="4188" spans="1:17" x14ac:dyDescent="0.3">
      <c r="A4188" t="s">
        <v>75</v>
      </c>
      <c r="B4188" t="str">
        <f>"002693"</f>
        <v>002693</v>
      </c>
      <c r="C4188" t="s">
        <v>8718</v>
      </c>
      <c r="D4188" t="s">
        <v>1533</v>
      </c>
      <c r="E4188">
        <v>73332117</v>
      </c>
      <c r="F4188">
        <v>85585541</v>
      </c>
      <c r="G4188">
        <v>53772602</v>
      </c>
      <c r="H4188">
        <v>79561495</v>
      </c>
      <c r="I4188">
        <v>100385423</v>
      </c>
      <c r="J4188">
        <v>36228546</v>
      </c>
      <c r="K4188">
        <v>49681659</v>
      </c>
      <c r="L4188">
        <v>41570701</v>
      </c>
      <c r="M4188">
        <v>37411370</v>
      </c>
      <c r="N4188">
        <v>27510997</v>
      </c>
      <c r="O4188">
        <v>28438696</v>
      </c>
      <c r="P4188">
        <v>95</v>
      </c>
      <c r="Q4188" t="s">
        <v>8719</v>
      </c>
    </row>
    <row r="4189" spans="1:17" x14ac:dyDescent="0.3">
      <c r="A4189" t="s">
        <v>17</v>
      </c>
      <c r="B4189" t="str">
        <f>"600661"</f>
        <v>600661</v>
      </c>
      <c r="C4189" t="s">
        <v>8720</v>
      </c>
      <c r="D4189" t="s">
        <v>1739</v>
      </c>
      <c r="E4189">
        <v>73225391</v>
      </c>
      <c r="F4189">
        <v>476145384</v>
      </c>
      <c r="G4189">
        <v>334617373</v>
      </c>
      <c r="H4189">
        <v>420837254</v>
      </c>
      <c r="I4189">
        <v>459877615</v>
      </c>
      <c r="J4189">
        <v>376666242</v>
      </c>
      <c r="K4189">
        <v>321438572</v>
      </c>
      <c r="L4189">
        <v>260327706</v>
      </c>
      <c r="M4189">
        <v>135282856</v>
      </c>
      <c r="N4189">
        <v>131763205</v>
      </c>
      <c r="O4189">
        <v>152425800</v>
      </c>
      <c r="P4189">
        <v>147</v>
      </c>
      <c r="Q4189" t="s">
        <v>8721</v>
      </c>
    </row>
    <row r="4190" spans="1:17" x14ac:dyDescent="0.3">
      <c r="A4190" t="s">
        <v>75</v>
      </c>
      <c r="B4190" t="str">
        <f>"301111"</f>
        <v>301111</v>
      </c>
      <c r="C4190" t="s">
        <v>8722</v>
      </c>
      <c r="D4190" t="s">
        <v>543</v>
      </c>
      <c r="E4190">
        <v>73171075</v>
      </c>
      <c r="P4190">
        <v>28</v>
      </c>
      <c r="Q4190" t="s">
        <v>8723</v>
      </c>
    </row>
    <row r="4191" spans="1:17" x14ac:dyDescent="0.3">
      <c r="A4191" t="s">
        <v>17</v>
      </c>
      <c r="B4191" t="str">
        <f>"600825"</f>
        <v>600825</v>
      </c>
      <c r="C4191" t="s">
        <v>8724</v>
      </c>
      <c r="D4191" t="s">
        <v>1703</v>
      </c>
      <c r="E4191">
        <v>73149460</v>
      </c>
      <c r="F4191">
        <v>121712798</v>
      </c>
      <c r="G4191">
        <v>88834374</v>
      </c>
      <c r="H4191">
        <v>136646809</v>
      </c>
      <c r="I4191">
        <v>155598631</v>
      </c>
      <c r="J4191">
        <v>226860192</v>
      </c>
      <c r="K4191">
        <v>253503919</v>
      </c>
      <c r="L4191">
        <v>251205244</v>
      </c>
      <c r="M4191">
        <v>326434578</v>
      </c>
      <c r="N4191">
        <v>358042352</v>
      </c>
      <c r="O4191">
        <v>434675601</v>
      </c>
      <c r="P4191">
        <v>84</v>
      </c>
      <c r="Q4191" t="s">
        <v>8725</v>
      </c>
    </row>
    <row r="4192" spans="1:17" x14ac:dyDescent="0.3">
      <c r="A4192" t="s">
        <v>75</v>
      </c>
      <c r="B4192" t="str">
        <f>"002231"</f>
        <v>002231</v>
      </c>
      <c r="C4192" t="s">
        <v>8726</v>
      </c>
      <c r="D4192" t="s">
        <v>1572</v>
      </c>
      <c r="E4192">
        <v>73061851</v>
      </c>
      <c r="F4192">
        <v>199623192</v>
      </c>
      <c r="G4192">
        <v>58996548</v>
      </c>
      <c r="H4192">
        <v>47135687</v>
      </c>
      <c r="I4192">
        <v>212067816</v>
      </c>
      <c r="J4192">
        <v>95072469</v>
      </c>
      <c r="K4192">
        <v>86454640</v>
      </c>
      <c r="L4192">
        <v>113490548</v>
      </c>
      <c r="M4192">
        <v>65412930</v>
      </c>
      <c r="N4192">
        <v>59186313</v>
      </c>
      <c r="O4192">
        <v>83804667</v>
      </c>
      <c r="P4192">
        <v>155</v>
      </c>
      <c r="Q4192" t="s">
        <v>8727</v>
      </c>
    </row>
    <row r="4193" spans="1:17" x14ac:dyDescent="0.3">
      <c r="A4193" t="s">
        <v>17</v>
      </c>
      <c r="B4193" t="str">
        <f>"688319"</f>
        <v>688319</v>
      </c>
      <c r="C4193" t="s">
        <v>8728</v>
      </c>
      <c r="D4193" t="s">
        <v>928</v>
      </c>
      <c r="E4193">
        <v>73044991</v>
      </c>
      <c r="F4193">
        <v>56543140</v>
      </c>
      <c r="G4193">
        <v>26714001</v>
      </c>
      <c r="P4193">
        <v>46</v>
      </c>
      <c r="Q4193" t="s">
        <v>8729</v>
      </c>
    </row>
    <row r="4194" spans="1:17" x14ac:dyDescent="0.3">
      <c r="A4194" t="s">
        <v>17</v>
      </c>
      <c r="B4194" t="str">
        <f>"688776"</f>
        <v>688776</v>
      </c>
      <c r="C4194" t="s">
        <v>8730</v>
      </c>
      <c r="D4194" t="s">
        <v>1572</v>
      </c>
      <c r="E4194">
        <v>72986056</v>
      </c>
      <c r="P4194">
        <v>23</v>
      </c>
      <c r="Q4194" t="s">
        <v>8731</v>
      </c>
    </row>
    <row r="4195" spans="1:17" x14ac:dyDescent="0.3">
      <c r="A4195" t="s">
        <v>17</v>
      </c>
      <c r="B4195" t="str">
        <f>"603032"</f>
        <v>603032</v>
      </c>
      <c r="C4195" t="s">
        <v>8732</v>
      </c>
      <c r="D4195" t="s">
        <v>1195</v>
      </c>
      <c r="E4195">
        <v>72909727</v>
      </c>
      <c r="F4195">
        <v>11695137</v>
      </c>
      <c r="G4195">
        <v>9381609</v>
      </c>
      <c r="H4195">
        <v>23407862</v>
      </c>
      <c r="I4195">
        <v>33125350</v>
      </c>
      <c r="J4195">
        <v>45150154</v>
      </c>
      <c r="K4195">
        <v>57051739</v>
      </c>
      <c r="P4195">
        <v>73</v>
      </c>
      <c r="Q4195" t="s">
        <v>8733</v>
      </c>
    </row>
    <row r="4196" spans="1:17" x14ac:dyDescent="0.3">
      <c r="A4196" t="s">
        <v>75</v>
      </c>
      <c r="B4196" t="str">
        <f>"300141"</f>
        <v>300141</v>
      </c>
      <c r="C4196" t="s">
        <v>8734</v>
      </c>
      <c r="D4196" t="s">
        <v>546</v>
      </c>
      <c r="E4196">
        <v>72797572</v>
      </c>
      <c r="F4196">
        <v>72932873</v>
      </c>
      <c r="G4196">
        <v>113556784</v>
      </c>
      <c r="H4196">
        <v>128556819</v>
      </c>
      <c r="I4196">
        <v>103544638</v>
      </c>
      <c r="J4196">
        <v>78986681</v>
      </c>
      <c r="K4196">
        <v>66277026</v>
      </c>
      <c r="L4196">
        <v>26451637</v>
      </c>
      <c r="M4196">
        <v>30943883</v>
      </c>
      <c r="N4196">
        <v>33497219</v>
      </c>
      <c r="O4196">
        <v>24657581</v>
      </c>
      <c r="P4196">
        <v>91</v>
      </c>
      <c r="Q4196" t="s">
        <v>8735</v>
      </c>
    </row>
    <row r="4197" spans="1:17" x14ac:dyDescent="0.3">
      <c r="A4197" t="s">
        <v>75</v>
      </c>
      <c r="B4197" t="str">
        <f>"300220"</f>
        <v>300220</v>
      </c>
      <c r="C4197" t="s">
        <v>8736</v>
      </c>
      <c r="D4197" t="s">
        <v>1497</v>
      </c>
      <c r="E4197">
        <v>72188893</v>
      </c>
      <c r="F4197">
        <v>88349068</v>
      </c>
      <c r="G4197">
        <v>29025457</v>
      </c>
      <c r="H4197">
        <v>40970045</v>
      </c>
      <c r="I4197">
        <v>39119274</v>
      </c>
      <c r="J4197">
        <v>41111308</v>
      </c>
      <c r="K4197">
        <v>41374514</v>
      </c>
      <c r="L4197">
        <v>40225518</v>
      </c>
      <c r="M4197">
        <v>37675851</v>
      </c>
      <c r="N4197">
        <v>32247450</v>
      </c>
      <c r="O4197">
        <v>38950616</v>
      </c>
      <c r="P4197">
        <v>91</v>
      </c>
      <c r="Q4197" t="s">
        <v>8737</v>
      </c>
    </row>
    <row r="4198" spans="1:17" x14ac:dyDescent="0.3">
      <c r="A4198" t="s">
        <v>75</v>
      </c>
      <c r="B4198" t="str">
        <f>"003009"</f>
        <v>003009</v>
      </c>
      <c r="C4198" t="s">
        <v>8738</v>
      </c>
      <c r="D4198" t="s">
        <v>2083</v>
      </c>
      <c r="E4198">
        <v>72125139</v>
      </c>
      <c r="F4198">
        <v>84139228</v>
      </c>
      <c r="G4198">
        <v>50574705</v>
      </c>
      <c r="P4198">
        <v>105</v>
      </c>
      <c r="Q4198" t="s">
        <v>8739</v>
      </c>
    </row>
    <row r="4199" spans="1:17" x14ac:dyDescent="0.3">
      <c r="A4199" t="s">
        <v>75</v>
      </c>
      <c r="B4199" t="str">
        <f>"002762"</f>
        <v>002762</v>
      </c>
      <c r="C4199" t="s">
        <v>8740</v>
      </c>
      <c r="D4199" t="s">
        <v>814</v>
      </c>
      <c r="E4199">
        <v>72122488</v>
      </c>
      <c r="F4199">
        <v>77040053</v>
      </c>
      <c r="G4199">
        <v>72638665</v>
      </c>
      <c r="H4199">
        <v>104357555</v>
      </c>
      <c r="I4199">
        <v>137286373</v>
      </c>
      <c r="J4199">
        <v>114176886</v>
      </c>
      <c r="K4199">
        <v>97934633</v>
      </c>
      <c r="L4199">
        <v>0</v>
      </c>
      <c r="M4199">
        <v>0</v>
      </c>
      <c r="P4199">
        <v>128</v>
      </c>
      <c r="Q4199" t="s">
        <v>8741</v>
      </c>
    </row>
    <row r="4200" spans="1:17" x14ac:dyDescent="0.3">
      <c r="A4200" t="s">
        <v>75</v>
      </c>
      <c r="B4200" t="str">
        <f>"300534"</f>
        <v>300534</v>
      </c>
      <c r="C4200" t="s">
        <v>8742</v>
      </c>
      <c r="D4200" t="s">
        <v>321</v>
      </c>
      <c r="E4200">
        <v>72054406</v>
      </c>
      <c r="F4200">
        <v>55803098</v>
      </c>
      <c r="G4200">
        <v>55422136</v>
      </c>
      <c r="H4200">
        <v>42719260</v>
      </c>
      <c r="I4200">
        <v>38681827</v>
      </c>
      <c r="J4200">
        <v>47923176</v>
      </c>
      <c r="K4200">
        <v>59603622</v>
      </c>
      <c r="P4200">
        <v>109</v>
      </c>
      <c r="Q4200" t="s">
        <v>8743</v>
      </c>
    </row>
    <row r="4201" spans="1:17" x14ac:dyDescent="0.3">
      <c r="A4201" t="s">
        <v>17</v>
      </c>
      <c r="B4201" t="str">
        <f>"605086"</f>
        <v>605086</v>
      </c>
      <c r="C4201" t="s">
        <v>8744</v>
      </c>
      <c r="D4201" t="s">
        <v>996</v>
      </c>
      <c r="E4201">
        <v>71570730</v>
      </c>
      <c r="F4201">
        <v>72715970</v>
      </c>
      <c r="G4201">
        <v>40968268</v>
      </c>
      <c r="P4201">
        <v>29</v>
      </c>
      <c r="Q4201" t="s">
        <v>8745</v>
      </c>
    </row>
    <row r="4202" spans="1:17" x14ac:dyDescent="0.3">
      <c r="A4202" t="s">
        <v>75</v>
      </c>
      <c r="B4202" t="str">
        <f>"300670"</f>
        <v>300670</v>
      </c>
      <c r="C4202" t="s">
        <v>8746</v>
      </c>
      <c r="D4202" t="s">
        <v>546</v>
      </c>
      <c r="E4202">
        <v>71545136</v>
      </c>
      <c r="F4202">
        <v>101819107</v>
      </c>
      <c r="G4202">
        <v>66549228</v>
      </c>
      <c r="H4202">
        <v>74017573</v>
      </c>
      <c r="I4202">
        <v>47467896</v>
      </c>
      <c r="J4202">
        <v>29882066</v>
      </c>
      <c r="K4202">
        <v>27360373</v>
      </c>
      <c r="P4202">
        <v>67</v>
      </c>
      <c r="Q4202" t="s">
        <v>8747</v>
      </c>
    </row>
    <row r="4203" spans="1:17" x14ac:dyDescent="0.3">
      <c r="A4203" t="s">
        <v>17</v>
      </c>
      <c r="B4203" t="str">
        <f>"600880"</f>
        <v>600880</v>
      </c>
      <c r="C4203" t="s">
        <v>8748</v>
      </c>
      <c r="D4203" t="s">
        <v>8749</v>
      </c>
      <c r="E4203">
        <v>71539416</v>
      </c>
      <c r="F4203">
        <v>128048277</v>
      </c>
      <c r="G4203">
        <v>47304828</v>
      </c>
      <c r="H4203">
        <v>64398934</v>
      </c>
      <c r="I4203">
        <v>130322725</v>
      </c>
      <c r="J4203">
        <v>170288152</v>
      </c>
      <c r="K4203">
        <v>202274688</v>
      </c>
      <c r="L4203">
        <v>326294073</v>
      </c>
      <c r="M4203">
        <v>421717052</v>
      </c>
      <c r="N4203">
        <v>293419943</v>
      </c>
      <c r="O4203">
        <v>233778793</v>
      </c>
      <c r="P4203">
        <v>314</v>
      </c>
      <c r="Q4203" t="s">
        <v>8750</v>
      </c>
    </row>
    <row r="4204" spans="1:17" x14ac:dyDescent="0.3">
      <c r="A4204" t="s">
        <v>17</v>
      </c>
      <c r="B4204" t="str">
        <f>"603990"</f>
        <v>603990</v>
      </c>
      <c r="C4204" t="s">
        <v>8751</v>
      </c>
      <c r="D4204" t="s">
        <v>116</v>
      </c>
      <c r="E4204">
        <v>71415977</v>
      </c>
      <c r="F4204">
        <v>79326633</v>
      </c>
      <c r="G4204">
        <v>45609578</v>
      </c>
      <c r="H4204">
        <v>44989230</v>
      </c>
      <c r="I4204">
        <v>33075925</v>
      </c>
      <c r="J4204">
        <v>46855955</v>
      </c>
      <c r="K4204">
        <v>32980851</v>
      </c>
      <c r="P4204">
        <v>143</v>
      </c>
      <c r="Q4204" t="s">
        <v>8752</v>
      </c>
    </row>
    <row r="4205" spans="1:17" x14ac:dyDescent="0.3">
      <c r="A4205" t="s">
        <v>75</v>
      </c>
      <c r="B4205" t="str">
        <f>"000798"</f>
        <v>000798</v>
      </c>
      <c r="C4205" t="s">
        <v>8753</v>
      </c>
      <c r="D4205" t="s">
        <v>5746</v>
      </c>
      <c r="E4205">
        <v>71372008</v>
      </c>
      <c r="F4205">
        <v>113176126</v>
      </c>
      <c r="G4205">
        <v>65108453</v>
      </c>
      <c r="H4205">
        <v>101278118</v>
      </c>
      <c r="I4205">
        <v>123081637</v>
      </c>
      <c r="J4205">
        <v>125611525</v>
      </c>
      <c r="K4205">
        <v>88791997</v>
      </c>
      <c r="L4205">
        <v>139008789</v>
      </c>
      <c r="M4205">
        <v>74170256</v>
      </c>
      <c r="N4205">
        <v>66283101</v>
      </c>
      <c r="O4205">
        <v>86564214</v>
      </c>
      <c r="P4205">
        <v>83</v>
      </c>
      <c r="Q4205" t="s">
        <v>8754</v>
      </c>
    </row>
    <row r="4206" spans="1:17" x14ac:dyDescent="0.3">
      <c r="A4206" t="s">
        <v>75</v>
      </c>
      <c r="B4206" t="str">
        <f>"300615"</f>
        <v>300615</v>
      </c>
      <c r="C4206" t="s">
        <v>8755</v>
      </c>
      <c r="D4206" t="s">
        <v>556</v>
      </c>
      <c r="E4206">
        <v>71320272</v>
      </c>
      <c r="F4206">
        <v>66143087</v>
      </c>
      <c r="G4206">
        <v>55396480</v>
      </c>
      <c r="H4206">
        <v>70176286</v>
      </c>
      <c r="I4206">
        <v>46179737</v>
      </c>
      <c r="J4206">
        <v>64011033</v>
      </c>
      <c r="K4206">
        <v>47228785</v>
      </c>
      <c r="P4206">
        <v>156</v>
      </c>
      <c r="Q4206" t="s">
        <v>8756</v>
      </c>
    </row>
    <row r="4207" spans="1:17" x14ac:dyDescent="0.3">
      <c r="A4207" t="s">
        <v>17</v>
      </c>
      <c r="B4207" t="str">
        <f>"688051"</f>
        <v>688051</v>
      </c>
      <c r="C4207" t="s">
        <v>8757</v>
      </c>
      <c r="D4207" t="s">
        <v>224</v>
      </c>
      <c r="E4207">
        <v>71237159</v>
      </c>
      <c r="F4207">
        <v>52474742</v>
      </c>
      <c r="G4207">
        <v>28188239</v>
      </c>
      <c r="H4207">
        <v>67528686</v>
      </c>
      <c r="P4207">
        <v>91</v>
      </c>
      <c r="Q4207" t="s">
        <v>8758</v>
      </c>
    </row>
    <row r="4208" spans="1:17" x14ac:dyDescent="0.3">
      <c r="A4208" t="s">
        <v>17</v>
      </c>
      <c r="B4208" t="str">
        <f>"600770"</f>
        <v>600770</v>
      </c>
      <c r="C4208" t="s">
        <v>8759</v>
      </c>
      <c r="D4208" t="s">
        <v>1284</v>
      </c>
      <c r="E4208">
        <v>71099276</v>
      </c>
      <c r="F4208">
        <v>96343646</v>
      </c>
      <c r="G4208">
        <v>91470400</v>
      </c>
      <c r="H4208">
        <v>152769752</v>
      </c>
      <c r="I4208">
        <v>100755107</v>
      </c>
      <c r="J4208">
        <v>113816495</v>
      </c>
      <c r="K4208">
        <v>121111762</v>
      </c>
      <c r="L4208">
        <v>137174094</v>
      </c>
      <c r="M4208">
        <v>92595922</v>
      </c>
      <c r="N4208">
        <v>105057343</v>
      </c>
      <c r="O4208">
        <v>143214909</v>
      </c>
      <c r="P4208">
        <v>3055</v>
      </c>
      <c r="Q4208" t="s">
        <v>8760</v>
      </c>
    </row>
    <row r="4209" spans="1:17" x14ac:dyDescent="0.3">
      <c r="A4209" t="s">
        <v>75</v>
      </c>
      <c r="B4209" t="str">
        <f>"301130"</f>
        <v>301130</v>
      </c>
      <c r="C4209" t="s">
        <v>8761</v>
      </c>
      <c r="E4209">
        <v>71078232</v>
      </c>
      <c r="P4209">
        <v>7</v>
      </c>
      <c r="Q4209" t="s">
        <v>8762</v>
      </c>
    </row>
    <row r="4210" spans="1:17" x14ac:dyDescent="0.3">
      <c r="A4210" t="s">
        <v>17</v>
      </c>
      <c r="B4210" t="str">
        <f>"688262"</f>
        <v>688262</v>
      </c>
      <c r="C4210" t="s">
        <v>8763</v>
      </c>
      <c r="D4210" t="s">
        <v>883</v>
      </c>
      <c r="E4210">
        <v>70980313</v>
      </c>
      <c r="P4210">
        <v>19</v>
      </c>
      <c r="Q4210" t="s">
        <v>8764</v>
      </c>
    </row>
    <row r="4211" spans="1:17" x14ac:dyDescent="0.3">
      <c r="A4211" t="s">
        <v>75</v>
      </c>
      <c r="B4211" t="str">
        <f>"301096"</f>
        <v>301096</v>
      </c>
      <c r="C4211" t="s">
        <v>8765</v>
      </c>
      <c r="D4211" t="s">
        <v>716</v>
      </c>
      <c r="E4211">
        <v>70941979</v>
      </c>
      <c r="P4211">
        <v>26</v>
      </c>
      <c r="Q4211" t="s">
        <v>8766</v>
      </c>
    </row>
    <row r="4212" spans="1:17" x14ac:dyDescent="0.3">
      <c r="A4212" t="s">
        <v>17</v>
      </c>
      <c r="B4212" t="str">
        <f>"688633"</f>
        <v>688633</v>
      </c>
      <c r="C4212" t="s">
        <v>8767</v>
      </c>
      <c r="D4212" t="s">
        <v>786</v>
      </c>
      <c r="E4212">
        <v>70893356</v>
      </c>
      <c r="F4212">
        <v>41958640</v>
      </c>
      <c r="G4212">
        <v>65883225</v>
      </c>
      <c r="P4212">
        <v>38</v>
      </c>
      <c r="Q4212" t="s">
        <v>8768</v>
      </c>
    </row>
    <row r="4213" spans="1:17" x14ac:dyDescent="0.3">
      <c r="A4213" t="s">
        <v>17</v>
      </c>
      <c r="B4213" t="str">
        <f>"600371"</f>
        <v>600371</v>
      </c>
      <c r="C4213" t="s">
        <v>8769</v>
      </c>
      <c r="D4213" t="s">
        <v>3670</v>
      </c>
      <c r="E4213">
        <v>70733234</v>
      </c>
      <c r="F4213">
        <v>43529117</v>
      </c>
      <c r="G4213">
        <v>40340094</v>
      </c>
      <c r="H4213">
        <v>57752754</v>
      </c>
      <c r="I4213">
        <v>77115647</v>
      </c>
      <c r="J4213">
        <v>63010347</v>
      </c>
      <c r="K4213">
        <v>181420716</v>
      </c>
      <c r="L4213">
        <v>136055419</v>
      </c>
      <c r="M4213">
        <v>91016700</v>
      </c>
      <c r="N4213">
        <v>130821387</v>
      </c>
      <c r="O4213">
        <v>242730500</v>
      </c>
      <c r="P4213">
        <v>174</v>
      </c>
      <c r="Q4213" t="s">
        <v>8770</v>
      </c>
    </row>
    <row r="4214" spans="1:17" x14ac:dyDescent="0.3">
      <c r="A4214" t="s">
        <v>75</v>
      </c>
      <c r="B4214" t="str">
        <f>"300886"</f>
        <v>300886</v>
      </c>
      <c r="C4214" t="s">
        <v>8771</v>
      </c>
      <c r="D4214" t="s">
        <v>2758</v>
      </c>
      <c r="E4214">
        <v>70464175</v>
      </c>
      <c r="F4214">
        <v>55548689</v>
      </c>
      <c r="G4214">
        <v>47738659</v>
      </c>
      <c r="P4214">
        <v>49</v>
      </c>
      <c r="Q4214" t="s">
        <v>8772</v>
      </c>
    </row>
    <row r="4215" spans="1:17" x14ac:dyDescent="0.3">
      <c r="A4215" t="s">
        <v>75</v>
      </c>
      <c r="B4215" t="str">
        <f>"300989"</f>
        <v>300989</v>
      </c>
      <c r="C4215" t="s">
        <v>8773</v>
      </c>
      <c r="D4215" t="s">
        <v>2118</v>
      </c>
      <c r="E4215">
        <v>70427554</v>
      </c>
      <c r="F4215">
        <v>74225867</v>
      </c>
      <c r="G4215">
        <v>69453577</v>
      </c>
      <c r="P4215">
        <v>32</v>
      </c>
      <c r="Q4215" t="s">
        <v>8774</v>
      </c>
    </row>
    <row r="4216" spans="1:17" x14ac:dyDescent="0.3">
      <c r="A4216" t="s">
        <v>17</v>
      </c>
      <c r="B4216" t="str">
        <f>"688092"</f>
        <v>688092</v>
      </c>
      <c r="C4216" t="s">
        <v>8775</v>
      </c>
      <c r="D4216" t="s">
        <v>1624</v>
      </c>
      <c r="E4216">
        <v>70344666</v>
      </c>
      <c r="F4216">
        <v>65916892</v>
      </c>
      <c r="G4216">
        <v>35905605</v>
      </c>
      <c r="P4216">
        <v>29</v>
      </c>
      <c r="Q4216" t="s">
        <v>8776</v>
      </c>
    </row>
    <row r="4217" spans="1:17" x14ac:dyDescent="0.3">
      <c r="A4217" t="s">
        <v>75</v>
      </c>
      <c r="B4217" t="str">
        <f>"300962"</f>
        <v>300962</v>
      </c>
      <c r="C4217" t="s">
        <v>8777</v>
      </c>
      <c r="D4217" t="s">
        <v>8778</v>
      </c>
      <c r="E4217">
        <v>69873824</v>
      </c>
      <c r="F4217">
        <v>64485326</v>
      </c>
      <c r="G4217">
        <v>38925031</v>
      </c>
      <c r="P4217">
        <v>32</v>
      </c>
      <c r="Q4217" t="s">
        <v>8779</v>
      </c>
    </row>
    <row r="4218" spans="1:17" x14ac:dyDescent="0.3">
      <c r="A4218" t="s">
        <v>75</v>
      </c>
      <c r="B4218" t="str">
        <f>"300717"</f>
        <v>300717</v>
      </c>
      <c r="C4218" t="s">
        <v>8780</v>
      </c>
      <c r="D4218" t="s">
        <v>3251</v>
      </c>
      <c r="E4218">
        <v>69860332</v>
      </c>
      <c r="F4218">
        <v>43303462</v>
      </c>
      <c r="G4218">
        <v>44841291</v>
      </c>
      <c r="H4218">
        <v>60472709</v>
      </c>
      <c r="I4218">
        <v>51097962</v>
      </c>
      <c r="J4218">
        <v>51379964</v>
      </c>
      <c r="P4218">
        <v>71</v>
      </c>
      <c r="Q4218" t="s">
        <v>8781</v>
      </c>
    </row>
    <row r="4219" spans="1:17" x14ac:dyDescent="0.3">
      <c r="A4219" t="s">
        <v>17</v>
      </c>
      <c r="B4219" t="str">
        <f>"688028"</f>
        <v>688028</v>
      </c>
      <c r="C4219" t="s">
        <v>8782</v>
      </c>
      <c r="D4219" t="s">
        <v>3587</v>
      </c>
      <c r="E4219">
        <v>69852509</v>
      </c>
      <c r="F4219">
        <v>84028743</v>
      </c>
      <c r="G4219">
        <v>56761613</v>
      </c>
      <c r="H4219">
        <v>65186078</v>
      </c>
      <c r="I4219">
        <v>0</v>
      </c>
      <c r="P4219">
        <v>76</v>
      </c>
      <c r="Q4219" t="s">
        <v>8783</v>
      </c>
    </row>
    <row r="4220" spans="1:17" x14ac:dyDescent="0.3">
      <c r="A4220" t="s">
        <v>17</v>
      </c>
      <c r="B4220" t="str">
        <f>"688395"</f>
        <v>688395</v>
      </c>
      <c r="C4220" t="s">
        <v>8784</v>
      </c>
      <c r="D4220" t="s">
        <v>1352</v>
      </c>
      <c r="E4220">
        <v>69832887</v>
      </c>
      <c r="F4220">
        <v>52334797</v>
      </c>
      <c r="G4220">
        <v>41200890</v>
      </c>
      <c r="P4220">
        <v>36</v>
      </c>
      <c r="Q4220" t="s">
        <v>8785</v>
      </c>
    </row>
    <row r="4221" spans="1:17" x14ac:dyDescent="0.3">
      <c r="A4221" t="s">
        <v>17</v>
      </c>
      <c r="B4221" t="str">
        <f>"688565"</f>
        <v>688565</v>
      </c>
      <c r="C4221" t="s">
        <v>8786</v>
      </c>
      <c r="D4221" t="s">
        <v>1107</v>
      </c>
      <c r="E4221">
        <v>69536003</v>
      </c>
      <c r="F4221">
        <v>28232879</v>
      </c>
      <c r="G4221">
        <v>27046106</v>
      </c>
      <c r="P4221">
        <v>38</v>
      </c>
      <c r="Q4221" t="s">
        <v>8787</v>
      </c>
    </row>
    <row r="4222" spans="1:17" x14ac:dyDescent="0.3">
      <c r="A4222" t="s">
        <v>17</v>
      </c>
      <c r="B4222" t="str">
        <f>"688320"</f>
        <v>688320</v>
      </c>
      <c r="C4222" t="s">
        <v>8788</v>
      </c>
      <c r="E4222">
        <v>69275040</v>
      </c>
      <c r="P4222">
        <v>1</v>
      </c>
      <c r="Q4222" t="s">
        <v>8789</v>
      </c>
    </row>
    <row r="4223" spans="1:17" x14ac:dyDescent="0.3">
      <c r="A4223" t="s">
        <v>75</v>
      </c>
      <c r="B4223" t="str">
        <f>"002496"</f>
        <v>002496</v>
      </c>
      <c r="C4223" t="s">
        <v>8790</v>
      </c>
      <c r="D4223" t="s">
        <v>811</v>
      </c>
      <c r="E4223">
        <v>69264572</v>
      </c>
      <c r="F4223">
        <v>380263761</v>
      </c>
      <c r="G4223">
        <v>299311147</v>
      </c>
      <c r="H4223">
        <v>473632232</v>
      </c>
      <c r="I4223">
        <v>876228467</v>
      </c>
      <c r="J4223">
        <v>3092807687</v>
      </c>
      <c r="K4223">
        <v>731377775</v>
      </c>
      <c r="L4223">
        <v>554503192</v>
      </c>
      <c r="M4223">
        <v>457781689</v>
      </c>
      <c r="N4223">
        <v>408922993</v>
      </c>
      <c r="O4223">
        <v>318768838</v>
      </c>
      <c r="P4223">
        <v>158</v>
      </c>
      <c r="Q4223" t="s">
        <v>8791</v>
      </c>
    </row>
    <row r="4224" spans="1:17" x14ac:dyDescent="0.3">
      <c r="A4224" t="s">
        <v>17</v>
      </c>
      <c r="B4224" t="str">
        <f>"603398"</f>
        <v>603398</v>
      </c>
      <c r="C4224" t="s">
        <v>8792</v>
      </c>
      <c r="D4224" t="s">
        <v>5484</v>
      </c>
      <c r="E4224">
        <v>69021225</v>
      </c>
      <c r="F4224">
        <v>89936441</v>
      </c>
      <c r="G4224">
        <v>97833643</v>
      </c>
      <c r="H4224">
        <v>123372781</v>
      </c>
      <c r="I4224">
        <v>73595345</v>
      </c>
      <c r="J4224">
        <v>72034612</v>
      </c>
      <c r="K4224">
        <v>72780836</v>
      </c>
      <c r="L4224">
        <v>0</v>
      </c>
      <c r="M4224">
        <v>0</v>
      </c>
      <c r="P4224">
        <v>89</v>
      </c>
      <c r="Q4224" t="s">
        <v>8793</v>
      </c>
    </row>
    <row r="4225" spans="1:17" x14ac:dyDescent="0.3">
      <c r="A4225" t="s">
        <v>75</v>
      </c>
      <c r="B4225" t="str">
        <f>"200017"</f>
        <v>200017</v>
      </c>
      <c r="C4225" t="s">
        <v>8794</v>
      </c>
      <c r="E4225">
        <v>68912618.939999998</v>
      </c>
      <c r="F4225">
        <v>36946032.071500003</v>
      </c>
      <c r="G4225">
        <v>5673079.9649999999</v>
      </c>
      <c r="H4225">
        <v>5434394.1687000003</v>
      </c>
      <c r="I4225">
        <v>7480863.6490000002</v>
      </c>
      <c r="J4225">
        <v>14454902.295600001</v>
      </c>
      <c r="K4225">
        <v>12132802.0451</v>
      </c>
      <c r="L4225">
        <v>15422203.75</v>
      </c>
      <c r="M4225">
        <v>15712846.779200001</v>
      </c>
      <c r="N4225">
        <v>26141417.9538</v>
      </c>
      <c r="O4225">
        <v>45315592.064999998</v>
      </c>
      <c r="P4225">
        <v>3</v>
      </c>
      <c r="Q4225" t="s">
        <v>8795</v>
      </c>
    </row>
    <row r="4226" spans="1:17" x14ac:dyDescent="0.3">
      <c r="A4226" t="s">
        <v>75</v>
      </c>
      <c r="B4226" t="str">
        <f>"002972"</f>
        <v>002972</v>
      </c>
      <c r="C4226" t="s">
        <v>8796</v>
      </c>
      <c r="D4226" t="s">
        <v>156</v>
      </c>
      <c r="E4226">
        <v>68863482</v>
      </c>
      <c r="F4226">
        <v>47468755</v>
      </c>
      <c r="G4226">
        <v>49949060</v>
      </c>
      <c r="H4226">
        <v>44008859</v>
      </c>
      <c r="I4226">
        <v>31738266</v>
      </c>
      <c r="P4226">
        <v>188</v>
      </c>
      <c r="Q4226" t="s">
        <v>8797</v>
      </c>
    </row>
    <row r="4227" spans="1:17" x14ac:dyDescent="0.3">
      <c r="A4227" t="s">
        <v>75</v>
      </c>
      <c r="B4227" t="str">
        <f>"300546"</f>
        <v>300546</v>
      </c>
      <c r="C4227" t="s">
        <v>8798</v>
      </c>
      <c r="D4227" t="s">
        <v>508</v>
      </c>
      <c r="E4227">
        <v>68780770</v>
      </c>
      <c r="F4227">
        <v>66549434</v>
      </c>
      <c r="G4227">
        <v>64648801</v>
      </c>
      <c r="H4227">
        <v>125289601</v>
      </c>
      <c r="I4227">
        <v>92389842</v>
      </c>
      <c r="J4227">
        <v>44353437</v>
      </c>
      <c r="K4227">
        <v>22503513</v>
      </c>
      <c r="P4227">
        <v>196</v>
      </c>
      <c r="Q4227" t="s">
        <v>8799</v>
      </c>
    </row>
    <row r="4228" spans="1:17" x14ac:dyDescent="0.3">
      <c r="A4228" t="s">
        <v>17</v>
      </c>
      <c r="B4228" t="str">
        <f>"600106"</f>
        <v>600106</v>
      </c>
      <c r="C4228" t="s">
        <v>8800</v>
      </c>
      <c r="D4228" t="s">
        <v>1248</v>
      </c>
      <c r="E4228">
        <v>68698696</v>
      </c>
      <c r="F4228">
        <v>59335145</v>
      </c>
      <c r="G4228">
        <v>112842144</v>
      </c>
      <c r="H4228">
        <v>155135869</v>
      </c>
      <c r="I4228">
        <v>18611584</v>
      </c>
      <c r="J4228">
        <v>153447566</v>
      </c>
      <c r="K4228">
        <v>74339320</v>
      </c>
      <c r="L4228">
        <v>119060750</v>
      </c>
      <c r="M4228">
        <v>47190311</v>
      </c>
      <c r="N4228">
        <v>72501814</v>
      </c>
      <c r="O4228">
        <v>65006449</v>
      </c>
      <c r="P4228">
        <v>145</v>
      </c>
      <c r="Q4228" t="s">
        <v>8801</v>
      </c>
    </row>
    <row r="4229" spans="1:17" x14ac:dyDescent="0.3">
      <c r="A4229" t="s">
        <v>75</v>
      </c>
      <c r="B4229" t="str">
        <f>"000518"</f>
        <v>000518</v>
      </c>
      <c r="C4229" t="s">
        <v>8802</v>
      </c>
      <c r="D4229" t="s">
        <v>1533</v>
      </c>
      <c r="E4229">
        <v>68697463</v>
      </c>
      <c r="F4229">
        <v>76315858</v>
      </c>
      <c r="G4229">
        <v>123924137</v>
      </c>
      <c r="H4229">
        <v>88874047</v>
      </c>
      <c r="I4229">
        <v>99899281</v>
      </c>
      <c r="J4229">
        <v>84124188</v>
      </c>
      <c r="K4229">
        <v>67718968</v>
      </c>
      <c r="L4229">
        <v>48011198</v>
      </c>
      <c r="M4229">
        <v>63489567</v>
      </c>
      <c r="N4229">
        <v>63477620</v>
      </c>
      <c r="O4229">
        <v>58054661</v>
      </c>
      <c r="P4229">
        <v>171</v>
      </c>
      <c r="Q4229" t="s">
        <v>8803</v>
      </c>
    </row>
    <row r="4230" spans="1:17" x14ac:dyDescent="0.3">
      <c r="A4230" t="s">
        <v>75</v>
      </c>
      <c r="B4230" t="str">
        <f>"300540"</f>
        <v>300540</v>
      </c>
      <c r="C4230" t="s">
        <v>8804</v>
      </c>
      <c r="D4230" t="s">
        <v>1624</v>
      </c>
      <c r="E4230">
        <v>68619754</v>
      </c>
      <c r="F4230">
        <v>37935209</v>
      </c>
      <c r="G4230">
        <v>22477102</v>
      </c>
      <c r="H4230">
        <v>26974698</v>
      </c>
      <c r="I4230">
        <v>35902751</v>
      </c>
      <c r="J4230">
        <v>14122949</v>
      </c>
      <c r="K4230">
        <v>88814225</v>
      </c>
      <c r="P4230">
        <v>65</v>
      </c>
      <c r="Q4230" t="s">
        <v>8805</v>
      </c>
    </row>
    <row r="4231" spans="1:17" x14ac:dyDescent="0.3">
      <c r="A4231" t="s">
        <v>75</v>
      </c>
      <c r="B4231" t="str">
        <f>"002159"</f>
        <v>002159</v>
      </c>
      <c r="C4231" t="s">
        <v>8806</v>
      </c>
      <c r="D4231" t="s">
        <v>7744</v>
      </c>
      <c r="E4231">
        <v>68584814</v>
      </c>
      <c r="F4231">
        <v>87807103</v>
      </c>
      <c r="G4231">
        <v>37640492</v>
      </c>
      <c r="H4231">
        <v>110575794</v>
      </c>
      <c r="I4231">
        <v>111082412</v>
      </c>
      <c r="J4231">
        <v>91107856</v>
      </c>
      <c r="K4231">
        <v>93871064</v>
      </c>
      <c r="L4231">
        <v>72932596</v>
      </c>
      <c r="M4231">
        <v>62947257</v>
      </c>
      <c r="N4231">
        <v>51187548</v>
      </c>
      <c r="O4231">
        <v>49622835</v>
      </c>
      <c r="P4231">
        <v>119</v>
      </c>
      <c r="Q4231" t="s">
        <v>8807</v>
      </c>
    </row>
    <row r="4232" spans="1:17" x14ac:dyDescent="0.3">
      <c r="A4232" t="s">
        <v>75</v>
      </c>
      <c r="B4232" t="str">
        <f>"301259"</f>
        <v>301259</v>
      </c>
      <c r="C4232" t="s">
        <v>8808</v>
      </c>
      <c r="E4232">
        <v>68415078</v>
      </c>
      <c r="P4232">
        <v>0</v>
      </c>
      <c r="Q4232" t="s">
        <v>8809</v>
      </c>
    </row>
    <row r="4233" spans="1:17" x14ac:dyDescent="0.3">
      <c r="A4233" t="s">
        <v>17</v>
      </c>
      <c r="B4233" t="str">
        <f>"600234"</f>
        <v>600234</v>
      </c>
      <c r="C4233" t="s">
        <v>8810</v>
      </c>
      <c r="D4233" t="s">
        <v>1284</v>
      </c>
      <c r="E4233">
        <v>68157033</v>
      </c>
      <c r="F4233">
        <v>180229791</v>
      </c>
      <c r="G4233">
        <v>59580817</v>
      </c>
      <c r="H4233">
        <v>14642521</v>
      </c>
      <c r="I4233">
        <v>51565945</v>
      </c>
      <c r="J4233">
        <v>4278433</v>
      </c>
      <c r="K4233">
        <v>814770</v>
      </c>
      <c r="L4233">
        <v>4317270</v>
      </c>
      <c r="M4233">
        <v>699639</v>
      </c>
      <c r="N4233">
        <v>1820952</v>
      </c>
      <c r="O4233">
        <v>11223977</v>
      </c>
      <c r="P4233">
        <v>59</v>
      </c>
      <c r="Q4233" t="s">
        <v>8811</v>
      </c>
    </row>
    <row r="4234" spans="1:17" x14ac:dyDescent="0.3">
      <c r="A4234" t="s">
        <v>17</v>
      </c>
      <c r="B4234" t="str">
        <f>"688378"</f>
        <v>688378</v>
      </c>
      <c r="C4234" t="s">
        <v>8812</v>
      </c>
      <c r="D4234" t="s">
        <v>1624</v>
      </c>
      <c r="E4234">
        <v>68108293</v>
      </c>
      <c r="F4234">
        <v>17326109</v>
      </c>
      <c r="G4234">
        <v>19461401</v>
      </c>
      <c r="P4234">
        <v>50</v>
      </c>
      <c r="Q4234" t="s">
        <v>8813</v>
      </c>
    </row>
    <row r="4235" spans="1:17" x14ac:dyDescent="0.3">
      <c r="A4235" t="s">
        <v>75</v>
      </c>
      <c r="B4235" t="str">
        <f>"300178"</f>
        <v>300178</v>
      </c>
      <c r="C4235" t="s">
        <v>8814</v>
      </c>
      <c r="D4235" t="s">
        <v>6342</v>
      </c>
      <c r="E4235">
        <v>68053654</v>
      </c>
      <c r="F4235">
        <v>413383175</v>
      </c>
      <c r="G4235">
        <v>93162093</v>
      </c>
      <c r="H4235">
        <v>985252092</v>
      </c>
      <c r="I4235">
        <v>924608145</v>
      </c>
      <c r="J4235">
        <v>476293832</v>
      </c>
      <c r="K4235">
        <v>63483813</v>
      </c>
      <c r="L4235">
        <v>13875947</v>
      </c>
      <c r="M4235">
        <v>25071148</v>
      </c>
      <c r="N4235">
        <v>70318464</v>
      </c>
      <c r="O4235">
        <v>41473336</v>
      </c>
      <c r="P4235">
        <v>152</v>
      </c>
      <c r="Q4235" t="s">
        <v>8815</v>
      </c>
    </row>
    <row r="4236" spans="1:17" x14ac:dyDescent="0.3">
      <c r="A4236" t="s">
        <v>75</v>
      </c>
      <c r="B4236" t="str">
        <f>"300922"</f>
        <v>300922</v>
      </c>
      <c r="C4236" t="s">
        <v>8816</v>
      </c>
      <c r="D4236" t="s">
        <v>3072</v>
      </c>
      <c r="E4236">
        <v>67982441</v>
      </c>
      <c r="F4236">
        <v>69374580</v>
      </c>
      <c r="G4236">
        <v>49170659</v>
      </c>
      <c r="H4236">
        <v>33966481</v>
      </c>
      <c r="I4236">
        <v>22997894</v>
      </c>
      <c r="P4236">
        <v>83</v>
      </c>
      <c r="Q4236" t="s">
        <v>8817</v>
      </c>
    </row>
    <row r="4237" spans="1:17" x14ac:dyDescent="0.3">
      <c r="A4237" t="s">
        <v>17</v>
      </c>
      <c r="B4237" t="str">
        <f>"688296"</f>
        <v>688296</v>
      </c>
      <c r="C4237" t="s">
        <v>8818</v>
      </c>
      <c r="D4237" t="s">
        <v>116</v>
      </c>
      <c r="E4237">
        <v>67715625</v>
      </c>
      <c r="F4237">
        <v>58747946</v>
      </c>
      <c r="G4237">
        <v>24033646</v>
      </c>
      <c r="P4237">
        <v>24</v>
      </c>
      <c r="Q4237" t="s">
        <v>8819</v>
      </c>
    </row>
    <row r="4238" spans="1:17" x14ac:dyDescent="0.3">
      <c r="A4238" t="s">
        <v>75</v>
      </c>
      <c r="B4238" t="str">
        <f>"300282"</f>
        <v>300282</v>
      </c>
      <c r="C4238" t="s">
        <v>8820</v>
      </c>
      <c r="D4238" t="s">
        <v>1001</v>
      </c>
      <c r="E4238">
        <v>67700609</v>
      </c>
      <c r="F4238">
        <v>87431760</v>
      </c>
      <c r="G4238">
        <v>86342961</v>
      </c>
      <c r="H4238">
        <v>127547983</v>
      </c>
      <c r="I4238">
        <v>131873477</v>
      </c>
      <c r="J4238">
        <v>269396869</v>
      </c>
      <c r="K4238">
        <v>305514526</v>
      </c>
      <c r="L4238">
        <v>294167735</v>
      </c>
      <c r="M4238">
        <v>43323525</v>
      </c>
      <c r="N4238">
        <v>27397600</v>
      </c>
      <c r="O4238">
        <v>18092475</v>
      </c>
      <c r="P4238">
        <v>100</v>
      </c>
      <c r="Q4238" t="s">
        <v>8821</v>
      </c>
    </row>
    <row r="4239" spans="1:17" x14ac:dyDescent="0.3">
      <c r="A4239" t="s">
        <v>75</v>
      </c>
      <c r="B4239" t="str">
        <f>"300901"</f>
        <v>300901</v>
      </c>
      <c r="C4239" t="s">
        <v>8822</v>
      </c>
      <c r="D4239" t="s">
        <v>814</v>
      </c>
      <c r="E4239">
        <v>67695262</v>
      </c>
      <c r="F4239">
        <v>87184967</v>
      </c>
      <c r="P4239">
        <v>45</v>
      </c>
      <c r="Q4239" t="s">
        <v>8823</v>
      </c>
    </row>
    <row r="4240" spans="1:17" x14ac:dyDescent="0.3">
      <c r="A4240" t="s">
        <v>17</v>
      </c>
      <c r="B4240" t="str">
        <f>"688787"</f>
        <v>688787</v>
      </c>
      <c r="C4240" t="s">
        <v>8824</v>
      </c>
      <c r="D4240" t="s">
        <v>224</v>
      </c>
      <c r="E4240">
        <v>67570951</v>
      </c>
      <c r="F4240">
        <v>60447508</v>
      </c>
      <c r="G4240">
        <v>50747405</v>
      </c>
      <c r="P4240">
        <v>32</v>
      </c>
      <c r="Q4240" t="s">
        <v>8825</v>
      </c>
    </row>
    <row r="4241" spans="1:17" x14ac:dyDescent="0.3">
      <c r="A4241" t="s">
        <v>75</v>
      </c>
      <c r="B4241" t="str">
        <f>"300985"</f>
        <v>300985</v>
      </c>
      <c r="C4241" t="s">
        <v>8826</v>
      </c>
      <c r="D4241" t="s">
        <v>153</v>
      </c>
      <c r="E4241">
        <v>67541153</v>
      </c>
      <c r="F4241">
        <v>109485549</v>
      </c>
      <c r="G4241">
        <v>107414995</v>
      </c>
      <c r="P4241">
        <v>32</v>
      </c>
      <c r="Q4241" t="s">
        <v>8827</v>
      </c>
    </row>
    <row r="4242" spans="1:17" x14ac:dyDescent="0.3">
      <c r="A4242" t="s">
        <v>17</v>
      </c>
      <c r="B4242" t="str">
        <f>"600678"</f>
        <v>600678</v>
      </c>
      <c r="C4242" t="s">
        <v>8828</v>
      </c>
      <c r="D4242" t="s">
        <v>191</v>
      </c>
      <c r="E4242">
        <v>67461851</v>
      </c>
      <c r="F4242">
        <v>58143069</v>
      </c>
      <c r="G4242">
        <v>32135298</v>
      </c>
      <c r="H4242">
        <v>92130291</v>
      </c>
      <c r="I4242">
        <v>21661642</v>
      </c>
      <c r="J4242">
        <v>14562085</v>
      </c>
      <c r="K4242">
        <v>7577144</v>
      </c>
      <c r="L4242">
        <v>7623707</v>
      </c>
      <c r="M4242">
        <v>5348784</v>
      </c>
      <c r="N4242">
        <v>9491163</v>
      </c>
      <c r="O4242">
        <v>1885549</v>
      </c>
      <c r="P4242">
        <v>194</v>
      </c>
      <c r="Q4242" t="s">
        <v>8829</v>
      </c>
    </row>
    <row r="4243" spans="1:17" x14ac:dyDescent="0.3">
      <c r="A4243" t="s">
        <v>17</v>
      </c>
      <c r="B4243" t="str">
        <f>"688661"</f>
        <v>688661</v>
      </c>
      <c r="C4243" t="s">
        <v>8830</v>
      </c>
      <c r="D4243" t="s">
        <v>55</v>
      </c>
      <c r="E4243">
        <v>67111968</v>
      </c>
      <c r="F4243">
        <v>82536993</v>
      </c>
      <c r="G4243">
        <v>46722505</v>
      </c>
      <c r="P4243">
        <v>64</v>
      </c>
      <c r="Q4243" t="s">
        <v>8831</v>
      </c>
    </row>
    <row r="4244" spans="1:17" x14ac:dyDescent="0.3">
      <c r="A4244" t="s">
        <v>75</v>
      </c>
      <c r="B4244" t="str">
        <f>"300609"</f>
        <v>300609</v>
      </c>
      <c r="C4244" t="s">
        <v>8832</v>
      </c>
      <c r="D4244" t="s">
        <v>224</v>
      </c>
      <c r="E4244">
        <v>66630725</v>
      </c>
      <c r="F4244">
        <v>53098061</v>
      </c>
      <c r="G4244">
        <v>48178588</v>
      </c>
      <c r="H4244">
        <v>68346091</v>
      </c>
      <c r="I4244">
        <v>48128758</v>
      </c>
      <c r="J4244">
        <v>45854604</v>
      </c>
      <c r="K4244">
        <v>26838036</v>
      </c>
      <c r="P4244">
        <v>155</v>
      </c>
      <c r="Q4244" t="s">
        <v>8833</v>
      </c>
    </row>
    <row r="4245" spans="1:17" x14ac:dyDescent="0.3">
      <c r="A4245" t="s">
        <v>17</v>
      </c>
      <c r="B4245" t="str">
        <f>"688331"</f>
        <v>688331</v>
      </c>
      <c r="C4245" t="s">
        <v>8834</v>
      </c>
      <c r="E4245">
        <v>66339681</v>
      </c>
      <c r="P4245">
        <v>5</v>
      </c>
      <c r="Q4245" t="s">
        <v>8835</v>
      </c>
    </row>
    <row r="4246" spans="1:17" x14ac:dyDescent="0.3">
      <c r="A4246" t="s">
        <v>75</v>
      </c>
      <c r="B4246" t="str">
        <f>"300585"</f>
        <v>300585</v>
      </c>
      <c r="C4246" t="s">
        <v>8836</v>
      </c>
      <c r="D4246" t="s">
        <v>172</v>
      </c>
      <c r="E4246">
        <v>66317707</v>
      </c>
      <c r="F4246">
        <v>47647785</v>
      </c>
      <c r="G4246">
        <v>43066785</v>
      </c>
      <c r="H4246">
        <v>58275139</v>
      </c>
      <c r="I4246">
        <v>52691287</v>
      </c>
      <c r="J4246">
        <v>42726439</v>
      </c>
      <c r="K4246">
        <v>42989368</v>
      </c>
      <c r="P4246">
        <v>92</v>
      </c>
      <c r="Q4246" t="s">
        <v>8837</v>
      </c>
    </row>
    <row r="4247" spans="1:17" x14ac:dyDescent="0.3">
      <c r="A4247" t="s">
        <v>75</v>
      </c>
      <c r="B4247" t="str">
        <f>"300163"</f>
        <v>300163</v>
      </c>
      <c r="C4247" t="s">
        <v>8838</v>
      </c>
      <c r="D4247" t="s">
        <v>292</v>
      </c>
      <c r="E4247">
        <v>66317055</v>
      </c>
      <c r="F4247">
        <v>100944054</v>
      </c>
      <c r="G4247">
        <v>47905673</v>
      </c>
      <c r="H4247">
        <v>117113146</v>
      </c>
      <c r="I4247">
        <v>106465176</v>
      </c>
      <c r="J4247">
        <v>145936040</v>
      </c>
      <c r="K4247">
        <v>194049760</v>
      </c>
      <c r="L4247">
        <v>160914392</v>
      </c>
      <c r="M4247">
        <v>46662280</v>
      </c>
      <c r="N4247">
        <v>39102365</v>
      </c>
      <c r="O4247">
        <v>36304842</v>
      </c>
      <c r="P4247">
        <v>75</v>
      </c>
      <c r="Q4247" t="s">
        <v>8839</v>
      </c>
    </row>
    <row r="4248" spans="1:17" x14ac:dyDescent="0.3">
      <c r="A4248" t="s">
        <v>17</v>
      </c>
      <c r="B4248" t="str">
        <f>"688222"</f>
        <v>688222</v>
      </c>
      <c r="C4248" t="s">
        <v>8840</v>
      </c>
      <c r="D4248" t="s">
        <v>716</v>
      </c>
      <c r="E4248">
        <v>66214562</v>
      </c>
      <c r="F4248">
        <v>75894787</v>
      </c>
      <c r="G4248">
        <v>38785924</v>
      </c>
      <c r="H4248">
        <v>40042353</v>
      </c>
      <c r="P4248">
        <v>128</v>
      </c>
      <c r="Q4248" t="s">
        <v>8841</v>
      </c>
    </row>
    <row r="4249" spans="1:17" x14ac:dyDescent="0.3">
      <c r="A4249" t="s">
        <v>75</v>
      </c>
      <c r="B4249" t="str">
        <f>"002912"</f>
        <v>002912</v>
      </c>
      <c r="C4249" t="s">
        <v>8842</v>
      </c>
      <c r="D4249" t="s">
        <v>508</v>
      </c>
      <c r="E4249">
        <v>66208473</v>
      </c>
      <c r="F4249">
        <v>61538787</v>
      </c>
      <c r="G4249">
        <v>87827233</v>
      </c>
      <c r="H4249">
        <v>177719693</v>
      </c>
      <c r="I4249">
        <v>93003730</v>
      </c>
      <c r="J4249">
        <v>87034652</v>
      </c>
      <c r="P4249">
        <v>586</v>
      </c>
      <c r="Q4249" t="s">
        <v>8843</v>
      </c>
    </row>
    <row r="4250" spans="1:17" x14ac:dyDescent="0.3">
      <c r="A4250" t="s">
        <v>75</v>
      </c>
      <c r="B4250" t="str">
        <f>"002869"</f>
        <v>002869</v>
      </c>
      <c r="C4250" t="s">
        <v>8844</v>
      </c>
      <c r="D4250" t="s">
        <v>221</v>
      </c>
      <c r="E4250">
        <v>66161508</v>
      </c>
      <c r="F4250">
        <v>130423039</v>
      </c>
      <c r="G4250">
        <v>219402837</v>
      </c>
      <c r="H4250">
        <v>125484246</v>
      </c>
      <c r="I4250">
        <v>74869402</v>
      </c>
      <c r="J4250">
        <v>43468965</v>
      </c>
      <c r="K4250">
        <v>89839894</v>
      </c>
      <c r="P4250">
        <v>600</v>
      </c>
      <c r="Q4250" t="s">
        <v>8845</v>
      </c>
    </row>
    <row r="4251" spans="1:17" x14ac:dyDescent="0.3">
      <c r="A4251" t="s">
        <v>75</v>
      </c>
      <c r="B4251" t="str">
        <f>"300800"</f>
        <v>300800</v>
      </c>
      <c r="C4251" t="s">
        <v>8846</v>
      </c>
      <c r="D4251" t="s">
        <v>1642</v>
      </c>
      <c r="E4251">
        <v>65898298</v>
      </c>
      <c r="F4251">
        <v>98941490</v>
      </c>
      <c r="G4251">
        <v>72908963</v>
      </c>
      <c r="H4251">
        <v>95151681</v>
      </c>
      <c r="P4251">
        <v>362</v>
      </c>
      <c r="Q4251" t="s">
        <v>8847</v>
      </c>
    </row>
    <row r="4252" spans="1:17" x14ac:dyDescent="0.3">
      <c r="A4252" t="s">
        <v>75</v>
      </c>
      <c r="B4252" t="str">
        <f>"300210"</f>
        <v>300210</v>
      </c>
      <c r="C4252" t="s">
        <v>8848</v>
      </c>
      <c r="D4252" t="s">
        <v>1642</v>
      </c>
      <c r="E4252">
        <v>65818221</v>
      </c>
      <c r="F4252">
        <v>144485979</v>
      </c>
      <c r="G4252">
        <v>38000467</v>
      </c>
      <c r="H4252">
        <v>99207238</v>
      </c>
      <c r="I4252">
        <v>82905723</v>
      </c>
      <c r="J4252">
        <v>89554505</v>
      </c>
      <c r="K4252">
        <v>52168959</v>
      </c>
      <c r="L4252">
        <v>68477536</v>
      </c>
      <c r="M4252">
        <v>67214516</v>
      </c>
      <c r="N4252">
        <v>61633908</v>
      </c>
      <c r="O4252">
        <v>71794816</v>
      </c>
      <c r="P4252">
        <v>50</v>
      </c>
      <c r="Q4252" t="s">
        <v>8849</v>
      </c>
    </row>
    <row r="4253" spans="1:17" x14ac:dyDescent="0.3">
      <c r="A4253" t="s">
        <v>75</v>
      </c>
      <c r="B4253" t="str">
        <f>"002494"</f>
        <v>002494</v>
      </c>
      <c r="C4253" t="s">
        <v>8850</v>
      </c>
      <c r="D4253" t="s">
        <v>814</v>
      </c>
      <c r="E4253">
        <v>65782901</v>
      </c>
      <c r="F4253">
        <v>84021170</v>
      </c>
      <c r="G4253">
        <v>70255999</v>
      </c>
      <c r="H4253">
        <v>96045402</v>
      </c>
      <c r="I4253">
        <v>178703248</v>
      </c>
      <c r="J4253">
        <v>103021813</v>
      </c>
      <c r="K4253">
        <v>98297137</v>
      </c>
      <c r="L4253">
        <v>135876491</v>
      </c>
      <c r="M4253">
        <v>171391763</v>
      </c>
      <c r="N4253">
        <v>126118350</v>
      </c>
      <c r="O4253">
        <v>85124549</v>
      </c>
      <c r="P4253">
        <v>81</v>
      </c>
      <c r="Q4253" t="s">
        <v>8851</v>
      </c>
    </row>
    <row r="4254" spans="1:17" x14ac:dyDescent="0.3">
      <c r="A4254" t="s">
        <v>17</v>
      </c>
      <c r="B4254" t="str">
        <f>"688118"</f>
        <v>688118</v>
      </c>
      <c r="C4254" t="s">
        <v>8852</v>
      </c>
      <c r="D4254" t="s">
        <v>116</v>
      </c>
      <c r="E4254">
        <v>65599872</v>
      </c>
      <c r="F4254">
        <v>68513656</v>
      </c>
      <c r="G4254">
        <v>33481522</v>
      </c>
      <c r="H4254">
        <v>54860481</v>
      </c>
      <c r="P4254">
        <v>71</v>
      </c>
      <c r="Q4254" t="s">
        <v>8853</v>
      </c>
    </row>
    <row r="4255" spans="1:17" x14ac:dyDescent="0.3">
      <c r="A4255" t="s">
        <v>17</v>
      </c>
      <c r="B4255" t="str">
        <f>"688256"</f>
        <v>688256</v>
      </c>
      <c r="C4255" t="s">
        <v>8854</v>
      </c>
      <c r="D4255" t="s">
        <v>883</v>
      </c>
      <c r="E4255">
        <v>65495479</v>
      </c>
      <c r="F4255">
        <v>34443077</v>
      </c>
      <c r="G4255">
        <v>62999761</v>
      </c>
      <c r="H4255">
        <v>20593345</v>
      </c>
      <c r="P4255">
        <v>192</v>
      </c>
      <c r="Q4255" t="s">
        <v>8855</v>
      </c>
    </row>
    <row r="4256" spans="1:17" x14ac:dyDescent="0.3">
      <c r="A4256" t="s">
        <v>75</v>
      </c>
      <c r="B4256" t="str">
        <f>"000972"</f>
        <v>000972</v>
      </c>
      <c r="C4256" t="s">
        <v>8856</v>
      </c>
      <c r="D4256" t="s">
        <v>1856</v>
      </c>
      <c r="E4256">
        <v>65433914</v>
      </c>
      <c r="F4256">
        <v>94693</v>
      </c>
      <c r="G4256">
        <v>4000</v>
      </c>
      <c r="H4256">
        <v>21623066</v>
      </c>
      <c r="I4256">
        <v>149977714</v>
      </c>
      <c r="J4256">
        <v>144874318</v>
      </c>
      <c r="K4256">
        <v>127551296</v>
      </c>
      <c r="L4256">
        <v>112014906</v>
      </c>
      <c r="M4256">
        <v>73622192</v>
      </c>
      <c r="N4256">
        <v>240777821</v>
      </c>
      <c r="O4256">
        <v>221777622</v>
      </c>
      <c r="P4256">
        <v>78</v>
      </c>
      <c r="Q4256" t="s">
        <v>8857</v>
      </c>
    </row>
    <row r="4257" spans="1:17" x14ac:dyDescent="0.3">
      <c r="A4257" t="s">
        <v>17</v>
      </c>
      <c r="B4257" t="str">
        <f>"600889"</f>
        <v>600889</v>
      </c>
      <c r="C4257" t="s">
        <v>8858</v>
      </c>
      <c r="D4257" t="s">
        <v>1075</v>
      </c>
      <c r="E4257">
        <v>65414264</v>
      </c>
      <c r="F4257">
        <v>53942867</v>
      </c>
      <c r="G4257">
        <v>77267921</v>
      </c>
      <c r="H4257">
        <v>79472311</v>
      </c>
      <c r="I4257">
        <v>206515425</v>
      </c>
      <c r="J4257">
        <v>152827852</v>
      </c>
      <c r="K4257">
        <v>321614376</v>
      </c>
      <c r="L4257">
        <v>271169477</v>
      </c>
      <c r="M4257">
        <v>587073680</v>
      </c>
      <c r="N4257">
        <v>159915814</v>
      </c>
      <c r="O4257">
        <v>307143628</v>
      </c>
      <c r="P4257">
        <v>77</v>
      </c>
      <c r="Q4257" t="s">
        <v>8859</v>
      </c>
    </row>
    <row r="4258" spans="1:17" x14ac:dyDescent="0.3">
      <c r="A4258" t="s">
        <v>17</v>
      </c>
      <c r="B4258" t="str">
        <f>"688227"</f>
        <v>688227</v>
      </c>
      <c r="C4258" t="s">
        <v>8860</v>
      </c>
      <c r="D4258" t="s">
        <v>224</v>
      </c>
      <c r="E4258">
        <v>65364223</v>
      </c>
      <c r="P4258">
        <v>13</v>
      </c>
      <c r="Q4258" t="s">
        <v>8861</v>
      </c>
    </row>
    <row r="4259" spans="1:17" x14ac:dyDescent="0.3">
      <c r="A4259" t="s">
        <v>17</v>
      </c>
      <c r="B4259" t="str">
        <f>"688228"</f>
        <v>688228</v>
      </c>
      <c r="C4259" t="s">
        <v>8862</v>
      </c>
      <c r="D4259" t="s">
        <v>224</v>
      </c>
      <c r="E4259">
        <v>65356233</v>
      </c>
      <c r="F4259">
        <v>19797820</v>
      </c>
      <c r="G4259">
        <v>34201929</v>
      </c>
      <c r="H4259">
        <v>21333764</v>
      </c>
      <c r="P4259">
        <v>93</v>
      </c>
      <c r="Q4259" t="s">
        <v>8863</v>
      </c>
    </row>
    <row r="4260" spans="1:17" x14ac:dyDescent="0.3">
      <c r="A4260" t="s">
        <v>75</v>
      </c>
      <c r="B4260" t="str">
        <f>"300895"</f>
        <v>300895</v>
      </c>
      <c r="C4260" t="s">
        <v>8864</v>
      </c>
      <c r="D4260" t="s">
        <v>224</v>
      </c>
      <c r="E4260">
        <v>65331728</v>
      </c>
      <c r="F4260">
        <v>43494318</v>
      </c>
      <c r="G4260">
        <v>28509870</v>
      </c>
      <c r="P4260">
        <v>48</v>
      </c>
      <c r="Q4260" t="s">
        <v>8865</v>
      </c>
    </row>
    <row r="4261" spans="1:17" x14ac:dyDescent="0.3">
      <c r="A4261" t="s">
        <v>17</v>
      </c>
      <c r="B4261" t="str">
        <f>"688718"</f>
        <v>688718</v>
      </c>
      <c r="C4261" t="s">
        <v>8866</v>
      </c>
      <c r="D4261" t="s">
        <v>2029</v>
      </c>
      <c r="E4261">
        <v>65263961</v>
      </c>
      <c r="F4261">
        <v>108645235</v>
      </c>
      <c r="G4261">
        <v>84176650</v>
      </c>
      <c r="P4261">
        <v>20</v>
      </c>
      <c r="Q4261" t="s">
        <v>8867</v>
      </c>
    </row>
    <row r="4262" spans="1:17" x14ac:dyDescent="0.3">
      <c r="A4262" t="s">
        <v>17</v>
      </c>
      <c r="B4262" t="str">
        <f>"600228"</f>
        <v>600228</v>
      </c>
      <c r="C4262" t="s">
        <v>8868</v>
      </c>
      <c r="D4262" t="s">
        <v>5291</v>
      </c>
      <c r="E4262">
        <v>65135053</v>
      </c>
      <c r="F4262">
        <v>121747963</v>
      </c>
      <c r="G4262">
        <v>82479256</v>
      </c>
      <c r="H4262">
        <v>113248905</v>
      </c>
      <c r="I4262">
        <v>127199284</v>
      </c>
      <c r="J4262">
        <v>125639899</v>
      </c>
      <c r="K4262">
        <v>101407474</v>
      </c>
      <c r="L4262">
        <v>153847398</v>
      </c>
      <c r="M4262">
        <v>120155722</v>
      </c>
      <c r="N4262">
        <v>205742140</v>
      </c>
      <c r="O4262">
        <v>169208268</v>
      </c>
      <c r="P4262">
        <v>68</v>
      </c>
      <c r="Q4262" t="s">
        <v>8869</v>
      </c>
    </row>
    <row r="4263" spans="1:17" x14ac:dyDescent="0.3">
      <c r="A4263" t="s">
        <v>75</v>
      </c>
      <c r="B4263" t="str">
        <f>"300356"</f>
        <v>300356</v>
      </c>
      <c r="C4263" t="s">
        <v>8870</v>
      </c>
      <c r="D4263" t="s">
        <v>2251</v>
      </c>
      <c r="E4263">
        <v>65134451</v>
      </c>
      <c r="F4263">
        <v>61993817</v>
      </c>
      <c r="G4263">
        <v>107006249</v>
      </c>
      <c r="H4263">
        <v>160339182</v>
      </c>
      <c r="I4263">
        <v>97403558</v>
      </c>
      <c r="J4263">
        <v>124831507</v>
      </c>
      <c r="K4263">
        <v>117373967</v>
      </c>
      <c r="L4263">
        <v>121624519</v>
      </c>
      <c r="M4263">
        <v>31753632</v>
      </c>
      <c r="N4263">
        <v>53797342</v>
      </c>
      <c r="O4263">
        <v>92763879</v>
      </c>
      <c r="P4263">
        <v>67</v>
      </c>
      <c r="Q4263" t="s">
        <v>8871</v>
      </c>
    </row>
    <row r="4264" spans="1:17" x14ac:dyDescent="0.3">
      <c r="A4264" t="s">
        <v>75</v>
      </c>
      <c r="B4264" t="str">
        <f>"300211"</f>
        <v>300211</v>
      </c>
      <c r="C4264" t="s">
        <v>8872</v>
      </c>
      <c r="D4264" t="s">
        <v>1647</v>
      </c>
      <c r="E4264">
        <v>65081118</v>
      </c>
      <c r="F4264">
        <v>19276493</v>
      </c>
      <c r="G4264">
        <v>29656893</v>
      </c>
      <c r="H4264">
        <v>31754419</v>
      </c>
      <c r="I4264">
        <v>37656702</v>
      </c>
      <c r="J4264">
        <v>48088581</v>
      </c>
      <c r="K4264">
        <v>66150579</v>
      </c>
      <c r="L4264">
        <v>44471053</v>
      </c>
      <c r="M4264">
        <v>39402276</v>
      </c>
      <c r="N4264">
        <v>55606355</v>
      </c>
      <c r="O4264">
        <v>36783207</v>
      </c>
      <c r="P4264">
        <v>63</v>
      </c>
      <c r="Q4264" t="s">
        <v>8873</v>
      </c>
    </row>
    <row r="4265" spans="1:17" x14ac:dyDescent="0.3">
      <c r="A4265" t="s">
        <v>17</v>
      </c>
      <c r="B4265" t="str">
        <f>"688577"</f>
        <v>688577</v>
      </c>
      <c r="C4265" t="s">
        <v>8874</v>
      </c>
      <c r="D4265" t="s">
        <v>3360</v>
      </c>
      <c r="E4265">
        <v>65047004</v>
      </c>
      <c r="F4265">
        <v>64174828</v>
      </c>
      <c r="G4265">
        <v>73203787</v>
      </c>
      <c r="P4265">
        <v>56</v>
      </c>
      <c r="Q4265" t="s">
        <v>8875</v>
      </c>
    </row>
    <row r="4266" spans="1:17" x14ac:dyDescent="0.3">
      <c r="A4266" t="s">
        <v>75</v>
      </c>
      <c r="B4266" t="str">
        <f>"002214"</f>
        <v>002214</v>
      </c>
      <c r="C4266" t="s">
        <v>8876</v>
      </c>
      <c r="D4266" t="s">
        <v>1572</v>
      </c>
      <c r="E4266">
        <v>64984408</v>
      </c>
      <c r="F4266">
        <v>114575988</v>
      </c>
      <c r="G4266">
        <v>413163809</v>
      </c>
      <c r="H4266">
        <v>65950254</v>
      </c>
      <c r="I4266">
        <v>66871325</v>
      </c>
      <c r="J4266">
        <v>52505791</v>
      </c>
      <c r="K4266">
        <v>59935757</v>
      </c>
      <c r="L4266">
        <v>71334106</v>
      </c>
      <c r="M4266">
        <v>48242164</v>
      </c>
      <c r="N4266">
        <v>56832399</v>
      </c>
      <c r="O4266">
        <v>64423983</v>
      </c>
      <c r="P4266">
        <v>511</v>
      </c>
      <c r="Q4266" t="s">
        <v>8877</v>
      </c>
    </row>
    <row r="4267" spans="1:17" x14ac:dyDescent="0.3">
      <c r="A4267" t="s">
        <v>75</v>
      </c>
      <c r="B4267" t="str">
        <f>"300461"</f>
        <v>300461</v>
      </c>
      <c r="C4267" t="s">
        <v>8878</v>
      </c>
      <c r="D4267" t="s">
        <v>2910</v>
      </c>
      <c r="E4267">
        <v>64740053</v>
      </c>
      <c r="F4267">
        <v>111121911</v>
      </c>
      <c r="G4267">
        <v>93411682</v>
      </c>
      <c r="H4267">
        <v>225601158</v>
      </c>
      <c r="I4267">
        <v>89656308</v>
      </c>
      <c r="J4267">
        <v>75013942</v>
      </c>
      <c r="K4267">
        <v>29726256</v>
      </c>
      <c r="L4267">
        <v>37456609</v>
      </c>
      <c r="M4267">
        <v>32441650</v>
      </c>
      <c r="P4267">
        <v>153</v>
      </c>
      <c r="Q4267" t="s">
        <v>8879</v>
      </c>
    </row>
    <row r="4268" spans="1:17" x14ac:dyDescent="0.3">
      <c r="A4268" t="s">
        <v>75</v>
      </c>
      <c r="B4268" t="str">
        <f>"002691"</f>
        <v>002691</v>
      </c>
      <c r="C4268" t="s">
        <v>8880</v>
      </c>
      <c r="D4268" t="s">
        <v>786</v>
      </c>
      <c r="E4268">
        <v>64672646</v>
      </c>
      <c r="F4268">
        <v>38375716</v>
      </c>
      <c r="G4268">
        <v>51202424</v>
      </c>
      <c r="H4268">
        <v>78027290</v>
      </c>
      <c r="I4268">
        <v>57577572</v>
      </c>
      <c r="J4268">
        <v>51330141</v>
      </c>
      <c r="K4268">
        <v>35893098</v>
      </c>
      <c r="L4268">
        <v>22241646</v>
      </c>
      <c r="M4268">
        <v>58694988</v>
      </c>
      <c r="N4268">
        <v>57774233</v>
      </c>
      <c r="O4268">
        <v>81337233</v>
      </c>
      <c r="P4268">
        <v>54</v>
      </c>
      <c r="Q4268" t="s">
        <v>8881</v>
      </c>
    </row>
    <row r="4269" spans="1:17" x14ac:dyDescent="0.3">
      <c r="A4269" t="s">
        <v>75</v>
      </c>
      <c r="B4269" t="str">
        <f>"300029"</f>
        <v>300029</v>
      </c>
      <c r="C4269" t="s">
        <v>8882</v>
      </c>
      <c r="D4269" t="s">
        <v>2212</v>
      </c>
      <c r="E4269">
        <v>64416096</v>
      </c>
      <c r="F4269">
        <v>66116544</v>
      </c>
      <c r="G4269">
        <v>577992</v>
      </c>
      <c r="H4269">
        <v>8349987</v>
      </c>
      <c r="I4269">
        <v>8642329</v>
      </c>
      <c r="J4269">
        <v>12258163</v>
      </c>
      <c r="K4269">
        <v>29416416</v>
      </c>
      <c r="L4269">
        <v>37424505</v>
      </c>
      <c r="M4269">
        <v>55575735</v>
      </c>
      <c r="N4269">
        <v>24789472</v>
      </c>
      <c r="O4269">
        <v>22430761</v>
      </c>
      <c r="P4269">
        <v>66</v>
      </c>
      <c r="Q4269" t="s">
        <v>8883</v>
      </c>
    </row>
    <row r="4270" spans="1:17" x14ac:dyDescent="0.3">
      <c r="A4270" t="s">
        <v>17</v>
      </c>
      <c r="B4270" t="str">
        <f>"600599"</f>
        <v>600599</v>
      </c>
      <c r="C4270" t="s">
        <v>8884</v>
      </c>
      <c r="D4270" t="s">
        <v>370</v>
      </c>
      <c r="E4270">
        <v>64311489</v>
      </c>
      <c r="F4270">
        <v>42561245</v>
      </c>
      <c r="G4270">
        <v>31501427</v>
      </c>
      <c r="H4270">
        <v>59916845</v>
      </c>
      <c r="I4270">
        <v>46006123</v>
      </c>
      <c r="J4270">
        <v>32872762</v>
      </c>
      <c r="K4270">
        <v>71025234</v>
      </c>
      <c r="L4270">
        <v>81313876</v>
      </c>
      <c r="M4270">
        <v>53541156</v>
      </c>
      <c r="N4270">
        <v>81793176</v>
      </c>
      <c r="O4270">
        <v>94329498</v>
      </c>
      <c r="P4270">
        <v>54</v>
      </c>
      <c r="Q4270" t="s">
        <v>8885</v>
      </c>
    </row>
    <row r="4271" spans="1:17" x14ac:dyDescent="0.3">
      <c r="A4271" t="s">
        <v>75</v>
      </c>
      <c r="B4271" t="str">
        <f>"300448"</f>
        <v>300448</v>
      </c>
      <c r="C4271" t="s">
        <v>8886</v>
      </c>
      <c r="D4271" t="s">
        <v>224</v>
      </c>
      <c r="E4271">
        <v>64267417</v>
      </c>
      <c r="F4271">
        <v>84978939</v>
      </c>
      <c r="G4271">
        <v>57423284</v>
      </c>
      <c r="H4271">
        <v>78381878</v>
      </c>
      <c r="I4271">
        <v>73651418</v>
      </c>
      <c r="J4271">
        <v>57494936</v>
      </c>
      <c r="K4271">
        <v>38192317</v>
      </c>
      <c r="L4271">
        <v>47713546</v>
      </c>
      <c r="M4271">
        <v>38671666</v>
      </c>
      <c r="P4271">
        <v>157</v>
      </c>
      <c r="Q4271" t="s">
        <v>8887</v>
      </c>
    </row>
    <row r="4272" spans="1:17" x14ac:dyDescent="0.3">
      <c r="A4272" t="s">
        <v>17</v>
      </c>
      <c r="B4272" t="str">
        <f>"688096"</f>
        <v>688096</v>
      </c>
      <c r="C4272" t="s">
        <v>8888</v>
      </c>
      <c r="D4272" t="s">
        <v>1107</v>
      </c>
      <c r="E4272">
        <v>64261308</v>
      </c>
      <c r="F4272">
        <v>52750104</v>
      </c>
      <c r="G4272">
        <v>22476539</v>
      </c>
      <c r="H4272">
        <v>56305753</v>
      </c>
      <c r="I4272">
        <v>25647099</v>
      </c>
      <c r="P4272">
        <v>73</v>
      </c>
      <c r="Q4272" t="s">
        <v>8889</v>
      </c>
    </row>
    <row r="4273" spans="1:17" x14ac:dyDescent="0.3">
      <c r="A4273" t="s">
        <v>75</v>
      </c>
      <c r="B4273" t="str">
        <f>"300536"</f>
        <v>300536</v>
      </c>
      <c r="C4273" t="s">
        <v>8890</v>
      </c>
      <c r="D4273" t="s">
        <v>1523</v>
      </c>
      <c r="E4273">
        <v>64090050</v>
      </c>
      <c r="F4273">
        <v>175511561</v>
      </c>
      <c r="G4273">
        <v>161432936</v>
      </c>
      <c r="H4273">
        <v>187251330</v>
      </c>
      <c r="I4273">
        <v>190349279</v>
      </c>
      <c r="J4273">
        <v>111300210</v>
      </c>
      <c r="K4273">
        <v>120710954</v>
      </c>
      <c r="P4273">
        <v>63</v>
      </c>
      <c r="Q4273" t="s">
        <v>8891</v>
      </c>
    </row>
    <row r="4274" spans="1:17" x14ac:dyDescent="0.3">
      <c r="A4274" t="s">
        <v>75</v>
      </c>
      <c r="B4274" t="str">
        <f>"300736"</f>
        <v>300736</v>
      </c>
      <c r="C4274" t="s">
        <v>8892</v>
      </c>
      <c r="D4274" t="s">
        <v>221</v>
      </c>
      <c r="E4274">
        <v>64089901</v>
      </c>
      <c r="F4274">
        <v>112557713</v>
      </c>
      <c r="G4274">
        <v>57808035</v>
      </c>
      <c r="H4274">
        <v>79473801</v>
      </c>
      <c r="I4274">
        <v>184001306</v>
      </c>
      <c r="J4274">
        <v>193829647</v>
      </c>
      <c r="P4274">
        <v>114</v>
      </c>
      <c r="Q4274" t="s">
        <v>8893</v>
      </c>
    </row>
    <row r="4275" spans="1:17" x14ac:dyDescent="0.3">
      <c r="A4275" t="s">
        <v>75</v>
      </c>
      <c r="B4275" t="str">
        <f>"300971"</f>
        <v>300971</v>
      </c>
      <c r="C4275" t="s">
        <v>8894</v>
      </c>
      <c r="D4275" t="s">
        <v>1624</v>
      </c>
      <c r="E4275">
        <v>64068933</v>
      </c>
      <c r="F4275">
        <v>29500030</v>
      </c>
      <c r="G4275">
        <v>24597711</v>
      </c>
      <c r="P4275">
        <v>39</v>
      </c>
      <c r="Q4275" t="s">
        <v>8895</v>
      </c>
    </row>
    <row r="4276" spans="1:17" x14ac:dyDescent="0.3">
      <c r="A4276" t="s">
        <v>75</v>
      </c>
      <c r="B4276" t="str">
        <f>"002356"</f>
        <v>002356</v>
      </c>
      <c r="C4276" t="s">
        <v>8896</v>
      </c>
      <c r="D4276" t="s">
        <v>359</v>
      </c>
      <c r="E4276">
        <v>64054577</v>
      </c>
      <c r="F4276">
        <v>124485529</v>
      </c>
      <c r="G4276">
        <v>106471385</v>
      </c>
      <c r="H4276">
        <v>280046439</v>
      </c>
      <c r="I4276">
        <v>578991088</v>
      </c>
      <c r="J4276">
        <v>802291574</v>
      </c>
      <c r="K4276">
        <v>538158731</v>
      </c>
      <c r="L4276">
        <v>301560352</v>
      </c>
      <c r="M4276">
        <v>156011795</v>
      </c>
      <c r="N4276">
        <v>90823689</v>
      </c>
      <c r="O4276">
        <v>109475661</v>
      </c>
      <c r="P4276">
        <v>75</v>
      </c>
      <c r="Q4276" t="s">
        <v>8897</v>
      </c>
    </row>
    <row r="4277" spans="1:17" x14ac:dyDescent="0.3">
      <c r="A4277" t="s">
        <v>75</v>
      </c>
      <c r="B4277" t="str">
        <f>"002740"</f>
        <v>002740</v>
      </c>
      <c r="C4277" t="s">
        <v>8898</v>
      </c>
      <c r="D4277" t="s">
        <v>314</v>
      </c>
      <c r="E4277">
        <v>63966399</v>
      </c>
      <c r="F4277">
        <v>296508283</v>
      </c>
      <c r="G4277">
        <v>148117166</v>
      </c>
      <c r="H4277">
        <v>562364351</v>
      </c>
      <c r="I4277">
        <v>333490236</v>
      </c>
      <c r="J4277">
        <v>362780115</v>
      </c>
      <c r="K4277">
        <v>160394222</v>
      </c>
      <c r="L4277">
        <v>111929493</v>
      </c>
      <c r="M4277">
        <v>118046142</v>
      </c>
      <c r="P4277">
        <v>78</v>
      </c>
      <c r="Q4277" t="s">
        <v>8899</v>
      </c>
    </row>
    <row r="4278" spans="1:17" x14ac:dyDescent="0.3">
      <c r="A4278" t="s">
        <v>75</v>
      </c>
      <c r="B4278" t="str">
        <f>"002817"</f>
        <v>002817</v>
      </c>
      <c r="C4278" t="s">
        <v>8900</v>
      </c>
      <c r="D4278" t="s">
        <v>1538</v>
      </c>
      <c r="E4278">
        <v>63963982</v>
      </c>
      <c r="F4278">
        <v>73989486</v>
      </c>
      <c r="G4278">
        <v>57907006</v>
      </c>
      <c r="H4278">
        <v>47431210</v>
      </c>
      <c r="I4278">
        <v>42937221</v>
      </c>
      <c r="J4278">
        <v>36330559</v>
      </c>
      <c r="K4278">
        <v>35056242</v>
      </c>
      <c r="P4278">
        <v>126</v>
      </c>
      <c r="Q4278" t="s">
        <v>8901</v>
      </c>
    </row>
    <row r="4279" spans="1:17" x14ac:dyDescent="0.3">
      <c r="A4279" t="s">
        <v>17</v>
      </c>
      <c r="B4279" t="str">
        <f>"688048"</f>
        <v>688048</v>
      </c>
      <c r="C4279" t="s">
        <v>8902</v>
      </c>
      <c r="E4279">
        <v>63913559</v>
      </c>
      <c r="P4279">
        <v>12</v>
      </c>
      <c r="Q4279" t="s">
        <v>8903</v>
      </c>
    </row>
    <row r="4280" spans="1:17" x14ac:dyDescent="0.3">
      <c r="A4280" t="s">
        <v>75</v>
      </c>
      <c r="B4280" t="str">
        <f>"300675"</f>
        <v>300675</v>
      </c>
      <c r="C4280" t="s">
        <v>8904</v>
      </c>
      <c r="D4280" t="s">
        <v>2118</v>
      </c>
      <c r="E4280">
        <v>63828127</v>
      </c>
      <c r="F4280">
        <v>70428431</v>
      </c>
      <c r="G4280">
        <v>53545505</v>
      </c>
      <c r="H4280">
        <v>75780831</v>
      </c>
      <c r="I4280">
        <v>61978940</v>
      </c>
      <c r="J4280">
        <v>59467901</v>
      </c>
      <c r="K4280">
        <v>53582984</v>
      </c>
      <c r="P4280">
        <v>85</v>
      </c>
      <c r="Q4280" t="s">
        <v>8905</v>
      </c>
    </row>
    <row r="4281" spans="1:17" x14ac:dyDescent="0.3">
      <c r="A4281" t="s">
        <v>17</v>
      </c>
      <c r="B4281" t="str">
        <f>"688580"</f>
        <v>688580</v>
      </c>
      <c r="C4281" t="s">
        <v>8906</v>
      </c>
      <c r="D4281" t="s">
        <v>334</v>
      </c>
      <c r="E4281">
        <v>63753237</v>
      </c>
      <c r="F4281">
        <v>77023854</v>
      </c>
      <c r="G4281">
        <v>37099090</v>
      </c>
      <c r="H4281">
        <v>59549399</v>
      </c>
      <c r="P4281">
        <v>246</v>
      </c>
      <c r="Q4281" t="s">
        <v>8907</v>
      </c>
    </row>
    <row r="4282" spans="1:17" x14ac:dyDescent="0.3">
      <c r="A4282" t="s">
        <v>75</v>
      </c>
      <c r="B4282" t="str">
        <f>"000504"</f>
        <v>000504</v>
      </c>
      <c r="C4282" t="s">
        <v>8908</v>
      </c>
      <c r="D4282" t="s">
        <v>5501</v>
      </c>
      <c r="E4282">
        <v>63736123</v>
      </c>
      <c r="F4282">
        <v>58205844</v>
      </c>
      <c r="G4282">
        <v>20134295</v>
      </c>
      <c r="H4282">
        <v>30536902</v>
      </c>
      <c r="I4282">
        <v>21338543</v>
      </c>
      <c r="J4282">
        <v>12211007</v>
      </c>
      <c r="K4282">
        <v>1939014</v>
      </c>
      <c r="L4282">
        <v>2353671</v>
      </c>
      <c r="M4282">
        <v>4486611</v>
      </c>
      <c r="N4282">
        <v>12621487</v>
      </c>
      <c r="O4282">
        <v>14347881</v>
      </c>
      <c r="P4282">
        <v>85</v>
      </c>
      <c r="Q4282" t="s">
        <v>8909</v>
      </c>
    </row>
    <row r="4283" spans="1:17" x14ac:dyDescent="0.3">
      <c r="A4283" t="s">
        <v>17</v>
      </c>
      <c r="B4283" t="str">
        <f>"688701"</f>
        <v>688701</v>
      </c>
      <c r="C4283" t="s">
        <v>8910</v>
      </c>
      <c r="D4283" t="s">
        <v>2307</v>
      </c>
      <c r="E4283">
        <v>63626906</v>
      </c>
      <c r="G4283">
        <v>19284417</v>
      </c>
      <c r="P4283">
        <v>19</v>
      </c>
      <c r="Q4283" t="s">
        <v>8911</v>
      </c>
    </row>
    <row r="4284" spans="1:17" x14ac:dyDescent="0.3">
      <c r="A4284" t="s">
        <v>75</v>
      </c>
      <c r="B4284" t="str">
        <f>"300295"</f>
        <v>300295</v>
      </c>
      <c r="C4284" t="s">
        <v>8912</v>
      </c>
      <c r="D4284" t="s">
        <v>5291</v>
      </c>
      <c r="E4284">
        <v>63519523</v>
      </c>
      <c r="F4284">
        <v>90603114</v>
      </c>
      <c r="G4284">
        <v>80869217</v>
      </c>
      <c r="H4284">
        <v>112234291</v>
      </c>
      <c r="I4284">
        <v>107373782</v>
      </c>
      <c r="J4284">
        <v>109226366</v>
      </c>
      <c r="K4284">
        <v>132453628</v>
      </c>
      <c r="L4284">
        <v>103878674</v>
      </c>
      <c r="M4284">
        <v>97584841</v>
      </c>
      <c r="N4284">
        <v>67048410</v>
      </c>
      <c r="O4284">
        <v>54200288</v>
      </c>
      <c r="P4284">
        <v>100</v>
      </c>
      <c r="Q4284" t="s">
        <v>8913</v>
      </c>
    </row>
    <row r="4285" spans="1:17" x14ac:dyDescent="0.3">
      <c r="A4285" t="s">
        <v>75</v>
      </c>
      <c r="B4285" t="str">
        <f>"000007"</f>
        <v>000007</v>
      </c>
      <c r="C4285" t="s">
        <v>8914</v>
      </c>
      <c r="D4285" t="s">
        <v>378</v>
      </c>
      <c r="E4285">
        <v>63490819</v>
      </c>
      <c r="F4285">
        <v>14569731</v>
      </c>
      <c r="G4285">
        <v>8497201</v>
      </c>
      <c r="H4285">
        <v>9810171</v>
      </c>
      <c r="I4285">
        <v>9540734</v>
      </c>
      <c r="J4285">
        <v>12479372</v>
      </c>
      <c r="K4285">
        <v>8350467</v>
      </c>
      <c r="L4285">
        <v>28467748</v>
      </c>
      <c r="M4285">
        <v>44399661</v>
      </c>
      <c r="N4285">
        <v>40288060</v>
      </c>
      <c r="O4285">
        <v>59256391</v>
      </c>
      <c r="P4285">
        <v>93</v>
      </c>
      <c r="Q4285" t="s">
        <v>8915</v>
      </c>
    </row>
    <row r="4286" spans="1:17" x14ac:dyDescent="0.3">
      <c r="A4286" t="s">
        <v>17</v>
      </c>
      <c r="B4286" t="str">
        <f>"600355"</f>
        <v>600355</v>
      </c>
      <c r="C4286" t="s">
        <v>8916</v>
      </c>
      <c r="D4286" t="s">
        <v>556</v>
      </c>
      <c r="E4286">
        <v>63455362</v>
      </c>
      <c r="F4286">
        <v>82034453</v>
      </c>
      <c r="G4286">
        <v>77840216</v>
      </c>
      <c r="H4286">
        <v>90318060</v>
      </c>
      <c r="I4286">
        <v>102887456</v>
      </c>
      <c r="J4286">
        <v>93549710</v>
      </c>
      <c r="K4286">
        <v>84482427</v>
      </c>
      <c r="L4286">
        <v>124605261</v>
      </c>
      <c r="M4286">
        <v>127268363</v>
      </c>
      <c r="N4286">
        <v>63532799</v>
      </c>
      <c r="O4286">
        <v>52541202</v>
      </c>
      <c r="P4286">
        <v>109</v>
      </c>
      <c r="Q4286" t="s">
        <v>8917</v>
      </c>
    </row>
    <row r="4287" spans="1:17" x14ac:dyDescent="0.3">
      <c r="A4287" t="s">
        <v>75</v>
      </c>
      <c r="B4287" t="str">
        <f>"300559"</f>
        <v>300559</v>
      </c>
      <c r="C4287" t="s">
        <v>8918</v>
      </c>
      <c r="D4287" t="s">
        <v>116</v>
      </c>
      <c r="E4287">
        <v>63441602</v>
      </c>
      <c r="F4287">
        <v>86520828</v>
      </c>
      <c r="G4287">
        <v>63916222</v>
      </c>
      <c r="H4287">
        <v>99433732</v>
      </c>
      <c r="I4287">
        <v>26012766</v>
      </c>
      <c r="J4287">
        <v>27995838</v>
      </c>
      <c r="K4287">
        <v>18878180</v>
      </c>
      <c r="P4287">
        <v>369</v>
      </c>
      <c r="Q4287" t="s">
        <v>8919</v>
      </c>
    </row>
    <row r="4288" spans="1:17" x14ac:dyDescent="0.3">
      <c r="A4288" t="s">
        <v>75</v>
      </c>
      <c r="B4288" t="str">
        <f>"000691"</f>
        <v>000691</v>
      </c>
      <c r="C4288" t="s">
        <v>8920</v>
      </c>
      <c r="D4288" t="s">
        <v>65</v>
      </c>
      <c r="E4288">
        <v>63313426</v>
      </c>
      <c r="F4288">
        <v>84847973</v>
      </c>
      <c r="G4288">
        <v>131184</v>
      </c>
      <c r="H4288">
        <v>6760617</v>
      </c>
      <c r="I4288">
        <v>1840058</v>
      </c>
      <c r="J4288">
        <v>15804928</v>
      </c>
      <c r="K4288">
        <v>7927658</v>
      </c>
      <c r="L4288">
        <v>15607119</v>
      </c>
      <c r="M4288">
        <v>16018672</v>
      </c>
      <c r="N4288">
        <v>19477384</v>
      </c>
      <c r="O4288">
        <v>3534457</v>
      </c>
      <c r="P4288">
        <v>91</v>
      </c>
      <c r="Q4288" t="s">
        <v>8921</v>
      </c>
    </row>
    <row r="4289" spans="1:17" x14ac:dyDescent="0.3">
      <c r="A4289" t="s">
        <v>17</v>
      </c>
      <c r="B4289" t="str">
        <f>"688198"</f>
        <v>688198</v>
      </c>
      <c r="C4289" t="s">
        <v>8922</v>
      </c>
      <c r="D4289" t="s">
        <v>1538</v>
      </c>
      <c r="E4289">
        <v>63147196</v>
      </c>
      <c r="F4289">
        <v>54001664</v>
      </c>
      <c r="G4289">
        <v>23666111</v>
      </c>
      <c r="H4289">
        <v>32021450</v>
      </c>
      <c r="P4289">
        <v>190</v>
      </c>
      <c r="Q4289" t="s">
        <v>8923</v>
      </c>
    </row>
    <row r="4290" spans="1:17" x14ac:dyDescent="0.3">
      <c r="A4290" t="s">
        <v>17</v>
      </c>
      <c r="B4290" t="str">
        <f>"688020"</f>
        <v>688020</v>
      </c>
      <c r="C4290" t="s">
        <v>8924</v>
      </c>
      <c r="D4290" t="s">
        <v>567</v>
      </c>
      <c r="E4290">
        <v>62958191</v>
      </c>
      <c r="F4290">
        <v>82832964</v>
      </c>
      <c r="G4290">
        <v>53897627</v>
      </c>
      <c r="H4290">
        <v>59104993</v>
      </c>
      <c r="I4290">
        <v>0</v>
      </c>
      <c r="P4290">
        <v>253</v>
      </c>
      <c r="Q4290" t="s">
        <v>8925</v>
      </c>
    </row>
    <row r="4291" spans="1:17" x14ac:dyDescent="0.3">
      <c r="A4291" t="s">
        <v>17</v>
      </c>
      <c r="B4291" t="str">
        <f>"605081"</f>
        <v>605081</v>
      </c>
      <c r="C4291" t="s">
        <v>8926</v>
      </c>
      <c r="D4291" t="s">
        <v>1107</v>
      </c>
      <c r="E4291">
        <v>62870511</v>
      </c>
      <c r="F4291">
        <v>46522358</v>
      </c>
      <c r="G4291">
        <v>68245448</v>
      </c>
      <c r="P4291">
        <v>30</v>
      </c>
      <c r="Q4291" t="s">
        <v>8927</v>
      </c>
    </row>
    <row r="4292" spans="1:17" x14ac:dyDescent="0.3">
      <c r="A4292" t="s">
        <v>17</v>
      </c>
      <c r="B4292" t="str">
        <f>"688555"</f>
        <v>688555</v>
      </c>
      <c r="C4292" t="s">
        <v>8928</v>
      </c>
      <c r="D4292" t="s">
        <v>116</v>
      </c>
      <c r="E4292">
        <v>62842286</v>
      </c>
      <c r="F4292">
        <v>45916069</v>
      </c>
      <c r="G4292">
        <v>12416526</v>
      </c>
      <c r="H4292">
        <v>14066211</v>
      </c>
      <c r="P4292">
        <v>55</v>
      </c>
      <c r="Q4292" t="s">
        <v>8929</v>
      </c>
    </row>
    <row r="4293" spans="1:17" x14ac:dyDescent="0.3">
      <c r="A4293" t="s">
        <v>75</v>
      </c>
      <c r="B4293" t="str">
        <f>"301169"</f>
        <v>301169</v>
      </c>
      <c r="C4293" t="s">
        <v>8930</v>
      </c>
      <c r="D4293" t="s">
        <v>8778</v>
      </c>
      <c r="E4293">
        <v>62725413</v>
      </c>
      <c r="P4293">
        <v>15</v>
      </c>
      <c r="Q4293" t="s">
        <v>8931</v>
      </c>
    </row>
    <row r="4294" spans="1:17" x14ac:dyDescent="0.3">
      <c r="A4294" t="s">
        <v>75</v>
      </c>
      <c r="B4294" t="str">
        <f>"002168"</f>
        <v>002168</v>
      </c>
      <c r="C4294" t="s">
        <v>8932</v>
      </c>
      <c r="D4294" t="s">
        <v>1165</v>
      </c>
      <c r="E4294">
        <v>62467773</v>
      </c>
      <c r="F4294">
        <v>102133654</v>
      </c>
      <c r="G4294">
        <v>448492448</v>
      </c>
      <c r="H4294">
        <v>244294615</v>
      </c>
      <c r="I4294">
        <v>508583272</v>
      </c>
      <c r="J4294">
        <v>67902587</v>
      </c>
      <c r="K4294">
        <v>39656964</v>
      </c>
      <c r="L4294">
        <v>62060635</v>
      </c>
      <c r="M4294">
        <v>90915432</v>
      </c>
      <c r="N4294">
        <v>66444140</v>
      </c>
      <c r="O4294">
        <v>61576591</v>
      </c>
      <c r="P4294">
        <v>158</v>
      </c>
      <c r="Q4294" t="s">
        <v>8933</v>
      </c>
    </row>
    <row r="4295" spans="1:17" x14ac:dyDescent="0.3">
      <c r="A4295" t="s">
        <v>17</v>
      </c>
      <c r="B4295" t="str">
        <f>"603557"</f>
        <v>603557</v>
      </c>
      <c r="C4295" t="s">
        <v>8934</v>
      </c>
      <c r="D4295" t="s">
        <v>2921</v>
      </c>
      <c r="E4295">
        <v>62356149</v>
      </c>
      <c r="F4295">
        <v>190625773</v>
      </c>
      <c r="G4295">
        <v>167185481</v>
      </c>
      <c r="H4295">
        <v>238948640</v>
      </c>
      <c r="I4295">
        <v>216833840</v>
      </c>
      <c r="J4295">
        <v>110801653</v>
      </c>
      <c r="P4295">
        <v>118</v>
      </c>
      <c r="Q4295" t="s">
        <v>8935</v>
      </c>
    </row>
    <row r="4296" spans="1:17" x14ac:dyDescent="0.3">
      <c r="A4296" t="s">
        <v>75</v>
      </c>
      <c r="B4296" t="str">
        <f>"000506"</f>
        <v>000506</v>
      </c>
      <c r="C4296" t="s">
        <v>8936</v>
      </c>
      <c r="D4296" t="s">
        <v>65</v>
      </c>
      <c r="E4296">
        <v>62229177</v>
      </c>
      <c r="F4296">
        <v>138322808</v>
      </c>
      <c r="G4296">
        <v>209678337</v>
      </c>
      <c r="H4296">
        <v>86593790</v>
      </c>
      <c r="I4296">
        <v>115533904</v>
      </c>
      <c r="J4296">
        <v>78463299</v>
      </c>
      <c r="K4296">
        <v>145279722</v>
      </c>
      <c r="L4296">
        <v>221628102</v>
      </c>
      <c r="M4296">
        <v>156039438</v>
      </c>
      <c r="N4296">
        <v>130320062</v>
      </c>
      <c r="O4296">
        <v>164875450</v>
      </c>
      <c r="P4296">
        <v>85</v>
      </c>
      <c r="Q4296" t="s">
        <v>8937</v>
      </c>
    </row>
    <row r="4297" spans="1:17" x14ac:dyDescent="0.3">
      <c r="A4297" t="s">
        <v>75</v>
      </c>
      <c r="B4297" t="str">
        <f>"300730"</f>
        <v>300730</v>
      </c>
      <c r="C4297" t="s">
        <v>8938</v>
      </c>
      <c r="D4297" t="s">
        <v>116</v>
      </c>
      <c r="E4297">
        <v>62222989</v>
      </c>
      <c r="F4297">
        <v>75497090</v>
      </c>
      <c r="G4297">
        <v>47300066</v>
      </c>
      <c r="H4297">
        <v>60874270</v>
      </c>
      <c r="I4297">
        <v>38300596</v>
      </c>
      <c r="J4297">
        <v>29978309</v>
      </c>
      <c r="P4297">
        <v>98</v>
      </c>
      <c r="Q4297" t="s">
        <v>8939</v>
      </c>
    </row>
    <row r="4298" spans="1:17" x14ac:dyDescent="0.3">
      <c r="A4298" t="s">
        <v>75</v>
      </c>
      <c r="B4298" t="str">
        <f>"300600"</f>
        <v>300600</v>
      </c>
      <c r="C4298" t="s">
        <v>8940</v>
      </c>
      <c r="D4298" t="s">
        <v>465</v>
      </c>
      <c r="E4298">
        <v>62219781</v>
      </c>
      <c r="F4298">
        <v>152019908</v>
      </c>
      <c r="G4298">
        <v>128405466</v>
      </c>
      <c r="H4298">
        <v>78299075</v>
      </c>
      <c r="I4298">
        <v>49250890</v>
      </c>
      <c r="J4298">
        <v>72936082</v>
      </c>
      <c r="K4298">
        <v>75666862</v>
      </c>
      <c r="P4298">
        <v>101</v>
      </c>
      <c r="Q4298" t="s">
        <v>8941</v>
      </c>
    </row>
    <row r="4299" spans="1:17" x14ac:dyDescent="0.3">
      <c r="A4299" t="s">
        <v>75</v>
      </c>
      <c r="B4299" t="str">
        <f>"300605"</f>
        <v>300605</v>
      </c>
      <c r="C4299" t="s">
        <v>8942</v>
      </c>
      <c r="D4299" t="s">
        <v>116</v>
      </c>
      <c r="E4299">
        <v>61916988</v>
      </c>
      <c r="F4299">
        <v>87383269</v>
      </c>
      <c r="G4299">
        <v>86804124</v>
      </c>
      <c r="H4299">
        <v>79472701</v>
      </c>
      <c r="I4299">
        <v>120479761</v>
      </c>
      <c r="J4299">
        <v>43611693</v>
      </c>
      <c r="K4299">
        <v>71439164</v>
      </c>
      <c r="P4299">
        <v>93</v>
      </c>
      <c r="Q4299" t="s">
        <v>8943</v>
      </c>
    </row>
    <row r="4300" spans="1:17" x14ac:dyDescent="0.3">
      <c r="A4300" t="s">
        <v>17</v>
      </c>
      <c r="B4300" t="str">
        <f>"603136"</f>
        <v>603136</v>
      </c>
      <c r="C4300" t="s">
        <v>8944</v>
      </c>
      <c r="D4300" t="s">
        <v>2078</v>
      </c>
      <c r="E4300">
        <v>61550791</v>
      </c>
      <c r="F4300">
        <v>76874649</v>
      </c>
      <c r="G4300">
        <v>29141602</v>
      </c>
      <c r="H4300">
        <v>98847347</v>
      </c>
      <c r="I4300">
        <v>100389692</v>
      </c>
      <c r="J4300">
        <v>91705664</v>
      </c>
      <c r="P4300">
        <v>194</v>
      </c>
      <c r="Q4300" t="s">
        <v>8945</v>
      </c>
    </row>
    <row r="4301" spans="1:17" x14ac:dyDescent="0.3">
      <c r="A4301" t="s">
        <v>75</v>
      </c>
      <c r="B4301" t="str">
        <f>"002207"</f>
        <v>002207</v>
      </c>
      <c r="C4301" t="s">
        <v>8946</v>
      </c>
      <c r="D4301" t="s">
        <v>462</v>
      </c>
      <c r="E4301">
        <v>61532230</v>
      </c>
      <c r="F4301">
        <v>72376908</v>
      </c>
      <c r="G4301">
        <v>80382818</v>
      </c>
      <c r="H4301">
        <v>90899251</v>
      </c>
      <c r="I4301">
        <v>85825130</v>
      </c>
      <c r="J4301">
        <v>62902993</v>
      </c>
      <c r="K4301">
        <v>85877648</v>
      </c>
      <c r="L4301">
        <v>176992644</v>
      </c>
      <c r="M4301">
        <v>106637690</v>
      </c>
      <c r="N4301">
        <v>99646124</v>
      </c>
      <c r="O4301">
        <v>89488926</v>
      </c>
      <c r="P4301">
        <v>73</v>
      </c>
      <c r="Q4301" t="s">
        <v>8947</v>
      </c>
    </row>
    <row r="4302" spans="1:17" x14ac:dyDescent="0.3">
      <c r="A4302" t="s">
        <v>75</v>
      </c>
      <c r="B4302" t="str">
        <f>"002862"</f>
        <v>002862</v>
      </c>
      <c r="C4302" t="s">
        <v>8948</v>
      </c>
      <c r="D4302" t="s">
        <v>5484</v>
      </c>
      <c r="E4302">
        <v>61074483</v>
      </c>
      <c r="F4302">
        <v>49184525</v>
      </c>
      <c r="G4302">
        <v>35081373</v>
      </c>
      <c r="H4302">
        <v>87124481</v>
      </c>
      <c r="I4302">
        <v>60703054</v>
      </c>
      <c r="J4302">
        <v>60130632</v>
      </c>
      <c r="K4302">
        <v>45153310</v>
      </c>
      <c r="P4302">
        <v>66</v>
      </c>
      <c r="Q4302" t="s">
        <v>8949</v>
      </c>
    </row>
    <row r="4303" spans="1:17" x14ac:dyDescent="0.3">
      <c r="A4303" t="s">
        <v>17</v>
      </c>
      <c r="B4303" t="str">
        <f>"688488"</f>
        <v>688488</v>
      </c>
      <c r="C4303" t="s">
        <v>8950</v>
      </c>
      <c r="D4303" t="s">
        <v>1533</v>
      </c>
      <c r="E4303">
        <v>61045661</v>
      </c>
      <c r="F4303">
        <v>89637344</v>
      </c>
      <c r="G4303">
        <v>83187021</v>
      </c>
      <c r="H4303">
        <v>47058495</v>
      </c>
      <c r="P4303">
        <v>44</v>
      </c>
      <c r="Q4303" t="s">
        <v>8951</v>
      </c>
    </row>
    <row r="4304" spans="1:17" x14ac:dyDescent="0.3">
      <c r="A4304" t="s">
        <v>75</v>
      </c>
      <c r="B4304" t="str">
        <f>"300668"</f>
        <v>300668</v>
      </c>
      <c r="C4304" t="s">
        <v>8952</v>
      </c>
      <c r="D4304" t="s">
        <v>2118</v>
      </c>
      <c r="E4304">
        <v>60818320</v>
      </c>
      <c r="F4304">
        <v>58384760</v>
      </c>
      <c r="G4304">
        <v>58067266</v>
      </c>
      <c r="H4304">
        <v>88100162</v>
      </c>
      <c r="I4304">
        <v>51724945</v>
      </c>
      <c r="J4304">
        <v>35781104</v>
      </c>
      <c r="K4304">
        <v>19502874</v>
      </c>
      <c r="P4304">
        <v>207</v>
      </c>
      <c r="Q4304" t="s">
        <v>8953</v>
      </c>
    </row>
    <row r="4305" spans="1:17" x14ac:dyDescent="0.3">
      <c r="A4305" t="s">
        <v>75</v>
      </c>
      <c r="B4305" t="str">
        <f>"300950"</f>
        <v>300950</v>
      </c>
      <c r="C4305" t="s">
        <v>8954</v>
      </c>
      <c r="D4305" t="s">
        <v>786</v>
      </c>
      <c r="E4305">
        <v>60774483</v>
      </c>
      <c r="F4305">
        <v>53081858</v>
      </c>
      <c r="G4305">
        <v>62537002</v>
      </c>
      <c r="P4305">
        <v>58</v>
      </c>
      <c r="Q4305" t="s">
        <v>8955</v>
      </c>
    </row>
    <row r="4306" spans="1:17" x14ac:dyDescent="0.3">
      <c r="A4306" t="s">
        <v>75</v>
      </c>
      <c r="B4306" t="str">
        <f>"300722"</f>
        <v>300722</v>
      </c>
      <c r="C4306" t="s">
        <v>8956</v>
      </c>
      <c r="D4306" t="s">
        <v>2083</v>
      </c>
      <c r="E4306">
        <v>60463523</v>
      </c>
      <c r="F4306">
        <v>35210239</v>
      </c>
      <c r="G4306">
        <v>28011978</v>
      </c>
      <c r="H4306">
        <v>26399605</v>
      </c>
      <c r="I4306">
        <v>20444027</v>
      </c>
      <c r="J4306">
        <v>27309502</v>
      </c>
      <c r="P4306">
        <v>113</v>
      </c>
      <c r="Q4306" t="s">
        <v>8957</v>
      </c>
    </row>
    <row r="4307" spans="1:17" x14ac:dyDescent="0.3">
      <c r="A4307" t="s">
        <v>17</v>
      </c>
      <c r="B4307" t="str">
        <f>"688290"</f>
        <v>688290</v>
      </c>
      <c r="C4307" t="s">
        <v>8958</v>
      </c>
      <c r="E4307">
        <v>60388070</v>
      </c>
      <c r="P4307">
        <v>0</v>
      </c>
      <c r="Q4307" t="s">
        <v>8959</v>
      </c>
    </row>
    <row r="4308" spans="1:17" x14ac:dyDescent="0.3">
      <c r="A4308" t="s">
        <v>17</v>
      </c>
      <c r="B4308" t="str">
        <f>"688551"</f>
        <v>688551</v>
      </c>
      <c r="C4308" t="s">
        <v>8960</v>
      </c>
      <c r="D4308" t="s">
        <v>2692</v>
      </c>
      <c r="E4308">
        <v>60275240</v>
      </c>
      <c r="F4308">
        <v>51376180</v>
      </c>
      <c r="G4308">
        <v>0</v>
      </c>
      <c r="H4308">
        <v>0</v>
      </c>
      <c r="P4308">
        <v>39</v>
      </c>
      <c r="Q4308" t="s">
        <v>8961</v>
      </c>
    </row>
    <row r="4309" spans="1:17" x14ac:dyDescent="0.3">
      <c r="A4309" t="s">
        <v>75</v>
      </c>
      <c r="B4309" t="str">
        <f>"002319"</f>
        <v>002319</v>
      </c>
      <c r="C4309" t="s">
        <v>8962</v>
      </c>
      <c r="D4309" t="s">
        <v>4853</v>
      </c>
      <c r="E4309">
        <v>60238585</v>
      </c>
      <c r="F4309">
        <v>83536253</v>
      </c>
      <c r="G4309">
        <v>56046187</v>
      </c>
      <c r="H4309">
        <v>84108136</v>
      </c>
      <c r="I4309">
        <v>97570830</v>
      </c>
      <c r="J4309">
        <v>94225784</v>
      </c>
      <c r="K4309">
        <v>151704638</v>
      </c>
      <c r="L4309">
        <v>115017679</v>
      </c>
      <c r="M4309">
        <v>109278703</v>
      </c>
      <c r="N4309">
        <v>94153336</v>
      </c>
      <c r="O4309">
        <v>105879822</v>
      </c>
      <c r="P4309">
        <v>55</v>
      </c>
      <c r="Q4309" t="s">
        <v>8963</v>
      </c>
    </row>
    <row r="4310" spans="1:17" x14ac:dyDescent="0.3">
      <c r="A4310" t="s">
        <v>75</v>
      </c>
      <c r="B4310" t="str">
        <f>"301079"</f>
        <v>301079</v>
      </c>
      <c r="C4310" t="s">
        <v>8964</v>
      </c>
      <c r="D4310" t="s">
        <v>1966</v>
      </c>
      <c r="E4310">
        <v>59979403</v>
      </c>
      <c r="P4310">
        <v>22</v>
      </c>
      <c r="Q4310" t="s">
        <v>8965</v>
      </c>
    </row>
    <row r="4311" spans="1:17" x14ac:dyDescent="0.3">
      <c r="A4311" t="s">
        <v>17</v>
      </c>
      <c r="B4311" t="str">
        <f>"600868"</f>
        <v>600868</v>
      </c>
      <c r="C4311" t="s">
        <v>8966</v>
      </c>
      <c r="D4311" t="s">
        <v>528</v>
      </c>
      <c r="E4311">
        <v>59959079</v>
      </c>
      <c r="F4311">
        <v>38256338</v>
      </c>
      <c r="G4311">
        <v>42773098</v>
      </c>
      <c r="H4311">
        <v>40849843</v>
      </c>
      <c r="I4311">
        <v>50203050</v>
      </c>
      <c r="J4311">
        <v>65202348</v>
      </c>
      <c r="K4311">
        <v>91832496</v>
      </c>
      <c r="L4311">
        <v>60508379</v>
      </c>
      <c r="M4311">
        <v>80079146</v>
      </c>
      <c r="N4311">
        <v>92132855</v>
      </c>
      <c r="O4311">
        <v>114013408</v>
      </c>
      <c r="P4311">
        <v>125</v>
      </c>
      <c r="Q4311" t="s">
        <v>8967</v>
      </c>
    </row>
    <row r="4312" spans="1:17" x14ac:dyDescent="0.3">
      <c r="A4312" t="s">
        <v>17</v>
      </c>
      <c r="B4312" t="str">
        <f>"603721"</f>
        <v>603721</v>
      </c>
      <c r="C4312" t="s">
        <v>8968</v>
      </c>
      <c r="D4312" t="s">
        <v>2532</v>
      </c>
      <c r="E4312">
        <v>59833966</v>
      </c>
      <c r="F4312">
        <v>62287979</v>
      </c>
      <c r="G4312">
        <v>29038706</v>
      </c>
      <c r="H4312">
        <v>57163897</v>
      </c>
      <c r="I4312">
        <v>49062529</v>
      </c>
      <c r="J4312">
        <v>73833874</v>
      </c>
      <c r="P4312">
        <v>89</v>
      </c>
      <c r="Q4312" t="s">
        <v>8969</v>
      </c>
    </row>
    <row r="4313" spans="1:17" x14ac:dyDescent="0.3">
      <c r="A4313" t="s">
        <v>75</v>
      </c>
      <c r="B4313" t="str">
        <f>"301129"</f>
        <v>301129</v>
      </c>
      <c r="C4313" t="s">
        <v>8970</v>
      </c>
      <c r="D4313" t="s">
        <v>2549</v>
      </c>
      <c r="E4313">
        <v>59736323</v>
      </c>
      <c r="P4313">
        <v>22</v>
      </c>
      <c r="Q4313" t="s">
        <v>8971</v>
      </c>
    </row>
    <row r="4314" spans="1:17" x14ac:dyDescent="0.3">
      <c r="A4314" t="s">
        <v>75</v>
      </c>
      <c r="B4314" t="str">
        <f>"002148"</f>
        <v>002148</v>
      </c>
      <c r="C4314" t="s">
        <v>8972</v>
      </c>
      <c r="D4314" t="s">
        <v>3310</v>
      </c>
      <c r="E4314">
        <v>59419799</v>
      </c>
      <c r="F4314">
        <v>68855439</v>
      </c>
      <c r="G4314">
        <v>39544562</v>
      </c>
      <c r="H4314">
        <v>61741742</v>
      </c>
      <c r="I4314">
        <v>48610877</v>
      </c>
      <c r="J4314">
        <v>129175473</v>
      </c>
      <c r="K4314">
        <v>76385162</v>
      </c>
      <c r="L4314">
        <v>44375621</v>
      </c>
      <c r="M4314">
        <v>60944335</v>
      </c>
      <c r="N4314">
        <v>60120043</v>
      </c>
      <c r="O4314">
        <v>52847797</v>
      </c>
      <c r="P4314">
        <v>103</v>
      </c>
      <c r="Q4314" t="s">
        <v>8973</v>
      </c>
    </row>
    <row r="4315" spans="1:17" x14ac:dyDescent="0.3">
      <c r="A4315" t="s">
        <v>75</v>
      </c>
      <c r="B4315" t="str">
        <f>"002751"</f>
        <v>002751</v>
      </c>
      <c r="C4315" t="s">
        <v>8974</v>
      </c>
      <c r="D4315" t="s">
        <v>2570</v>
      </c>
      <c r="E4315">
        <v>59397534</v>
      </c>
      <c r="F4315">
        <v>231903351</v>
      </c>
      <c r="G4315">
        <v>251248591</v>
      </c>
      <c r="H4315">
        <v>199671021</v>
      </c>
      <c r="I4315">
        <v>167752866</v>
      </c>
      <c r="J4315">
        <v>217139699</v>
      </c>
      <c r="K4315">
        <v>86267752</v>
      </c>
      <c r="L4315">
        <v>76910049</v>
      </c>
      <c r="M4315">
        <v>29973654</v>
      </c>
      <c r="P4315">
        <v>145</v>
      </c>
      <c r="Q4315" t="s">
        <v>8975</v>
      </c>
    </row>
    <row r="4316" spans="1:17" x14ac:dyDescent="0.3">
      <c r="A4316" t="s">
        <v>17</v>
      </c>
      <c r="B4316" t="str">
        <f>"688086"</f>
        <v>688086</v>
      </c>
      <c r="C4316" t="s">
        <v>8976</v>
      </c>
      <c r="D4316" t="s">
        <v>508</v>
      </c>
      <c r="E4316">
        <v>59322036</v>
      </c>
      <c r="F4316">
        <v>111811692</v>
      </c>
      <c r="G4316">
        <v>43142462</v>
      </c>
      <c r="H4316">
        <v>60956623</v>
      </c>
      <c r="I4316">
        <v>8730775</v>
      </c>
      <c r="P4316">
        <v>84</v>
      </c>
      <c r="Q4316" t="s">
        <v>8977</v>
      </c>
    </row>
    <row r="4317" spans="1:17" x14ac:dyDescent="0.3">
      <c r="A4317" t="s">
        <v>75</v>
      </c>
      <c r="B4317" t="str">
        <f>"002888"</f>
        <v>002888</v>
      </c>
      <c r="C4317" t="s">
        <v>8978</v>
      </c>
      <c r="D4317" t="s">
        <v>505</v>
      </c>
      <c r="E4317">
        <v>58887546</v>
      </c>
      <c r="F4317">
        <v>71962871</v>
      </c>
      <c r="G4317">
        <v>60204470</v>
      </c>
      <c r="H4317">
        <v>67701884</v>
      </c>
      <c r="I4317">
        <v>67391122</v>
      </c>
      <c r="J4317">
        <v>63561021</v>
      </c>
      <c r="K4317">
        <v>51642999</v>
      </c>
      <c r="P4317">
        <v>80</v>
      </c>
      <c r="Q4317" t="s">
        <v>8979</v>
      </c>
    </row>
    <row r="4318" spans="1:17" x14ac:dyDescent="0.3">
      <c r="A4318" t="s">
        <v>17</v>
      </c>
      <c r="B4318" t="str">
        <f>"688258"</f>
        <v>688258</v>
      </c>
      <c r="C4318" t="s">
        <v>8980</v>
      </c>
      <c r="D4318" t="s">
        <v>224</v>
      </c>
      <c r="E4318">
        <v>58886845</v>
      </c>
      <c r="F4318">
        <v>59376869</v>
      </c>
      <c r="G4318">
        <v>46802167</v>
      </c>
      <c r="H4318">
        <v>57636004</v>
      </c>
      <c r="P4318">
        <v>2718</v>
      </c>
      <c r="Q4318" t="s">
        <v>8981</v>
      </c>
    </row>
    <row r="4319" spans="1:17" x14ac:dyDescent="0.3">
      <c r="A4319" t="s">
        <v>75</v>
      </c>
      <c r="B4319" t="str">
        <f>"300778"</f>
        <v>300778</v>
      </c>
      <c r="C4319" t="s">
        <v>8982</v>
      </c>
      <c r="D4319" t="s">
        <v>2118</v>
      </c>
      <c r="E4319">
        <v>58853061</v>
      </c>
      <c r="F4319">
        <v>64265261</v>
      </c>
      <c r="G4319">
        <v>47500065</v>
      </c>
      <c r="H4319">
        <v>48409261</v>
      </c>
      <c r="I4319">
        <v>74265652</v>
      </c>
      <c r="P4319">
        <v>104</v>
      </c>
      <c r="Q4319" t="s">
        <v>8983</v>
      </c>
    </row>
    <row r="4320" spans="1:17" x14ac:dyDescent="0.3">
      <c r="A4320" t="s">
        <v>75</v>
      </c>
      <c r="B4320" t="str">
        <f>"002227"</f>
        <v>002227</v>
      </c>
      <c r="C4320" t="s">
        <v>8984</v>
      </c>
      <c r="D4320" t="s">
        <v>3011</v>
      </c>
      <c r="E4320">
        <v>58746655</v>
      </c>
      <c r="F4320">
        <v>76810326</v>
      </c>
      <c r="G4320">
        <v>48200666</v>
      </c>
      <c r="H4320">
        <v>116832498</v>
      </c>
      <c r="I4320">
        <v>82782029</v>
      </c>
      <c r="J4320">
        <v>71370519</v>
      </c>
      <c r="K4320">
        <v>74193544</v>
      </c>
      <c r="L4320">
        <v>99364711</v>
      </c>
      <c r="M4320">
        <v>70338939</v>
      </c>
      <c r="N4320">
        <v>68139875</v>
      </c>
      <c r="O4320">
        <v>39941312</v>
      </c>
      <c r="P4320">
        <v>162</v>
      </c>
      <c r="Q4320" t="s">
        <v>8985</v>
      </c>
    </row>
    <row r="4321" spans="1:17" x14ac:dyDescent="0.3">
      <c r="A4321" t="s">
        <v>17</v>
      </c>
      <c r="B4321" t="str">
        <f>"688613"</f>
        <v>688613</v>
      </c>
      <c r="C4321" t="s">
        <v>8986</v>
      </c>
      <c r="D4321" t="s">
        <v>1538</v>
      </c>
      <c r="E4321">
        <v>58464328</v>
      </c>
      <c r="F4321">
        <v>39778478</v>
      </c>
      <c r="G4321">
        <v>14139572</v>
      </c>
      <c r="P4321">
        <v>51</v>
      </c>
      <c r="Q4321" t="s">
        <v>8987</v>
      </c>
    </row>
    <row r="4322" spans="1:17" x14ac:dyDescent="0.3">
      <c r="A4322" t="s">
        <v>75</v>
      </c>
      <c r="B4322" t="str">
        <f>"300996"</f>
        <v>300996</v>
      </c>
      <c r="C4322" t="s">
        <v>8988</v>
      </c>
      <c r="D4322" t="s">
        <v>116</v>
      </c>
      <c r="E4322">
        <v>58285847</v>
      </c>
      <c r="F4322">
        <v>58858380</v>
      </c>
      <c r="G4322">
        <v>49274469</v>
      </c>
      <c r="P4322">
        <v>42</v>
      </c>
      <c r="Q4322" t="s">
        <v>8989</v>
      </c>
    </row>
    <row r="4323" spans="1:17" x14ac:dyDescent="0.3">
      <c r="A4323" t="s">
        <v>75</v>
      </c>
      <c r="B4323" t="str">
        <f>"300004"</f>
        <v>300004</v>
      </c>
      <c r="C4323" t="s">
        <v>8990</v>
      </c>
      <c r="D4323" t="s">
        <v>1624</v>
      </c>
      <c r="E4323">
        <v>58198851</v>
      </c>
      <c r="F4323">
        <v>195659197</v>
      </c>
      <c r="G4323">
        <v>97802920</v>
      </c>
      <c r="H4323">
        <v>167755961</v>
      </c>
      <c r="I4323">
        <v>125873429</v>
      </c>
      <c r="J4323">
        <v>83500258</v>
      </c>
      <c r="K4323">
        <v>182251582</v>
      </c>
      <c r="L4323">
        <v>167224194</v>
      </c>
      <c r="M4323">
        <v>37273492</v>
      </c>
      <c r="N4323">
        <v>91970837</v>
      </c>
      <c r="O4323">
        <v>79970189</v>
      </c>
      <c r="P4323">
        <v>84</v>
      </c>
      <c r="Q4323" t="s">
        <v>8991</v>
      </c>
    </row>
    <row r="4324" spans="1:17" x14ac:dyDescent="0.3">
      <c r="A4324" t="s">
        <v>75</v>
      </c>
      <c r="B4324" t="str">
        <f>"002951"</f>
        <v>002951</v>
      </c>
      <c r="C4324" t="s">
        <v>8992</v>
      </c>
      <c r="D4324" t="s">
        <v>1176</v>
      </c>
      <c r="E4324">
        <v>58147617</v>
      </c>
      <c r="F4324">
        <v>193614615</v>
      </c>
      <c r="G4324">
        <v>153276402</v>
      </c>
      <c r="H4324">
        <v>155437194</v>
      </c>
      <c r="I4324">
        <v>150084151</v>
      </c>
      <c r="P4324">
        <v>93</v>
      </c>
      <c r="Q4324" t="s">
        <v>8993</v>
      </c>
    </row>
    <row r="4325" spans="1:17" x14ac:dyDescent="0.3">
      <c r="A4325" t="s">
        <v>17</v>
      </c>
      <c r="B4325" t="str">
        <f>"605186"</f>
        <v>605186</v>
      </c>
      <c r="C4325" t="s">
        <v>8994</v>
      </c>
      <c r="D4325" t="s">
        <v>2910</v>
      </c>
      <c r="E4325">
        <v>58036517</v>
      </c>
      <c r="F4325">
        <v>32586433</v>
      </c>
      <c r="G4325">
        <v>25451583</v>
      </c>
      <c r="P4325">
        <v>47</v>
      </c>
      <c r="Q4325" t="s">
        <v>8995</v>
      </c>
    </row>
    <row r="4326" spans="1:17" x14ac:dyDescent="0.3">
      <c r="A4326" t="s">
        <v>75</v>
      </c>
      <c r="B4326" t="str">
        <f>"000886"</f>
        <v>000886</v>
      </c>
      <c r="C4326" t="s">
        <v>8996</v>
      </c>
      <c r="D4326" t="s">
        <v>1248</v>
      </c>
      <c r="E4326">
        <v>58002299</v>
      </c>
      <c r="F4326">
        <v>18565943</v>
      </c>
      <c r="G4326">
        <v>10309354</v>
      </c>
      <c r="H4326">
        <v>38420452</v>
      </c>
      <c r="I4326">
        <v>226211384</v>
      </c>
      <c r="J4326">
        <v>293123448</v>
      </c>
      <c r="K4326">
        <v>65147204</v>
      </c>
      <c r="L4326">
        <v>73515704</v>
      </c>
      <c r="M4326">
        <v>74293007</v>
      </c>
      <c r="N4326">
        <v>132999835</v>
      </c>
      <c r="O4326">
        <v>112477165</v>
      </c>
      <c r="P4326">
        <v>130</v>
      </c>
      <c r="Q4326" t="s">
        <v>8997</v>
      </c>
    </row>
    <row r="4327" spans="1:17" x14ac:dyDescent="0.3">
      <c r="A4327" t="s">
        <v>75</v>
      </c>
      <c r="B4327" t="str">
        <f>"300380"</f>
        <v>300380</v>
      </c>
      <c r="C4327" t="s">
        <v>8998</v>
      </c>
      <c r="D4327" t="s">
        <v>116</v>
      </c>
      <c r="E4327">
        <v>57860541</v>
      </c>
      <c r="F4327">
        <v>65286688</v>
      </c>
      <c r="G4327">
        <v>52393292</v>
      </c>
      <c r="H4327">
        <v>44993066</v>
      </c>
      <c r="I4327">
        <v>41112444</v>
      </c>
      <c r="J4327">
        <v>40398897</v>
      </c>
      <c r="K4327">
        <v>28736779</v>
      </c>
      <c r="L4327">
        <v>32172176</v>
      </c>
      <c r="M4327">
        <v>22282588</v>
      </c>
      <c r="N4327">
        <v>17739105</v>
      </c>
      <c r="P4327">
        <v>85</v>
      </c>
      <c r="Q4327" t="s">
        <v>8999</v>
      </c>
    </row>
    <row r="4328" spans="1:17" x14ac:dyDescent="0.3">
      <c r="A4328" t="s">
        <v>75</v>
      </c>
      <c r="B4328" t="str">
        <f>"300277"</f>
        <v>300277</v>
      </c>
      <c r="C4328" t="s">
        <v>9000</v>
      </c>
      <c r="D4328" t="s">
        <v>224</v>
      </c>
      <c r="E4328">
        <v>57619626</v>
      </c>
      <c r="F4328">
        <v>115722440</v>
      </c>
      <c r="G4328">
        <v>58742019</v>
      </c>
      <c r="H4328">
        <v>121512315</v>
      </c>
      <c r="I4328">
        <v>83898913</v>
      </c>
      <c r="J4328">
        <v>79306762</v>
      </c>
      <c r="K4328">
        <v>79646256</v>
      </c>
      <c r="L4328">
        <v>99722232</v>
      </c>
      <c r="M4328">
        <v>137824921</v>
      </c>
      <c r="N4328">
        <v>81833815</v>
      </c>
      <c r="O4328">
        <v>16896031</v>
      </c>
      <c r="P4328">
        <v>73</v>
      </c>
      <c r="Q4328" t="s">
        <v>9001</v>
      </c>
    </row>
    <row r="4329" spans="1:17" x14ac:dyDescent="0.3">
      <c r="A4329" t="s">
        <v>17</v>
      </c>
      <c r="B4329" t="str">
        <f>"600721"</f>
        <v>600721</v>
      </c>
      <c r="C4329" t="s">
        <v>9002</v>
      </c>
      <c r="D4329" t="s">
        <v>716</v>
      </c>
      <c r="E4329">
        <v>57528103</v>
      </c>
      <c r="F4329">
        <v>46632214</v>
      </c>
      <c r="G4329">
        <v>50364182</v>
      </c>
      <c r="H4329">
        <v>56746504</v>
      </c>
      <c r="I4329">
        <v>80342414</v>
      </c>
      <c r="J4329">
        <v>127312878</v>
      </c>
      <c r="K4329">
        <v>167887720</v>
      </c>
      <c r="L4329">
        <v>110484193</v>
      </c>
      <c r="M4329">
        <v>243522693</v>
      </c>
      <c r="N4329">
        <v>302750567</v>
      </c>
      <c r="O4329">
        <v>296394688</v>
      </c>
      <c r="P4329">
        <v>78</v>
      </c>
      <c r="Q4329" t="s">
        <v>9003</v>
      </c>
    </row>
    <row r="4330" spans="1:17" x14ac:dyDescent="0.3">
      <c r="A4330" t="s">
        <v>17</v>
      </c>
      <c r="B4330" t="str">
        <f>"688314"</f>
        <v>688314</v>
      </c>
      <c r="C4330" t="s">
        <v>9004</v>
      </c>
      <c r="D4330" t="s">
        <v>1538</v>
      </c>
      <c r="E4330">
        <v>57473707</v>
      </c>
      <c r="F4330">
        <v>46772689</v>
      </c>
      <c r="G4330">
        <v>27440295</v>
      </c>
      <c r="P4330">
        <v>53</v>
      </c>
      <c r="Q4330" t="s">
        <v>9005</v>
      </c>
    </row>
    <row r="4331" spans="1:17" x14ac:dyDescent="0.3">
      <c r="A4331" t="s">
        <v>75</v>
      </c>
      <c r="B4331" t="str">
        <f>"000953"</f>
        <v>000953</v>
      </c>
      <c r="C4331" t="s">
        <v>9006</v>
      </c>
      <c r="D4331" t="s">
        <v>1035</v>
      </c>
      <c r="E4331">
        <v>57441723</v>
      </c>
      <c r="F4331">
        <v>44958056</v>
      </c>
      <c r="G4331">
        <v>97273785</v>
      </c>
      <c r="H4331">
        <v>67523831</v>
      </c>
      <c r="I4331">
        <v>84144312</v>
      </c>
      <c r="J4331">
        <v>72754445</v>
      </c>
      <c r="K4331">
        <v>121133102</v>
      </c>
      <c r="L4331">
        <v>124807837</v>
      </c>
      <c r="M4331">
        <v>112179391</v>
      </c>
      <c r="N4331">
        <v>179107617</v>
      </c>
      <c r="O4331">
        <v>199093016</v>
      </c>
      <c r="P4331">
        <v>90</v>
      </c>
      <c r="Q4331" t="s">
        <v>9007</v>
      </c>
    </row>
    <row r="4332" spans="1:17" x14ac:dyDescent="0.3">
      <c r="A4332" t="s">
        <v>75</v>
      </c>
      <c r="B4332" t="str">
        <f>"002175"</f>
        <v>002175</v>
      </c>
      <c r="C4332" t="s">
        <v>9008</v>
      </c>
      <c r="D4332" t="s">
        <v>1284</v>
      </c>
      <c r="E4332">
        <v>57386196</v>
      </c>
      <c r="F4332">
        <v>47478190</v>
      </c>
      <c r="G4332">
        <v>42445424</v>
      </c>
      <c r="H4332">
        <v>57215072</v>
      </c>
      <c r="I4332">
        <v>52157872</v>
      </c>
      <c r="J4332">
        <v>126022459</v>
      </c>
      <c r="K4332">
        <v>133647628</v>
      </c>
      <c r="L4332">
        <v>56533939</v>
      </c>
      <c r="M4332">
        <v>43492603</v>
      </c>
      <c r="N4332">
        <v>41322459</v>
      </c>
      <c r="O4332">
        <v>33849600</v>
      </c>
      <c r="P4332">
        <v>79</v>
      </c>
      <c r="Q4332" t="s">
        <v>9009</v>
      </c>
    </row>
    <row r="4333" spans="1:17" x14ac:dyDescent="0.3">
      <c r="A4333" t="s">
        <v>75</v>
      </c>
      <c r="B4333" t="str">
        <f>"301117"</f>
        <v>301117</v>
      </c>
      <c r="C4333" t="s">
        <v>9010</v>
      </c>
      <c r="D4333" t="s">
        <v>337</v>
      </c>
      <c r="E4333">
        <v>57132680</v>
      </c>
      <c r="P4333">
        <v>9</v>
      </c>
      <c r="Q4333" t="s">
        <v>9011</v>
      </c>
    </row>
    <row r="4334" spans="1:17" x14ac:dyDescent="0.3">
      <c r="A4334" t="s">
        <v>75</v>
      </c>
      <c r="B4334" t="str">
        <f>"301178"</f>
        <v>301178</v>
      </c>
      <c r="C4334" t="s">
        <v>9012</v>
      </c>
      <c r="D4334" t="s">
        <v>224</v>
      </c>
      <c r="E4334">
        <v>57001243</v>
      </c>
      <c r="P4334">
        <v>15</v>
      </c>
      <c r="Q4334" t="s">
        <v>9013</v>
      </c>
    </row>
    <row r="4335" spans="1:17" x14ac:dyDescent="0.3">
      <c r="A4335" t="s">
        <v>17</v>
      </c>
      <c r="B4335" t="str">
        <f>"688323"</f>
        <v>688323</v>
      </c>
      <c r="C4335" t="s">
        <v>9014</v>
      </c>
      <c r="D4335" t="s">
        <v>2029</v>
      </c>
      <c r="E4335">
        <v>56941386</v>
      </c>
      <c r="F4335">
        <v>58454937</v>
      </c>
      <c r="G4335">
        <v>62141567</v>
      </c>
      <c r="P4335">
        <v>26</v>
      </c>
      <c r="Q4335" t="s">
        <v>9015</v>
      </c>
    </row>
    <row r="4336" spans="1:17" x14ac:dyDescent="0.3">
      <c r="A4336" t="s">
        <v>17</v>
      </c>
      <c r="B4336" t="str">
        <f>"688607"</f>
        <v>688607</v>
      </c>
      <c r="C4336" t="s">
        <v>9016</v>
      </c>
      <c r="D4336" t="s">
        <v>334</v>
      </c>
      <c r="E4336">
        <v>56661168</v>
      </c>
      <c r="F4336">
        <v>92637961</v>
      </c>
      <c r="P4336">
        <v>55</v>
      </c>
      <c r="Q4336" t="s">
        <v>9017</v>
      </c>
    </row>
    <row r="4337" spans="1:17" x14ac:dyDescent="0.3">
      <c r="A4337" t="s">
        <v>75</v>
      </c>
      <c r="B4337" t="str">
        <f>"300555"</f>
        <v>300555</v>
      </c>
      <c r="C4337" t="s">
        <v>9018</v>
      </c>
      <c r="D4337" t="s">
        <v>556</v>
      </c>
      <c r="E4337">
        <v>56646018</v>
      </c>
      <c r="F4337">
        <v>60454379</v>
      </c>
      <c r="G4337">
        <v>80653252</v>
      </c>
      <c r="H4337">
        <v>69476564</v>
      </c>
      <c r="I4337">
        <v>65136323</v>
      </c>
      <c r="J4337">
        <v>52492667</v>
      </c>
      <c r="K4337">
        <v>52703228</v>
      </c>
      <c r="P4337">
        <v>72</v>
      </c>
      <c r="Q4337" t="s">
        <v>9019</v>
      </c>
    </row>
    <row r="4338" spans="1:17" x14ac:dyDescent="0.3">
      <c r="A4338" t="s">
        <v>75</v>
      </c>
      <c r="B4338" t="str">
        <f>"300469"</f>
        <v>300469</v>
      </c>
      <c r="C4338" t="s">
        <v>9020</v>
      </c>
      <c r="D4338" t="s">
        <v>116</v>
      </c>
      <c r="E4338">
        <v>56633819</v>
      </c>
      <c r="F4338">
        <v>52554927</v>
      </c>
      <c r="G4338">
        <v>50284831</v>
      </c>
      <c r="H4338">
        <v>91645298</v>
      </c>
      <c r="I4338">
        <v>54825623</v>
      </c>
      <c r="J4338">
        <v>37118929</v>
      </c>
      <c r="K4338">
        <v>34223491</v>
      </c>
      <c r="L4338">
        <v>29429929</v>
      </c>
      <c r="P4338">
        <v>96</v>
      </c>
      <c r="Q4338" t="s">
        <v>9021</v>
      </c>
    </row>
    <row r="4339" spans="1:17" x14ac:dyDescent="0.3">
      <c r="A4339" t="s">
        <v>17</v>
      </c>
      <c r="B4339" t="str">
        <f>"600636"</f>
        <v>600636</v>
      </c>
      <c r="C4339" t="s">
        <v>9022</v>
      </c>
      <c r="D4339" t="s">
        <v>1001</v>
      </c>
      <c r="E4339">
        <v>56518689</v>
      </c>
      <c r="F4339">
        <v>60811390</v>
      </c>
      <c r="G4339">
        <v>86568499</v>
      </c>
      <c r="H4339">
        <v>218534729</v>
      </c>
      <c r="I4339">
        <v>461836868</v>
      </c>
      <c r="J4339">
        <v>1625395273</v>
      </c>
      <c r="K4339">
        <v>1386771814</v>
      </c>
      <c r="L4339">
        <v>1629813451</v>
      </c>
      <c r="M4339">
        <v>1037954291</v>
      </c>
      <c r="N4339">
        <v>1088587812</v>
      </c>
      <c r="O4339">
        <v>911691298</v>
      </c>
      <c r="P4339">
        <v>136</v>
      </c>
      <c r="Q4339" t="s">
        <v>9023</v>
      </c>
    </row>
    <row r="4340" spans="1:17" x14ac:dyDescent="0.3">
      <c r="A4340" t="s">
        <v>75</v>
      </c>
      <c r="B4340" t="str">
        <f>"300789"</f>
        <v>300789</v>
      </c>
      <c r="C4340" t="s">
        <v>9024</v>
      </c>
      <c r="D4340" t="s">
        <v>508</v>
      </c>
      <c r="E4340">
        <v>56486253</v>
      </c>
      <c r="F4340">
        <v>62241951</v>
      </c>
      <c r="G4340">
        <v>84428853</v>
      </c>
      <c r="H4340">
        <v>62714836</v>
      </c>
      <c r="P4340">
        <v>79</v>
      </c>
      <c r="Q4340" t="s">
        <v>9025</v>
      </c>
    </row>
    <row r="4341" spans="1:17" x14ac:dyDescent="0.3">
      <c r="A4341" t="s">
        <v>17</v>
      </c>
      <c r="B4341" t="str">
        <f>"600503"</f>
        <v>600503</v>
      </c>
      <c r="C4341" t="s">
        <v>9026</v>
      </c>
      <c r="D4341" t="s">
        <v>65</v>
      </c>
      <c r="E4341">
        <v>56438481</v>
      </c>
      <c r="F4341">
        <v>40588595</v>
      </c>
      <c r="G4341">
        <v>43380343</v>
      </c>
      <c r="H4341">
        <v>439872720</v>
      </c>
      <c r="I4341">
        <v>195102114</v>
      </c>
      <c r="J4341">
        <v>42065344</v>
      </c>
      <c r="K4341">
        <v>632040046</v>
      </c>
      <c r="L4341">
        <v>39949643</v>
      </c>
      <c r="M4341">
        <v>107509353</v>
      </c>
      <c r="N4341">
        <v>245448625</v>
      </c>
      <c r="O4341">
        <v>140881570</v>
      </c>
      <c r="P4341">
        <v>200</v>
      </c>
      <c r="Q4341" t="s">
        <v>9027</v>
      </c>
    </row>
    <row r="4342" spans="1:17" x14ac:dyDescent="0.3">
      <c r="A4342" t="s">
        <v>75</v>
      </c>
      <c r="B4342" t="str">
        <f>"002808"</f>
        <v>002808</v>
      </c>
      <c r="C4342" t="s">
        <v>9028</v>
      </c>
      <c r="D4342" t="s">
        <v>975</v>
      </c>
      <c r="E4342">
        <v>56358920</v>
      </c>
      <c r="F4342">
        <v>82225115</v>
      </c>
      <c r="G4342">
        <v>74448338</v>
      </c>
      <c r="H4342">
        <v>74159795</v>
      </c>
      <c r="I4342">
        <v>70317606</v>
      </c>
      <c r="J4342">
        <v>74980890</v>
      </c>
      <c r="K4342">
        <v>48105020</v>
      </c>
      <c r="L4342">
        <v>49341987</v>
      </c>
      <c r="P4342">
        <v>73</v>
      </c>
      <c r="Q4342" t="s">
        <v>9029</v>
      </c>
    </row>
    <row r="4343" spans="1:17" x14ac:dyDescent="0.3">
      <c r="A4343" t="s">
        <v>75</v>
      </c>
      <c r="B4343" t="str">
        <f>"301215"</f>
        <v>301215</v>
      </c>
      <c r="C4343" t="s">
        <v>9030</v>
      </c>
      <c r="E4343">
        <v>56218072</v>
      </c>
      <c r="P4343">
        <v>7</v>
      </c>
      <c r="Q4343" t="s">
        <v>9031</v>
      </c>
    </row>
    <row r="4344" spans="1:17" x14ac:dyDescent="0.3">
      <c r="A4344" t="s">
        <v>75</v>
      </c>
      <c r="B4344" t="str">
        <f>"300742"</f>
        <v>300742</v>
      </c>
      <c r="C4344" t="s">
        <v>9032</v>
      </c>
      <c r="D4344" t="s">
        <v>172</v>
      </c>
      <c r="E4344">
        <v>56217628</v>
      </c>
      <c r="F4344">
        <v>56149421</v>
      </c>
      <c r="G4344">
        <v>9870131</v>
      </c>
      <c r="H4344">
        <v>8224424</v>
      </c>
      <c r="I4344">
        <v>76788091</v>
      </c>
      <c r="J4344">
        <v>250214041</v>
      </c>
      <c r="P4344">
        <v>90</v>
      </c>
      <c r="Q4344" t="s">
        <v>9033</v>
      </c>
    </row>
    <row r="4345" spans="1:17" x14ac:dyDescent="0.3">
      <c r="A4345" t="s">
        <v>75</v>
      </c>
      <c r="B4345" t="str">
        <f>"300960"</f>
        <v>300960</v>
      </c>
      <c r="C4345" t="s">
        <v>9034</v>
      </c>
      <c r="D4345" t="s">
        <v>156</v>
      </c>
      <c r="E4345">
        <v>56200488</v>
      </c>
      <c r="F4345">
        <v>38880560</v>
      </c>
      <c r="G4345">
        <v>80486421</v>
      </c>
      <c r="P4345">
        <v>26</v>
      </c>
      <c r="Q4345" t="s">
        <v>9035</v>
      </c>
    </row>
    <row r="4346" spans="1:17" x14ac:dyDescent="0.3">
      <c r="A4346" t="s">
        <v>75</v>
      </c>
      <c r="B4346" t="str">
        <f>"301059"</f>
        <v>301059</v>
      </c>
      <c r="C4346" t="s">
        <v>9036</v>
      </c>
      <c r="D4346" t="s">
        <v>292</v>
      </c>
      <c r="E4346">
        <v>56153204</v>
      </c>
      <c r="P4346">
        <v>21</v>
      </c>
      <c r="Q4346" t="s">
        <v>9037</v>
      </c>
    </row>
    <row r="4347" spans="1:17" x14ac:dyDescent="0.3">
      <c r="A4347" t="s">
        <v>75</v>
      </c>
      <c r="B4347" t="str">
        <f>"300701"</f>
        <v>300701</v>
      </c>
      <c r="C4347" t="s">
        <v>9038</v>
      </c>
      <c r="D4347" t="s">
        <v>975</v>
      </c>
      <c r="E4347">
        <v>56126057</v>
      </c>
      <c r="F4347">
        <v>72644363</v>
      </c>
      <c r="G4347">
        <v>69316190</v>
      </c>
      <c r="H4347">
        <v>40759228</v>
      </c>
      <c r="I4347">
        <v>41213706</v>
      </c>
      <c r="J4347">
        <v>38150371</v>
      </c>
      <c r="P4347">
        <v>746</v>
      </c>
      <c r="Q4347" t="s">
        <v>9039</v>
      </c>
    </row>
    <row r="4348" spans="1:17" x14ac:dyDescent="0.3">
      <c r="A4348" t="s">
        <v>17</v>
      </c>
      <c r="B4348" t="str">
        <f>"688309"</f>
        <v>688309</v>
      </c>
      <c r="C4348" t="s">
        <v>9040</v>
      </c>
      <c r="D4348" t="s">
        <v>1642</v>
      </c>
      <c r="E4348">
        <v>56060437</v>
      </c>
      <c r="F4348">
        <v>9292171</v>
      </c>
      <c r="G4348">
        <v>22786611</v>
      </c>
      <c r="H4348">
        <v>98331</v>
      </c>
      <c r="P4348">
        <v>30</v>
      </c>
      <c r="Q4348" t="s">
        <v>9041</v>
      </c>
    </row>
    <row r="4349" spans="1:17" x14ac:dyDescent="0.3">
      <c r="A4349" t="s">
        <v>75</v>
      </c>
      <c r="B4349" t="str">
        <f>"000017"</f>
        <v>000017</v>
      </c>
      <c r="C4349" t="s">
        <v>9042</v>
      </c>
      <c r="D4349" t="s">
        <v>917</v>
      </c>
      <c r="E4349">
        <v>55844910</v>
      </c>
      <c r="F4349">
        <v>31191247</v>
      </c>
      <c r="G4349">
        <v>5190850</v>
      </c>
      <c r="H4349">
        <v>4648357</v>
      </c>
      <c r="I4349">
        <v>5982298</v>
      </c>
      <c r="J4349">
        <v>12812358</v>
      </c>
      <c r="K4349">
        <v>10099727</v>
      </c>
      <c r="L4349">
        <v>12337763</v>
      </c>
      <c r="M4349">
        <v>12586388</v>
      </c>
      <c r="N4349">
        <v>20916481</v>
      </c>
      <c r="O4349">
        <v>36752305</v>
      </c>
      <c r="P4349">
        <v>64</v>
      </c>
      <c r="Q4349" t="s">
        <v>9043</v>
      </c>
    </row>
    <row r="4350" spans="1:17" x14ac:dyDescent="0.3">
      <c r="A4350" t="s">
        <v>17</v>
      </c>
      <c r="B4350" t="str">
        <f>"688013"</f>
        <v>688013</v>
      </c>
      <c r="C4350" t="s">
        <v>9044</v>
      </c>
      <c r="D4350" t="s">
        <v>1538</v>
      </c>
      <c r="E4350">
        <v>55788402</v>
      </c>
      <c r="F4350">
        <v>52506124</v>
      </c>
      <c r="P4350">
        <v>64</v>
      </c>
      <c r="Q4350" t="s">
        <v>9045</v>
      </c>
    </row>
    <row r="4351" spans="1:17" x14ac:dyDescent="0.3">
      <c r="A4351" t="s">
        <v>17</v>
      </c>
      <c r="B4351" t="str">
        <f>"688071"</f>
        <v>688071</v>
      </c>
      <c r="C4351" t="s">
        <v>9046</v>
      </c>
      <c r="D4351" t="s">
        <v>1624</v>
      </c>
      <c r="E4351">
        <v>55646690</v>
      </c>
      <c r="F4351">
        <v>27385092</v>
      </c>
      <c r="G4351">
        <v>55217807</v>
      </c>
      <c r="P4351">
        <v>28</v>
      </c>
      <c r="Q4351" t="s">
        <v>9047</v>
      </c>
    </row>
    <row r="4352" spans="1:17" x14ac:dyDescent="0.3">
      <c r="A4352" t="s">
        <v>17</v>
      </c>
      <c r="B4352" t="str">
        <f>"688338"</f>
        <v>688338</v>
      </c>
      <c r="C4352" t="s">
        <v>9048</v>
      </c>
      <c r="D4352" t="s">
        <v>967</v>
      </c>
      <c r="E4352">
        <v>55460882</v>
      </c>
      <c r="F4352">
        <v>59298647</v>
      </c>
      <c r="G4352">
        <v>0</v>
      </c>
      <c r="H4352">
        <v>0</v>
      </c>
      <c r="P4352">
        <v>56</v>
      </c>
      <c r="Q4352" t="s">
        <v>9049</v>
      </c>
    </row>
    <row r="4353" spans="1:17" x14ac:dyDescent="0.3">
      <c r="A4353" t="s">
        <v>17</v>
      </c>
      <c r="B4353" t="str">
        <f>"600698"</f>
        <v>600698</v>
      </c>
      <c r="C4353" t="s">
        <v>9050</v>
      </c>
      <c r="D4353" t="s">
        <v>172</v>
      </c>
      <c r="E4353">
        <v>55328302</v>
      </c>
      <c r="F4353">
        <v>77423856</v>
      </c>
      <c r="G4353">
        <v>114061076</v>
      </c>
      <c r="H4353">
        <v>106655145</v>
      </c>
      <c r="I4353">
        <v>138983538</v>
      </c>
      <c r="J4353">
        <v>115649566</v>
      </c>
      <c r="K4353">
        <v>72920853</v>
      </c>
      <c r="L4353">
        <v>117863197</v>
      </c>
      <c r="M4353">
        <v>77527751</v>
      </c>
      <c r="N4353">
        <v>67415853</v>
      </c>
      <c r="O4353">
        <v>345961275</v>
      </c>
      <c r="P4353">
        <v>93</v>
      </c>
      <c r="Q4353" t="s">
        <v>9051</v>
      </c>
    </row>
    <row r="4354" spans="1:17" x14ac:dyDescent="0.3">
      <c r="A4354" t="s">
        <v>17</v>
      </c>
      <c r="B4354" t="str">
        <f>"603389"</f>
        <v>603389</v>
      </c>
      <c r="C4354" t="s">
        <v>9052</v>
      </c>
      <c r="D4354" t="s">
        <v>1123</v>
      </c>
      <c r="E4354">
        <v>55266450</v>
      </c>
      <c r="F4354">
        <v>55060921</v>
      </c>
      <c r="G4354">
        <v>37331931</v>
      </c>
      <c r="H4354">
        <v>86438184</v>
      </c>
      <c r="I4354">
        <v>108301642</v>
      </c>
      <c r="J4354">
        <v>114772306</v>
      </c>
      <c r="K4354">
        <v>117044846</v>
      </c>
      <c r="P4354">
        <v>80</v>
      </c>
      <c r="Q4354" t="s">
        <v>9053</v>
      </c>
    </row>
    <row r="4355" spans="1:17" x14ac:dyDescent="0.3">
      <c r="A4355" t="s">
        <v>17</v>
      </c>
      <c r="B4355" t="str">
        <f>"688768"</f>
        <v>688768</v>
      </c>
      <c r="C4355" t="s">
        <v>9054</v>
      </c>
      <c r="D4355" t="s">
        <v>2549</v>
      </c>
      <c r="E4355">
        <v>55200075</v>
      </c>
      <c r="F4355">
        <v>70313542</v>
      </c>
      <c r="G4355">
        <v>36782933</v>
      </c>
      <c r="P4355">
        <v>30</v>
      </c>
      <c r="Q4355" t="s">
        <v>9055</v>
      </c>
    </row>
    <row r="4356" spans="1:17" x14ac:dyDescent="0.3">
      <c r="A4356" t="s">
        <v>75</v>
      </c>
      <c r="B4356" t="str">
        <f>"300270"</f>
        <v>300270</v>
      </c>
      <c r="C4356" t="s">
        <v>9056</v>
      </c>
      <c r="D4356" t="s">
        <v>337</v>
      </c>
      <c r="E4356">
        <v>54924424</v>
      </c>
      <c r="F4356">
        <v>63854072</v>
      </c>
      <c r="G4356">
        <v>98636712</v>
      </c>
      <c r="H4356">
        <v>58726905</v>
      </c>
      <c r="I4356">
        <v>50478922</v>
      </c>
      <c r="J4356">
        <v>59511261</v>
      </c>
      <c r="K4356">
        <v>39319269</v>
      </c>
      <c r="L4356">
        <v>26123998</v>
      </c>
      <c r="M4356">
        <v>26395240</v>
      </c>
      <c r="N4356">
        <v>28608524</v>
      </c>
      <c r="O4356">
        <v>14529744</v>
      </c>
      <c r="P4356">
        <v>136</v>
      </c>
      <c r="Q4356" t="s">
        <v>9057</v>
      </c>
    </row>
    <row r="4357" spans="1:17" x14ac:dyDescent="0.3">
      <c r="A4357" t="s">
        <v>75</v>
      </c>
      <c r="B4357" t="str">
        <f>"002750"</f>
        <v>002750</v>
      </c>
      <c r="C4357" t="s">
        <v>9058</v>
      </c>
      <c r="D4357" t="s">
        <v>321</v>
      </c>
      <c r="E4357">
        <v>54659736</v>
      </c>
      <c r="F4357">
        <v>139970047</v>
      </c>
      <c r="G4357">
        <v>49393675</v>
      </c>
      <c r="H4357">
        <v>76298257</v>
      </c>
      <c r="I4357">
        <v>94605047</v>
      </c>
      <c r="J4357">
        <v>54636210</v>
      </c>
      <c r="K4357">
        <v>63467074</v>
      </c>
      <c r="L4357">
        <v>48651683</v>
      </c>
      <c r="M4357">
        <v>54053914</v>
      </c>
      <c r="P4357">
        <v>142</v>
      </c>
      <c r="Q4357" t="s">
        <v>9059</v>
      </c>
    </row>
    <row r="4358" spans="1:17" x14ac:dyDescent="0.3">
      <c r="A4358" t="s">
        <v>17</v>
      </c>
      <c r="B4358" t="str">
        <f>"600083"</f>
        <v>600083</v>
      </c>
      <c r="C4358" t="s">
        <v>9060</v>
      </c>
      <c r="D4358" t="s">
        <v>1284</v>
      </c>
      <c r="E4358">
        <v>54592513</v>
      </c>
      <c r="F4358">
        <v>160758933</v>
      </c>
      <c r="G4358">
        <v>7070211</v>
      </c>
      <c r="H4358">
        <v>128736723</v>
      </c>
      <c r="I4358">
        <v>465148388</v>
      </c>
      <c r="J4358">
        <v>7118073</v>
      </c>
      <c r="K4358">
        <v>18789940</v>
      </c>
      <c r="L4358">
        <v>11408302</v>
      </c>
      <c r="M4358">
        <v>4603824</v>
      </c>
      <c r="N4358">
        <v>6742600</v>
      </c>
      <c r="O4358">
        <v>0</v>
      </c>
      <c r="P4358">
        <v>83</v>
      </c>
      <c r="Q4358" t="s">
        <v>9061</v>
      </c>
    </row>
    <row r="4359" spans="1:17" x14ac:dyDescent="0.3">
      <c r="A4359" t="s">
        <v>75</v>
      </c>
      <c r="B4359" t="str">
        <f>"002256"</f>
        <v>002256</v>
      </c>
      <c r="C4359" t="s">
        <v>9062</v>
      </c>
      <c r="D4359" t="s">
        <v>3126</v>
      </c>
      <c r="E4359">
        <v>54459400</v>
      </c>
      <c r="F4359">
        <v>69854460</v>
      </c>
      <c r="G4359">
        <v>64190261</v>
      </c>
      <c r="H4359">
        <v>68700447</v>
      </c>
      <c r="I4359">
        <v>181141256</v>
      </c>
      <c r="J4359">
        <v>119133745</v>
      </c>
      <c r="K4359">
        <v>103589918</v>
      </c>
      <c r="L4359">
        <v>111731756</v>
      </c>
      <c r="M4359">
        <v>104975412</v>
      </c>
      <c r="N4359">
        <v>136040440</v>
      </c>
      <c r="O4359">
        <v>86022769</v>
      </c>
      <c r="P4359">
        <v>151</v>
      </c>
      <c r="Q4359" t="s">
        <v>9063</v>
      </c>
    </row>
    <row r="4360" spans="1:17" x14ac:dyDescent="0.3">
      <c r="A4360" t="s">
        <v>75</v>
      </c>
      <c r="B4360" t="str">
        <f>"300713"</f>
        <v>300713</v>
      </c>
      <c r="C4360" t="s">
        <v>9064</v>
      </c>
      <c r="D4360" t="s">
        <v>2692</v>
      </c>
      <c r="E4360">
        <v>54444131</v>
      </c>
      <c r="F4360">
        <v>58923519</v>
      </c>
      <c r="G4360">
        <v>70254321</v>
      </c>
      <c r="H4360">
        <v>69493279</v>
      </c>
      <c r="I4360">
        <v>38180628</v>
      </c>
      <c r="J4360">
        <v>24432612</v>
      </c>
      <c r="P4360">
        <v>81</v>
      </c>
      <c r="Q4360" t="s">
        <v>9065</v>
      </c>
    </row>
    <row r="4361" spans="1:17" x14ac:dyDescent="0.3">
      <c r="A4361" t="s">
        <v>17</v>
      </c>
      <c r="B4361" t="str">
        <f>"688288"</f>
        <v>688288</v>
      </c>
      <c r="C4361" t="s">
        <v>9066</v>
      </c>
      <c r="D4361" t="s">
        <v>508</v>
      </c>
      <c r="E4361">
        <v>54320190</v>
      </c>
      <c r="F4361">
        <v>70998609</v>
      </c>
      <c r="G4361">
        <v>42930011</v>
      </c>
      <c r="H4361">
        <v>49476517</v>
      </c>
      <c r="P4361">
        <v>110</v>
      </c>
      <c r="Q4361" t="s">
        <v>9067</v>
      </c>
    </row>
    <row r="4362" spans="1:17" x14ac:dyDescent="0.3">
      <c r="A4362" t="s">
        <v>75</v>
      </c>
      <c r="B4362" t="str">
        <f>"300591"</f>
        <v>300591</v>
      </c>
      <c r="C4362" t="s">
        <v>9068</v>
      </c>
      <c r="D4362" t="s">
        <v>2921</v>
      </c>
      <c r="E4362">
        <v>54121180</v>
      </c>
      <c r="F4362">
        <v>154467890</v>
      </c>
      <c r="G4362">
        <v>82662376</v>
      </c>
      <c r="H4362">
        <v>152791265</v>
      </c>
      <c r="I4362">
        <v>219054687</v>
      </c>
      <c r="J4362">
        <v>111807226</v>
      </c>
      <c r="K4362">
        <v>70869006</v>
      </c>
      <c r="P4362">
        <v>88</v>
      </c>
      <c r="Q4362" t="s">
        <v>9069</v>
      </c>
    </row>
    <row r="4363" spans="1:17" x14ac:dyDescent="0.3">
      <c r="A4363" t="s">
        <v>17</v>
      </c>
      <c r="B4363" t="str">
        <f>"688359"</f>
        <v>688359</v>
      </c>
      <c r="C4363" t="s">
        <v>9070</v>
      </c>
      <c r="D4363" t="s">
        <v>1853</v>
      </c>
      <c r="E4363">
        <v>54095799</v>
      </c>
      <c r="F4363">
        <v>52106124</v>
      </c>
      <c r="G4363">
        <v>30125037</v>
      </c>
      <c r="P4363">
        <v>23</v>
      </c>
      <c r="Q4363" t="s">
        <v>9071</v>
      </c>
    </row>
    <row r="4364" spans="1:17" x14ac:dyDescent="0.3">
      <c r="A4364" t="s">
        <v>17</v>
      </c>
      <c r="B4364" t="str">
        <f>"600187"</f>
        <v>600187</v>
      </c>
      <c r="C4364" t="s">
        <v>9072</v>
      </c>
      <c r="D4364" t="s">
        <v>1107</v>
      </c>
      <c r="E4364">
        <v>53937719</v>
      </c>
      <c r="F4364">
        <v>75586585</v>
      </c>
      <c r="G4364">
        <v>56498134</v>
      </c>
      <c r="H4364">
        <v>80454650</v>
      </c>
      <c r="I4364">
        <v>93373997</v>
      </c>
      <c r="J4364">
        <v>86168927</v>
      </c>
      <c r="K4364">
        <v>106206727</v>
      </c>
      <c r="L4364">
        <v>137089869</v>
      </c>
      <c r="M4364">
        <v>132584254</v>
      </c>
      <c r="N4364">
        <v>61259517</v>
      </c>
      <c r="O4364">
        <v>63423553</v>
      </c>
      <c r="P4364">
        <v>116</v>
      </c>
      <c r="Q4364" t="s">
        <v>9073</v>
      </c>
    </row>
    <row r="4365" spans="1:17" x14ac:dyDescent="0.3">
      <c r="A4365" t="s">
        <v>17</v>
      </c>
      <c r="B4365" t="str">
        <f>"688325"</f>
        <v>688325</v>
      </c>
      <c r="C4365" t="s">
        <v>9074</v>
      </c>
      <c r="E4365">
        <v>53870464</v>
      </c>
      <c r="P4365">
        <v>3</v>
      </c>
      <c r="Q4365" t="s">
        <v>9075</v>
      </c>
    </row>
    <row r="4366" spans="1:17" x14ac:dyDescent="0.3">
      <c r="A4366" t="s">
        <v>75</v>
      </c>
      <c r="B4366" t="str">
        <f>"300334"</f>
        <v>300334</v>
      </c>
      <c r="C4366" t="s">
        <v>9076</v>
      </c>
      <c r="D4366" t="s">
        <v>1107</v>
      </c>
      <c r="E4366">
        <v>53823104</v>
      </c>
      <c r="F4366">
        <v>88836232</v>
      </c>
      <c r="G4366">
        <v>95722133</v>
      </c>
      <c r="H4366">
        <v>198988413</v>
      </c>
      <c r="I4366">
        <v>147023380</v>
      </c>
      <c r="J4366">
        <v>55357743</v>
      </c>
      <c r="K4366">
        <v>60872704</v>
      </c>
      <c r="L4366">
        <v>110193943</v>
      </c>
      <c r="M4366">
        <v>106507627</v>
      </c>
      <c r="N4366">
        <v>69293477</v>
      </c>
      <c r="O4366">
        <v>31485337</v>
      </c>
      <c r="P4366">
        <v>80</v>
      </c>
      <c r="Q4366" t="s">
        <v>9077</v>
      </c>
    </row>
    <row r="4367" spans="1:17" x14ac:dyDescent="0.3">
      <c r="A4367" t="s">
        <v>17</v>
      </c>
      <c r="B4367" t="str">
        <f>"600892"</f>
        <v>600892</v>
      </c>
      <c r="C4367" t="s">
        <v>9078</v>
      </c>
      <c r="D4367" t="s">
        <v>1165</v>
      </c>
      <c r="E4367">
        <v>53752613</v>
      </c>
      <c r="F4367">
        <v>55170065</v>
      </c>
      <c r="G4367">
        <v>51839704</v>
      </c>
      <c r="H4367">
        <v>48771422</v>
      </c>
      <c r="I4367">
        <v>61868745</v>
      </c>
      <c r="J4367">
        <v>45728763</v>
      </c>
      <c r="K4367">
        <v>81674636</v>
      </c>
      <c r="L4367">
        <v>953027</v>
      </c>
      <c r="M4367">
        <v>97628103</v>
      </c>
      <c r="N4367">
        <v>73545463</v>
      </c>
      <c r="O4367">
        <v>184121312</v>
      </c>
      <c r="P4367">
        <v>85</v>
      </c>
      <c r="Q4367" t="s">
        <v>9079</v>
      </c>
    </row>
    <row r="4368" spans="1:17" x14ac:dyDescent="0.3">
      <c r="A4368" t="s">
        <v>75</v>
      </c>
      <c r="B4368" t="str">
        <f>"002816"</f>
        <v>002816</v>
      </c>
      <c r="C4368" t="s">
        <v>9080</v>
      </c>
      <c r="D4368" t="s">
        <v>1624</v>
      </c>
      <c r="E4368">
        <v>53360681</v>
      </c>
      <c r="F4368">
        <v>57470329</v>
      </c>
      <c r="G4368">
        <v>39744537</v>
      </c>
      <c r="H4368">
        <v>56786342</v>
      </c>
      <c r="I4368">
        <v>93580635</v>
      </c>
      <c r="J4368">
        <v>85271104</v>
      </c>
      <c r="K4368">
        <v>80397799</v>
      </c>
      <c r="P4368">
        <v>46</v>
      </c>
      <c r="Q4368" t="s">
        <v>9081</v>
      </c>
    </row>
    <row r="4369" spans="1:17" x14ac:dyDescent="0.3">
      <c r="A4369" t="s">
        <v>17</v>
      </c>
      <c r="B4369" t="str">
        <f>"688681"</f>
        <v>688681</v>
      </c>
      <c r="C4369" t="s">
        <v>9082</v>
      </c>
      <c r="D4369" t="s">
        <v>682</v>
      </c>
      <c r="E4369">
        <v>53347887</v>
      </c>
      <c r="F4369">
        <v>55018814</v>
      </c>
      <c r="G4369">
        <v>39854036</v>
      </c>
      <c r="P4369">
        <v>31</v>
      </c>
      <c r="Q4369" t="s">
        <v>9083</v>
      </c>
    </row>
    <row r="4370" spans="1:17" x14ac:dyDescent="0.3">
      <c r="A4370" t="s">
        <v>75</v>
      </c>
      <c r="B4370" t="str">
        <f>"300875"</f>
        <v>300875</v>
      </c>
      <c r="C4370" t="s">
        <v>9084</v>
      </c>
      <c r="D4370" t="s">
        <v>3072</v>
      </c>
      <c r="E4370">
        <v>53172884</v>
      </c>
      <c r="F4370">
        <v>181273793</v>
      </c>
      <c r="G4370">
        <v>120493375</v>
      </c>
      <c r="I4370">
        <v>39556610</v>
      </c>
      <c r="P4370">
        <v>106</v>
      </c>
      <c r="Q4370" t="s">
        <v>9085</v>
      </c>
    </row>
    <row r="4371" spans="1:17" x14ac:dyDescent="0.3">
      <c r="A4371" t="s">
        <v>17</v>
      </c>
      <c r="B4371" t="str">
        <f>"688618"</f>
        <v>688618</v>
      </c>
      <c r="C4371" t="s">
        <v>9086</v>
      </c>
      <c r="D4371" t="s">
        <v>169</v>
      </c>
      <c r="E4371">
        <v>53118310</v>
      </c>
      <c r="F4371">
        <v>47781598</v>
      </c>
      <c r="G4371">
        <v>0</v>
      </c>
      <c r="H4371">
        <v>0</v>
      </c>
      <c r="P4371">
        <v>41</v>
      </c>
      <c r="Q4371" t="s">
        <v>9087</v>
      </c>
    </row>
    <row r="4372" spans="1:17" x14ac:dyDescent="0.3">
      <c r="A4372" t="s">
        <v>17</v>
      </c>
      <c r="B4372" t="str">
        <f>"605033"</f>
        <v>605033</v>
      </c>
      <c r="C4372" t="s">
        <v>9088</v>
      </c>
      <c r="D4372" t="s">
        <v>811</v>
      </c>
      <c r="E4372">
        <v>52907489</v>
      </c>
      <c r="F4372">
        <v>48684894</v>
      </c>
      <c r="G4372">
        <v>46666156</v>
      </c>
      <c r="P4372">
        <v>14</v>
      </c>
      <c r="Q4372" t="s">
        <v>9089</v>
      </c>
    </row>
    <row r="4373" spans="1:17" x14ac:dyDescent="0.3">
      <c r="A4373" t="s">
        <v>75</v>
      </c>
      <c r="B4373" t="str">
        <f>"301023"</f>
        <v>301023</v>
      </c>
      <c r="C4373" t="s">
        <v>9090</v>
      </c>
      <c r="D4373" t="s">
        <v>1487</v>
      </c>
      <c r="E4373">
        <v>52806190</v>
      </c>
      <c r="F4373">
        <v>42989966</v>
      </c>
      <c r="G4373">
        <v>43810468</v>
      </c>
      <c r="P4373">
        <v>22</v>
      </c>
      <c r="Q4373" t="s">
        <v>9091</v>
      </c>
    </row>
    <row r="4374" spans="1:17" x14ac:dyDescent="0.3">
      <c r="A4374" t="s">
        <v>75</v>
      </c>
      <c r="B4374" t="str">
        <f>"301167"</f>
        <v>301167</v>
      </c>
      <c r="C4374" t="s">
        <v>9092</v>
      </c>
      <c r="D4374" t="s">
        <v>2118</v>
      </c>
      <c r="E4374">
        <v>52785284</v>
      </c>
      <c r="P4374">
        <v>17</v>
      </c>
      <c r="Q4374" t="s">
        <v>9093</v>
      </c>
    </row>
    <row r="4375" spans="1:17" x14ac:dyDescent="0.3">
      <c r="A4375" t="s">
        <v>75</v>
      </c>
      <c r="B4375" t="str">
        <f>"300860"</f>
        <v>300860</v>
      </c>
      <c r="C4375" t="s">
        <v>9094</v>
      </c>
      <c r="D4375" t="s">
        <v>2570</v>
      </c>
      <c r="E4375">
        <v>52450659</v>
      </c>
      <c r="F4375">
        <v>58139202</v>
      </c>
      <c r="G4375">
        <v>143620964</v>
      </c>
      <c r="P4375">
        <v>95</v>
      </c>
      <c r="Q4375" t="s">
        <v>9095</v>
      </c>
    </row>
    <row r="4376" spans="1:17" x14ac:dyDescent="0.3">
      <c r="A4376" t="s">
        <v>17</v>
      </c>
      <c r="B4376" t="str">
        <f>"600084"</f>
        <v>600084</v>
      </c>
      <c r="C4376" t="s">
        <v>9096</v>
      </c>
      <c r="D4376" t="s">
        <v>2575</v>
      </c>
      <c r="E4376">
        <v>52196147</v>
      </c>
      <c r="F4376">
        <v>58493655</v>
      </c>
      <c r="G4376">
        <v>11904385</v>
      </c>
      <c r="H4376">
        <v>59191209</v>
      </c>
      <c r="I4376">
        <v>115800880</v>
      </c>
      <c r="J4376">
        <v>52569830</v>
      </c>
      <c r="K4376">
        <v>44705475</v>
      </c>
      <c r="L4376">
        <v>63584839</v>
      </c>
      <c r="M4376">
        <v>15131528</v>
      </c>
      <c r="N4376">
        <v>94324254</v>
      </c>
      <c r="O4376">
        <v>113179623</v>
      </c>
      <c r="P4376">
        <v>99</v>
      </c>
      <c r="Q4376" t="s">
        <v>9097</v>
      </c>
    </row>
    <row r="4377" spans="1:17" x14ac:dyDescent="0.3">
      <c r="A4377" t="s">
        <v>17</v>
      </c>
      <c r="B4377" t="str">
        <f>"603189"</f>
        <v>603189</v>
      </c>
      <c r="C4377" t="s">
        <v>9098</v>
      </c>
      <c r="D4377" t="s">
        <v>116</v>
      </c>
      <c r="E4377">
        <v>52061593</v>
      </c>
      <c r="F4377">
        <v>92697719</v>
      </c>
      <c r="G4377">
        <v>29902648</v>
      </c>
      <c r="H4377">
        <v>37179932</v>
      </c>
      <c r="I4377">
        <v>24501643</v>
      </c>
      <c r="J4377">
        <v>32184865</v>
      </c>
      <c r="K4377">
        <v>11799120</v>
      </c>
      <c r="P4377">
        <v>166</v>
      </c>
      <c r="Q4377" t="s">
        <v>9099</v>
      </c>
    </row>
    <row r="4378" spans="1:17" x14ac:dyDescent="0.3">
      <c r="A4378" t="s">
        <v>17</v>
      </c>
      <c r="B4378" t="str">
        <f>"688108"</f>
        <v>688108</v>
      </c>
      <c r="C4378" t="s">
        <v>9100</v>
      </c>
      <c r="D4378" t="s">
        <v>1538</v>
      </c>
      <c r="E4378">
        <v>51915604</v>
      </c>
      <c r="F4378">
        <v>56469749</v>
      </c>
      <c r="G4378">
        <v>98347324</v>
      </c>
      <c r="H4378">
        <v>137224007</v>
      </c>
      <c r="I4378">
        <v>0</v>
      </c>
      <c r="P4378">
        <v>104</v>
      </c>
      <c r="Q4378" t="s">
        <v>9101</v>
      </c>
    </row>
    <row r="4379" spans="1:17" x14ac:dyDescent="0.3">
      <c r="A4379" t="s">
        <v>17</v>
      </c>
      <c r="B4379" t="str">
        <f>"688067"</f>
        <v>688067</v>
      </c>
      <c r="C4379" t="s">
        <v>9102</v>
      </c>
      <c r="D4379" t="s">
        <v>967</v>
      </c>
      <c r="E4379">
        <v>51689440</v>
      </c>
      <c r="F4379">
        <v>41060535</v>
      </c>
      <c r="G4379">
        <v>44395942</v>
      </c>
      <c r="P4379">
        <v>35</v>
      </c>
      <c r="Q4379" t="s">
        <v>9103</v>
      </c>
    </row>
    <row r="4380" spans="1:17" x14ac:dyDescent="0.3">
      <c r="A4380" t="s">
        <v>75</v>
      </c>
      <c r="B4380" t="str">
        <f>"002656"</f>
        <v>002656</v>
      </c>
      <c r="C4380" t="s">
        <v>9104</v>
      </c>
      <c r="D4380" t="s">
        <v>814</v>
      </c>
      <c r="E4380">
        <v>51514287</v>
      </c>
      <c r="F4380">
        <v>109954881</v>
      </c>
      <c r="G4380">
        <v>180019828</v>
      </c>
      <c r="H4380">
        <v>376429776</v>
      </c>
      <c r="I4380">
        <v>314428142</v>
      </c>
      <c r="J4380">
        <v>324873224</v>
      </c>
      <c r="K4380">
        <v>220329794</v>
      </c>
      <c r="L4380">
        <v>226272821</v>
      </c>
      <c r="M4380">
        <v>289315784</v>
      </c>
      <c r="N4380">
        <v>201193928</v>
      </c>
      <c r="O4380">
        <v>137373072</v>
      </c>
      <c r="P4380">
        <v>62</v>
      </c>
      <c r="Q4380" t="s">
        <v>9105</v>
      </c>
    </row>
    <row r="4381" spans="1:17" x14ac:dyDescent="0.3">
      <c r="A4381" t="s">
        <v>17</v>
      </c>
      <c r="B4381" t="str">
        <f>"603390"</f>
        <v>603390</v>
      </c>
      <c r="C4381" t="s">
        <v>9106</v>
      </c>
      <c r="D4381" t="s">
        <v>433</v>
      </c>
      <c r="E4381">
        <v>51501156</v>
      </c>
      <c r="F4381">
        <v>104055915</v>
      </c>
      <c r="G4381">
        <v>74392635</v>
      </c>
      <c r="H4381">
        <v>156150523</v>
      </c>
      <c r="I4381">
        <v>109020160</v>
      </c>
      <c r="P4381">
        <v>89</v>
      </c>
      <c r="Q4381" t="s">
        <v>9107</v>
      </c>
    </row>
    <row r="4382" spans="1:17" x14ac:dyDescent="0.3">
      <c r="A4382" t="s">
        <v>75</v>
      </c>
      <c r="B4382" t="str">
        <f>"002076"</f>
        <v>002076</v>
      </c>
      <c r="C4382" t="s">
        <v>9108</v>
      </c>
      <c r="D4382" t="s">
        <v>2044</v>
      </c>
      <c r="E4382">
        <v>51308528</v>
      </c>
      <c r="F4382">
        <v>47610249</v>
      </c>
      <c r="G4382">
        <v>61990192</v>
      </c>
      <c r="H4382">
        <v>97974864</v>
      </c>
      <c r="I4382">
        <v>128293983</v>
      </c>
      <c r="J4382">
        <v>188836105</v>
      </c>
      <c r="K4382">
        <v>171800863</v>
      </c>
      <c r="L4382">
        <v>146531276</v>
      </c>
      <c r="M4382">
        <v>100654885</v>
      </c>
      <c r="N4382">
        <v>95136184</v>
      </c>
      <c r="O4382">
        <v>98887805</v>
      </c>
      <c r="P4382">
        <v>100</v>
      </c>
      <c r="Q4382" t="s">
        <v>9109</v>
      </c>
    </row>
    <row r="4383" spans="1:17" x14ac:dyDescent="0.3">
      <c r="A4383" t="s">
        <v>75</v>
      </c>
      <c r="B4383" t="str">
        <f>"002366"</f>
        <v>002366</v>
      </c>
      <c r="C4383" t="s">
        <v>9110</v>
      </c>
      <c r="D4383" t="s">
        <v>2692</v>
      </c>
      <c r="E4383">
        <v>50751420</v>
      </c>
      <c r="F4383">
        <v>93424989</v>
      </c>
      <c r="G4383">
        <v>63446834</v>
      </c>
      <c r="H4383">
        <v>131102342</v>
      </c>
      <c r="I4383">
        <v>222774614</v>
      </c>
      <c r="J4383">
        <v>199480094</v>
      </c>
      <c r="K4383">
        <v>191963237</v>
      </c>
      <c r="L4383">
        <v>109444273</v>
      </c>
      <c r="M4383">
        <v>144124447</v>
      </c>
      <c r="N4383">
        <v>150900276</v>
      </c>
      <c r="O4383">
        <v>151890297</v>
      </c>
      <c r="P4383">
        <v>175</v>
      </c>
      <c r="Q4383" t="s">
        <v>9111</v>
      </c>
    </row>
    <row r="4384" spans="1:17" x14ac:dyDescent="0.3">
      <c r="A4384" t="s">
        <v>75</v>
      </c>
      <c r="B4384" t="str">
        <f>"300961"</f>
        <v>300961</v>
      </c>
      <c r="C4384" t="s">
        <v>9112</v>
      </c>
      <c r="D4384" t="s">
        <v>1107</v>
      </c>
      <c r="E4384">
        <v>50587838</v>
      </c>
      <c r="F4384">
        <v>63900519</v>
      </c>
      <c r="G4384">
        <v>34674669</v>
      </c>
      <c r="P4384">
        <v>27</v>
      </c>
      <c r="Q4384" t="s">
        <v>9113</v>
      </c>
    </row>
    <row r="4385" spans="1:17" x14ac:dyDescent="0.3">
      <c r="A4385" t="s">
        <v>75</v>
      </c>
      <c r="B4385" t="str">
        <f>"301159"</f>
        <v>301159</v>
      </c>
      <c r="C4385" t="s">
        <v>9114</v>
      </c>
      <c r="D4385" t="s">
        <v>116</v>
      </c>
      <c r="E4385">
        <v>50415098</v>
      </c>
      <c r="G4385">
        <v>27000620</v>
      </c>
      <c r="P4385">
        <v>10</v>
      </c>
      <c r="Q4385" t="s">
        <v>9115</v>
      </c>
    </row>
    <row r="4386" spans="1:17" x14ac:dyDescent="0.3">
      <c r="A4386" t="s">
        <v>75</v>
      </c>
      <c r="B4386" t="str">
        <f>"002933"</f>
        <v>002933</v>
      </c>
      <c r="C4386" t="s">
        <v>9116</v>
      </c>
      <c r="D4386" t="s">
        <v>1551</v>
      </c>
      <c r="E4386">
        <v>50397218</v>
      </c>
      <c r="F4386">
        <v>30968037</v>
      </c>
      <c r="G4386">
        <v>29614465</v>
      </c>
      <c r="H4386">
        <v>66603924</v>
      </c>
      <c r="I4386">
        <v>44193857</v>
      </c>
      <c r="P4386">
        <v>314</v>
      </c>
      <c r="Q4386" t="s">
        <v>9117</v>
      </c>
    </row>
    <row r="4387" spans="1:17" x14ac:dyDescent="0.3">
      <c r="A4387" t="s">
        <v>17</v>
      </c>
      <c r="B4387" t="str">
        <f>"688636"</f>
        <v>688636</v>
      </c>
      <c r="C4387" t="s">
        <v>9118</v>
      </c>
      <c r="D4387" t="s">
        <v>1572</v>
      </c>
      <c r="E4387">
        <v>50385220</v>
      </c>
      <c r="F4387">
        <v>22229653</v>
      </c>
      <c r="G4387">
        <v>13993509</v>
      </c>
      <c r="P4387">
        <v>32</v>
      </c>
      <c r="Q4387" t="s">
        <v>9119</v>
      </c>
    </row>
    <row r="4388" spans="1:17" x14ac:dyDescent="0.3">
      <c r="A4388" t="s">
        <v>17</v>
      </c>
      <c r="B4388" t="str">
        <f>"603580"</f>
        <v>603580</v>
      </c>
      <c r="C4388" t="s">
        <v>9120</v>
      </c>
      <c r="D4388" t="s">
        <v>3251</v>
      </c>
      <c r="E4388">
        <v>50324494</v>
      </c>
      <c r="F4388">
        <v>50072255</v>
      </c>
      <c r="G4388">
        <v>44776326</v>
      </c>
      <c r="H4388">
        <v>35225495</v>
      </c>
      <c r="I4388">
        <v>35603822</v>
      </c>
      <c r="J4388">
        <v>36904550</v>
      </c>
      <c r="K4388">
        <v>0</v>
      </c>
      <c r="P4388">
        <v>57</v>
      </c>
      <c r="Q4388" t="s">
        <v>9121</v>
      </c>
    </row>
    <row r="4389" spans="1:17" x14ac:dyDescent="0.3">
      <c r="A4389" t="s">
        <v>75</v>
      </c>
      <c r="B4389" t="str">
        <f>"300302"</f>
        <v>300302</v>
      </c>
      <c r="C4389" t="s">
        <v>9122</v>
      </c>
      <c r="D4389" t="s">
        <v>508</v>
      </c>
      <c r="E4389">
        <v>50306130</v>
      </c>
      <c r="F4389">
        <v>112837560</v>
      </c>
      <c r="G4389">
        <v>58884926</v>
      </c>
      <c r="H4389">
        <v>104423502</v>
      </c>
      <c r="I4389">
        <v>112312354</v>
      </c>
      <c r="J4389">
        <v>50420353</v>
      </c>
      <c r="K4389">
        <v>63593681</v>
      </c>
      <c r="L4389">
        <v>62637783</v>
      </c>
      <c r="M4389">
        <v>44155081</v>
      </c>
      <c r="N4389">
        <v>29172534</v>
      </c>
      <c r="O4389">
        <v>27254113</v>
      </c>
      <c r="P4389">
        <v>146</v>
      </c>
      <c r="Q4389" t="s">
        <v>9123</v>
      </c>
    </row>
    <row r="4390" spans="1:17" x14ac:dyDescent="0.3">
      <c r="A4390" t="s">
        <v>17</v>
      </c>
      <c r="B4390" t="str">
        <f>"688215"</f>
        <v>688215</v>
      </c>
      <c r="C4390" t="s">
        <v>9124</v>
      </c>
      <c r="D4390" t="s">
        <v>2910</v>
      </c>
      <c r="E4390">
        <v>50253762</v>
      </c>
      <c r="F4390">
        <v>42894332</v>
      </c>
      <c r="G4390">
        <v>0</v>
      </c>
      <c r="H4390">
        <v>0</v>
      </c>
      <c r="P4390">
        <v>62</v>
      </c>
      <c r="Q4390" t="s">
        <v>9125</v>
      </c>
    </row>
    <row r="4391" spans="1:17" x14ac:dyDescent="0.3">
      <c r="A4391" t="s">
        <v>75</v>
      </c>
      <c r="B4391" t="str">
        <f>"002033"</f>
        <v>002033</v>
      </c>
      <c r="C4391" t="s">
        <v>9126</v>
      </c>
      <c r="D4391" t="s">
        <v>7744</v>
      </c>
      <c r="E4391">
        <v>50006029</v>
      </c>
      <c r="F4391">
        <v>79656487</v>
      </c>
      <c r="G4391">
        <v>60080300</v>
      </c>
      <c r="H4391">
        <v>138935775</v>
      </c>
      <c r="I4391">
        <v>152319822</v>
      </c>
      <c r="J4391">
        <v>157729763</v>
      </c>
      <c r="K4391">
        <v>164292767</v>
      </c>
      <c r="L4391">
        <v>140728004</v>
      </c>
      <c r="M4391">
        <v>152834065</v>
      </c>
      <c r="N4391">
        <v>111259228</v>
      </c>
      <c r="O4391">
        <v>108084103</v>
      </c>
      <c r="P4391">
        <v>278</v>
      </c>
      <c r="Q4391" t="s">
        <v>9127</v>
      </c>
    </row>
    <row r="4392" spans="1:17" x14ac:dyDescent="0.3">
      <c r="A4392" t="s">
        <v>75</v>
      </c>
      <c r="B4392" t="str">
        <f>"301049"</f>
        <v>301049</v>
      </c>
      <c r="C4392" t="s">
        <v>9128</v>
      </c>
      <c r="D4392" t="s">
        <v>1187</v>
      </c>
      <c r="E4392">
        <v>49978483</v>
      </c>
      <c r="P4392">
        <v>26</v>
      </c>
      <c r="Q4392" t="s">
        <v>9129</v>
      </c>
    </row>
    <row r="4393" spans="1:17" x14ac:dyDescent="0.3">
      <c r="A4393" t="s">
        <v>75</v>
      </c>
      <c r="B4393" t="str">
        <f>"002089"</f>
        <v>002089</v>
      </c>
      <c r="C4393" t="s">
        <v>9130</v>
      </c>
      <c r="D4393" t="s">
        <v>169</v>
      </c>
      <c r="E4393">
        <v>49964835</v>
      </c>
      <c r="F4393">
        <v>9266245</v>
      </c>
      <c r="G4393">
        <v>6309266</v>
      </c>
      <c r="H4393">
        <v>175074286</v>
      </c>
      <c r="I4393">
        <v>179006934</v>
      </c>
      <c r="J4393">
        <v>257220559</v>
      </c>
      <c r="K4393">
        <v>232537930</v>
      </c>
      <c r="L4393">
        <v>336736626</v>
      </c>
      <c r="M4393">
        <v>232388541</v>
      </c>
      <c r="N4393">
        <v>293675152</v>
      </c>
      <c r="O4393">
        <v>204715996</v>
      </c>
      <c r="P4393">
        <v>175</v>
      </c>
      <c r="Q4393" t="s">
        <v>9131</v>
      </c>
    </row>
    <row r="4394" spans="1:17" x14ac:dyDescent="0.3">
      <c r="A4394" t="s">
        <v>17</v>
      </c>
      <c r="B4394" t="str">
        <f>"688733"</f>
        <v>688733</v>
      </c>
      <c r="C4394" t="s">
        <v>9132</v>
      </c>
      <c r="D4394" t="s">
        <v>834</v>
      </c>
      <c r="E4394">
        <v>49817178</v>
      </c>
      <c r="F4394">
        <v>12558436</v>
      </c>
      <c r="P4394">
        <v>47</v>
      </c>
      <c r="Q4394" t="s">
        <v>9133</v>
      </c>
    </row>
    <row r="4395" spans="1:17" x14ac:dyDescent="0.3">
      <c r="A4395" t="s">
        <v>17</v>
      </c>
      <c r="B4395" t="str">
        <f>"688217"</f>
        <v>688217</v>
      </c>
      <c r="C4395" t="s">
        <v>9134</v>
      </c>
      <c r="D4395" t="s">
        <v>967</v>
      </c>
      <c r="E4395">
        <v>49583349</v>
      </c>
      <c r="F4395">
        <v>69994921</v>
      </c>
      <c r="G4395">
        <v>49710080</v>
      </c>
      <c r="P4395">
        <v>31</v>
      </c>
      <c r="Q4395" t="s">
        <v>9135</v>
      </c>
    </row>
    <row r="4396" spans="1:17" x14ac:dyDescent="0.3">
      <c r="A4396" t="s">
        <v>75</v>
      </c>
      <c r="B4396" t="str">
        <f>"002633"</f>
        <v>002633</v>
      </c>
      <c r="C4396" t="s">
        <v>9136</v>
      </c>
      <c r="D4396" t="s">
        <v>153</v>
      </c>
      <c r="E4396">
        <v>49549807</v>
      </c>
      <c r="F4396">
        <v>41350541</v>
      </c>
      <c r="G4396">
        <v>30912196</v>
      </c>
      <c r="H4396">
        <v>43901320</v>
      </c>
      <c r="I4396">
        <v>42752468</v>
      </c>
      <c r="J4396">
        <v>44005857</v>
      </c>
      <c r="K4396">
        <v>44804152</v>
      </c>
      <c r="L4396">
        <v>73480822</v>
      </c>
      <c r="M4396">
        <v>71493549</v>
      </c>
      <c r="N4396">
        <v>73568701</v>
      </c>
      <c r="O4396">
        <v>47606728</v>
      </c>
      <c r="P4396">
        <v>44</v>
      </c>
      <c r="Q4396" t="s">
        <v>9137</v>
      </c>
    </row>
    <row r="4397" spans="1:17" x14ac:dyDescent="0.3">
      <c r="A4397" t="s">
        <v>75</v>
      </c>
      <c r="B4397" t="str">
        <f>"300795"</f>
        <v>300795</v>
      </c>
      <c r="C4397" t="s">
        <v>9138</v>
      </c>
      <c r="D4397" t="s">
        <v>2570</v>
      </c>
      <c r="E4397">
        <v>49472761</v>
      </c>
      <c r="F4397">
        <v>24244999</v>
      </c>
      <c r="G4397">
        <v>32615067</v>
      </c>
      <c r="H4397">
        <v>56259180</v>
      </c>
      <c r="P4397">
        <v>109</v>
      </c>
      <c r="Q4397" t="s">
        <v>9139</v>
      </c>
    </row>
    <row r="4398" spans="1:17" x14ac:dyDescent="0.3">
      <c r="A4398" t="s">
        <v>75</v>
      </c>
      <c r="B4398" t="str">
        <f>"300550"</f>
        <v>300550</v>
      </c>
      <c r="C4398" t="s">
        <v>9140</v>
      </c>
      <c r="D4398" t="s">
        <v>116</v>
      </c>
      <c r="E4398">
        <v>48923916</v>
      </c>
      <c r="F4398">
        <v>74393191</v>
      </c>
      <c r="G4398">
        <v>32159296</v>
      </c>
      <c r="H4398">
        <v>90488926</v>
      </c>
      <c r="I4398">
        <v>30185393</v>
      </c>
      <c r="J4398">
        <v>23440594</v>
      </c>
      <c r="K4398">
        <v>14939831</v>
      </c>
      <c r="P4398">
        <v>123</v>
      </c>
      <c r="Q4398" t="s">
        <v>9141</v>
      </c>
    </row>
    <row r="4399" spans="1:17" x14ac:dyDescent="0.3">
      <c r="A4399" t="s">
        <v>17</v>
      </c>
      <c r="B4399" t="str">
        <f>"688318"</f>
        <v>688318</v>
      </c>
      <c r="C4399" t="s">
        <v>9142</v>
      </c>
      <c r="D4399" t="s">
        <v>116</v>
      </c>
      <c r="E4399">
        <v>48802069</v>
      </c>
      <c r="F4399">
        <v>59983127</v>
      </c>
      <c r="G4399">
        <v>29832368</v>
      </c>
      <c r="H4399">
        <v>34240940</v>
      </c>
      <c r="P4399">
        <v>155</v>
      </c>
      <c r="Q4399" t="s">
        <v>9143</v>
      </c>
    </row>
    <row r="4400" spans="1:17" x14ac:dyDescent="0.3">
      <c r="A4400" t="s">
        <v>17</v>
      </c>
      <c r="B4400" t="str">
        <f>"600520"</f>
        <v>600520</v>
      </c>
      <c r="C4400" t="s">
        <v>9144</v>
      </c>
      <c r="D4400" t="s">
        <v>1624</v>
      </c>
      <c r="E4400">
        <v>48794962</v>
      </c>
      <c r="F4400">
        <v>46991949</v>
      </c>
      <c r="G4400">
        <v>44402733</v>
      </c>
      <c r="H4400">
        <v>39657339</v>
      </c>
      <c r="I4400">
        <v>40193413</v>
      </c>
      <c r="J4400">
        <v>38929306</v>
      </c>
      <c r="K4400">
        <v>32769193</v>
      </c>
      <c r="L4400">
        <v>31936259</v>
      </c>
      <c r="M4400">
        <v>54747722</v>
      </c>
      <c r="N4400">
        <v>50654900</v>
      </c>
      <c r="O4400">
        <v>42765442</v>
      </c>
      <c r="P4400">
        <v>73</v>
      </c>
      <c r="Q4400" t="s">
        <v>9145</v>
      </c>
    </row>
    <row r="4401" spans="1:17" x14ac:dyDescent="0.3">
      <c r="A4401" t="s">
        <v>75</v>
      </c>
      <c r="B4401" t="str">
        <f>"300941"</f>
        <v>300941</v>
      </c>
      <c r="C4401" t="s">
        <v>9146</v>
      </c>
      <c r="D4401" t="s">
        <v>508</v>
      </c>
      <c r="E4401">
        <v>48647893</v>
      </c>
      <c r="F4401">
        <v>47421993</v>
      </c>
      <c r="G4401">
        <v>63010582</v>
      </c>
      <c r="H4401">
        <v>102976217</v>
      </c>
      <c r="I4401">
        <v>42273199</v>
      </c>
      <c r="P4401">
        <v>69</v>
      </c>
      <c r="Q4401" t="s">
        <v>9147</v>
      </c>
    </row>
    <row r="4402" spans="1:17" x14ac:dyDescent="0.3">
      <c r="A4402" t="s">
        <v>75</v>
      </c>
      <c r="B4402" t="str">
        <f>"002188"</f>
        <v>002188</v>
      </c>
      <c r="C4402" t="s">
        <v>9148</v>
      </c>
      <c r="D4402" t="s">
        <v>622</v>
      </c>
      <c r="E4402">
        <v>48531578</v>
      </c>
      <c r="F4402">
        <v>5803020</v>
      </c>
      <c r="G4402">
        <v>612652</v>
      </c>
      <c r="H4402">
        <v>30972024</v>
      </c>
      <c r="I4402">
        <v>43915939</v>
      </c>
      <c r="J4402">
        <v>193715908</v>
      </c>
      <c r="K4402">
        <v>62201179</v>
      </c>
      <c r="L4402">
        <v>27379505</v>
      </c>
      <c r="M4402">
        <v>30153368</v>
      </c>
      <c r="N4402">
        <v>41044141</v>
      </c>
      <c r="O4402">
        <v>93510905</v>
      </c>
      <c r="P4402">
        <v>69</v>
      </c>
      <c r="Q4402" t="s">
        <v>9149</v>
      </c>
    </row>
    <row r="4403" spans="1:17" x14ac:dyDescent="0.3">
      <c r="A4403" t="s">
        <v>75</v>
      </c>
      <c r="B4403" t="str">
        <f>"301073"</f>
        <v>301073</v>
      </c>
      <c r="C4403" t="s">
        <v>9150</v>
      </c>
      <c r="D4403" t="s">
        <v>1769</v>
      </c>
      <c r="E4403">
        <v>48405934</v>
      </c>
      <c r="P4403">
        <v>22</v>
      </c>
      <c r="Q4403" t="s">
        <v>9151</v>
      </c>
    </row>
    <row r="4404" spans="1:17" x14ac:dyDescent="0.3">
      <c r="A4404" t="s">
        <v>75</v>
      </c>
      <c r="B4404" t="str">
        <f>"300051"</f>
        <v>300051</v>
      </c>
      <c r="C4404" t="s">
        <v>9152</v>
      </c>
      <c r="D4404" t="s">
        <v>1165</v>
      </c>
      <c r="E4404">
        <v>48208321</v>
      </c>
      <c r="F4404">
        <v>52837103</v>
      </c>
      <c r="G4404">
        <v>51450207</v>
      </c>
      <c r="H4404">
        <v>74097740</v>
      </c>
      <c r="I4404">
        <v>74692617</v>
      </c>
      <c r="J4404">
        <v>66118941</v>
      </c>
      <c r="K4404">
        <v>81431833</v>
      </c>
      <c r="L4404">
        <v>55036814</v>
      </c>
      <c r="M4404">
        <v>76301223</v>
      </c>
      <c r="N4404">
        <v>46977233</v>
      </c>
      <c r="O4404">
        <v>62301013</v>
      </c>
      <c r="P4404">
        <v>104</v>
      </c>
      <c r="Q4404" t="s">
        <v>9153</v>
      </c>
    </row>
    <row r="4405" spans="1:17" x14ac:dyDescent="0.3">
      <c r="A4405" t="s">
        <v>75</v>
      </c>
      <c r="B4405" t="str">
        <f>"002813"</f>
        <v>002813</v>
      </c>
      <c r="C4405" t="s">
        <v>9154</v>
      </c>
      <c r="D4405" t="s">
        <v>433</v>
      </c>
      <c r="E4405">
        <v>48168473</v>
      </c>
      <c r="F4405">
        <v>60102498</v>
      </c>
      <c r="G4405">
        <v>176561623</v>
      </c>
      <c r="H4405">
        <v>178027455</v>
      </c>
      <c r="I4405">
        <v>112119837</v>
      </c>
      <c r="J4405">
        <v>136963939</v>
      </c>
      <c r="K4405">
        <v>110410826</v>
      </c>
      <c r="P4405">
        <v>113</v>
      </c>
      <c r="Q4405" t="s">
        <v>9155</v>
      </c>
    </row>
    <row r="4406" spans="1:17" x14ac:dyDescent="0.3">
      <c r="A4406" t="s">
        <v>75</v>
      </c>
      <c r="B4406" t="str">
        <f>"002501"</f>
        <v>002501</v>
      </c>
      <c r="C4406" t="s">
        <v>9156</v>
      </c>
      <c r="D4406" t="s">
        <v>96</v>
      </c>
      <c r="E4406">
        <v>48079092</v>
      </c>
      <c r="F4406">
        <v>9084841</v>
      </c>
      <c r="G4406">
        <v>16908435</v>
      </c>
      <c r="H4406">
        <v>58850023</v>
      </c>
      <c r="I4406">
        <v>453120797</v>
      </c>
      <c r="J4406">
        <v>730471751</v>
      </c>
      <c r="K4406">
        <v>577033609</v>
      </c>
      <c r="L4406">
        <v>519501629</v>
      </c>
      <c r="M4406">
        <v>435537025</v>
      </c>
      <c r="N4406">
        <v>489234910</v>
      </c>
      <c r="O4406">
        <v>326522982</v>
      </c>
      <c r="P4406">
        <v>107</v>
      </c>
      <c r="Q4406" t="s">
        <v>9157</v>
      </c>
    </row>
    <row r="4407" spans="1:17" x14ac:dyDescent="0.3">
      <c r="A4407" t="s">
        <v>75</v>
      </c>
      <c r="B4407" t="str">
        <f>"300521"</f>
        <v>300521</v>
      </c>
      <c r="C4407" t="s">
        <v>9158</v>
      </c>
      <c r="D4407" t="s">
        <v>3158</v>
      </c>
      <c r="E4407">
        <v>48029532</v>
      </c>
      <c r="F4407">
        <v>43538308</v>
      </c>
      <c r="G4407">
        <v>32222838</v>
      </c>
      <c r="H4407">
        <v>40606540</v>
      </c>
      <c r="I4407">
        <v>47123440</v>
      </c>
      <c r="J4407">
        <v>46377849</v>
      </c>
      <c r="K4407">
        <v>42067303</v>
      </c>
      <c r="L4407">
        <v>39601523</v>
      </c>
      <c r="P4407">
        <v>57</v>
      </c>
      <c r="Q4407" t="s">
        <v>9159</v>
      </c>
    </row>
    <row r="4408" spans="1:17" x14ac:dyDescent="0.3">
      <c r="A4408" t="s">
        <v>75</v>
      </c>
      <c r="B4408" t="str">
        <f>"002093"</f>
        <v>002093</v>
      </c>
      <c r="C4408" t="s">
        <v>9160</v>
      </c>
      <c r="D4408" t="s">
        <v>1647</v>
      </c>
      <c r="E4408">
        <v>47796627</v>
      </c>
      <c r="F4408">
        <v>61150823</v>
      </c>
      <c r="G4408">
        <v>-29150641</v>
      </c>
      <c r="H4408">
        <v>119617405</v>
      </c>
      <c r="I4408">
        <v>257961707</v>
      </c>
      <c r="J4408">
        <v>295548880</v>
      </c>
      <c r="K4408">
        <v>228965145</v>
      </c>
      <c r="L4408">
        <v>100855315</v>
      </c>
      <c r="M4408">
        <v>65891859</v>
      </c>
      <c r="N4408">
        <v>51630274</v>
      </c>
      <c r="O4408">
        <v>191964272</v>
      </c>
      <c r="P4408">
        <v>288</v>
      </c>
      <c r="Q4408" t="s">
        <v>9161</v>
      </c>
    </row>
    <row r="4409" spans="1:17" x14ac:dyDescent="0.3">
      <c r="A4409" t="s">
        <v>75</v>
      </c>
      <c r="B4409" t="str">
        <f>"002552"</f>
        <v>002552</v>
      </c>
      <c r="C4409" t="s">
        <v>9162</v>
      </c>
      <c r="D4409" t="s">
        <v>153</v>
      </c>
      <c r="E4409">
        <v>47771679</v>
      </c>
      <c r="F4409">
        <v>64941193</v>
      </c>
      <c r="G4409">
        <v>31881706</v>
      </c>
      <c r="H4409">
        <v>35503301</v>
      </c>
      <c r="I4409">
        <v>38687548</v>
      </c>
      <c r="J4409">
        <v>28550975</v>
      </c>
      <c r="K4409">
        <v>61366039</v>
      </c>
      <c r="L4409">
        <v>41333589</v>
      </c>
      <c r="M4409">
        <v>20979665</v>
      </c>
      <c r="N4409">
        <v>44795056</v>
      </c>
      <c r="O4409">
        <v>80012685</v>
      </c>
      <c r="P4409">
        <v>83</v>
      </c>
      <c r="Q4409" t="s">
        <v>9163</v>
      </c>
    </row>
    <row r="4410" spans="1:17" x14ac:dyDescent="0.3">
      <c r="A4410" t="s">
        <v>75</v>
      </c>
      <c r="B4410" t="str">
        <f>"300720"</f>
        <v>300720</v>
      </c>
      <c r="C4410" t="s">
        <v>9164</v>
      </c>
      <c r="D4410" t="s">
        <v>2549</v>
      </c>
      <c r="E4410">
        <v>47749675</v>
      </c>
      <c r="F4410">
        <v>52635976</v>
      </c>
      <c r="G4410">
        <v>42125727</v>
      </c>
      <c r="H4410">
        <v>36261572</v>
      </c>
      <c r="I4410">
        <v>37914190</v>
      </c>
      <c r="J4410">
        <v>37083180</v>
      </c>
      <c r="P4410">
        <v>70</v>
      </c>
      <c r="Q4410" t="s">
        <v>9165</v>
      </c>
    </row>
    <row r="4411" spans="1:17" x14ac:dyDescent="0.3">
      <c r="A4411" t="s">
        <v>17</v>
      </c>
      <c r="B4411" t="str">
        <f>"688265"</f>
        <v>688265</v>
      </c>
      <c r="C4411" t="s">
        <v>9166</v>
      </c>
      <c r="D4411" t="s">
        <v>716</v>
      </c>
      <c r="E4411">
        <v>47734614</v>
      </c>
      <c r="P4411">
        <v>17</v>
      </c>
      <c r="Q4411" t="s">
        <v>9167</v>
      </c>
    </row>
    <row r="4412" spans="1:17" x14ac:dyDescent="0.3">
      <c r="A4412" t="s">
        <v>17</v>
      </c>
      <c r="B4412" t="str">
        <f>"600345"</f>
        <v>600345</v>
      </c>
      <c r="C4412" t="s">
        <v>9168</v>
      </c>
      <c r="D4412" t="s">
        <v>4225</v>
      </c>
      <c r="E4412">
        <v>47484569</v>
      </c>
      <c r="F4412">
        <v>11212294</v>
      </c>
      <c r="G4412">
        <v>4946867</v>
      </c>
      <c r="H4412">
        <v>23266475</v>
      </c>
      <c r="I4412">
        <v>41778195</v>
      </c>
      <c r="J4412">
        <v>45159797</v>
      </c>
      <c r="K4412">
        <v>56596748</v>
      </c>
      <c r="L4412">
        <v>123494579</v>
      </c>
      <c r="M4412">
        <v>221609846</v>
      </c>
      <c r="N4412">
        <v>186822953</v>
      </c>
      <c r="O4412">
        <v>255001186</v>
      </c>
      <c r="P4412">
        <v>208</v>
      </c>
      <c r="Q4412" t="s">
        <v>9169</v>
      </c>
    </row>
    <row r="4413" spans="1:17" x14ac:dyDescent="0.3">
      <c r="A4413" t="s">
        <v>75</v>
      </c>
      <c r="B4413" t="str">
        <f>"300553"</f>
        <v>300553</v>
      </c>
      <c r="C4413" t="s">
        <v>9170</v>
      </c>
      <c r="D4413" t="s">
        <v>2549</v>
      </c>
      <c r="E4413">
        <v>47157356</v>
      </c>
      <c r="F4413">
        <v>43897376</v>
      </c>
      <c r="G4413">
        <v>19854360</v>
      </c>
      <c r="H4413">
        <v>34382624</v>
      </c>
      <c r="I4413">
        <v>24736816</v>
      </c>
      <c r="J4413">
        <v>21262409</v>
      </c>
      <c r="K4413">
        <v>18254181</v>
      </c>
      <c r="P4413">
        <v>72</v>
      </c>
      <c r="Q4413" t="s">
        <v>9171</v>
      </c>
    </row>
    <row r="4414" spans="1:17" x14ac:dyDescent="0.3">
      <c r="A4414" t="s">
        <v>75</v>
      </c>
      <c r="B4414" t="str">
        <f>"301228"</f>
        <v>301228</v>
      </c>
      <c r="C4414" t="s">
        <v>9172</v>
      </c>
      <c r="E4414">
        <v>46913268</v>
      </c>
      <c r="G4414">
        <v>30707385</v>
      </c>
      <c r="P4414">
        <v>11</v>
      </c>
      <c r="Q4414" t="s">
        <v>9173</v>
      </c>
    </row>
    <row r="4415" spans="1:17" x14ac:dyDescent="0.3">
      <c r="A4415" t="s">
        <v>75</v>
      </c>
      <c r="B4415" t="str">
        <f>"301237"</f>
        <v>301237</v>
      </c>
      <c r="C4415" t="s">
        <v>9174</v>
      </c>
      <c r="E4415">
        <v>46808326</v>
      </c>
      <c r="P4415">
        <v>6</v>
      </c>
      <c r="Q4415" t="s">
        <v>9175</v>
      </c>
    </row>
    <row r="4416" spans="1:17" x14ac:dyDescent="0.3">
      <c r="A4416" t="s">
        <v>75</v>
      </c>
      <c r="B4416" t="str">
        <f>"301162"</f>
        <v>301162</v>
      </c>
      <c r="C4416" t="s">
        <v>9176</v>
      </c>
      <c r="E4416">
        <v>46237482</v>
      </c>
      <c r="P4416">
        <v>2</v>
      </c>
      <c r="Q4416" t="s">
        <v>9177</v>
      </c>
    </row>
    <row r="4417" spans="1:17" x14ac:dyDescent="0.3">
      <c r="A4417" t="s">
        <v>75</v>
      </c>
      <c r="B4417" t="str">
        <f>"300297"</f>
        <v>300297</v>
      </c>
      <c r="C4417" t="s">
        <v>9178</v>
      </c>
      <c r="D4417" t="s">
        <v>224</v>
      </c>
      <c r="E4417">
        <v>46200366</v>
      </c>
      <c r="F4417">
        <v>39637351</v>
      </c>
      <c r="G4417">
        <v>211306120</v>
      </c>
      <c r="H4417">
        <v>797526029</v>
      </c>
      <c r="I4417">
        <v>1008424471</v>
      </c>
      <c r="J4417">
        <v>1035480147</v>
      </c>
      <c r="K4417">
        <v>215127171</v>
      </c>
      <c r="L4417">
        <v>71549504</v>
      </c>
      <c r="M4417">
        <v>68213938</v>
      </c>
      <c r="N4417">
        <v>49636516</v>
      </c>
      <c r="O4417">
        <v>50295943</v>
      </c>
      <c r="P4417">
        <v>342</v>
      </c>
      <c r="Q4417" t="s">
        <v>9179</v>
      </c>
    </row>
    <row r="4418" spans="1:17" x14ac:dyDescent="0.3">
      <c r="A4418" t="s">
        <v>75</v>
      </c>
      <c r="B4418" t="str">
        <f>"002729"</f>
        <v>002729</v>
      </c>
      <c r="C4418" t="s">
        <v>9180</v>
      </c>
      <c r="D4418" t="s">
        <v>221</v>
      </c>
      <c r="E4418">
        <v>46115286</v>
      </c>
      <c r="F4418">
        <v>35093861</v>
      </c>
      <c r="G4418">
        <v>38880084</v>
      </c>
      <c r="H4418">
        <v>42479913</v>
      </c>
      <c r="I4418">
        <v>32799236</v>
      </c>
      <c r="J4418">
        <v>30120465</v>
      </c>
      <c r="K4418">
        <v>28761048</v>
      </c>
      <c r="L4418">
        <v>34200028</v>
      </c>
      <c r="M4418">
        <v>44902068</v>
      </c>
      <c r="P4418">
        <v>71</v>
      </c>
      <c r="Q4418" t="s">
        <v>9181</v>
      </c>
    </row>
    <row r="4419" spans="1:17" x14ac:dyDescent="0.3">
      <c r="A4419" t="s">
        <v>75</v>
      </c>
      <c r="B4419" t="str">
        <f>"000565"</f>
        <v>000565</v>
      </c>
      <c r="C4419" t="s">
        <v>9182</v>
      </c>
      <c r="D4419" t="s">
        <v>4853</v>
      </c>
      <c r="E4419">
        <v>45739638</v>
      </c>
      <c r="F4419">
        <v>57646278</v>
      </c>
      <c r="G4419">
        <v>32817023</v>
      </c>
      <c r="H4419">
        <v>48369134</v>
      </c>
      <c r="I4419">
        <v>98467636</v>
      </c>
      <c r="J4419">
        <v>957506312</v>
      </c>
      <c r="K4419">
        <v>519755779</v>
      </c>
      <c r="L4419">
        <v>59328426</v>
      </c>
      <c r="M4419">
        <v>86028670</v>
      </c>
      <c r="N4419">
        <v>52700297</v>
      </c>
      <c r="O4419">
        <v>56657442</v>
      </c>
      <c r="P4419">
        <v>79</v>
      </c>
      <c r="Q4419" t="s">
        <v>9183</v>
      </c>
    </row>
    <row r="4420" spans="1:17" x14ac:dyDescent="0.3">
      <c r="A4420" t="s">
        <v>75</v>
      </c>
      <c r="B4420" t="str">
        <f>"002199"</f>
        <v>002199</v>
      </c>
      <c r="C4420" t="s">
        <v>9184</v>
      </c>
      <c r="D4420" t="s">
        <v>2109</v>
      </c>
      <c r="E4420">
        <v>45459521</v>
      </c>
      <c r="F4420">
        <v>51146373</v>
      </c>
      <c r="G4420">
        <v>44884409</v>
      </c>
      <c r="H4420">
        <v>27358790</v>
      </c>
      <c r="I4420">
        <v>35306895</v>
      </c>
      <c r="J4420">
        <v>36243415</v>
      </c>
      <c r="K4420">
        <v>29752192</v>
      </c>
      <c r="L4420">
        <v>61879080</v>
      </c>
      <c r="M4420">
        <v>43029324</v>
      </c>
      <c r="N4420">
        <v>62526541</v>
      </c>
      <c r="O4420">
        <v>51751567</v>
      </c>
      <c r="P4420">
        <v>111</v>
      </c>
      <c r="Q4420" t="s">
        <v>9185</v>
      </c>
    </row>
    <row r="4421" spans="1:17" x14ac:dyDescent="0.3">
      <c r="A4421" t="s">
        <v>17</v>
      </c>
      <c r="B4421" t="str">
        <f>"688305"</f>
        <v>688305</v>
      </c>
      <c r="C4421" t="s">
        <v>9186</v>
      </c>
      <c r="D4421" t="s">
        <v>3360</v>
      </c>
      <c r="E4421">
        <v>45126074</v>
      </c>
      <c r="F4421">
        <v>52678796</v>
      </c>
      <c r="G4421">
        <v>16300389</v>
      </c>
      <c r="P4421">
        <v>79</v>
      </c>
      <c r="Q4421" t="s">
        <v>9187</v>
      </c>
    </row>
    <row r="4422" spans="1:17" x14ac:dyDescent="0.3">
      <c r="A4422" t="s">
        <v>75</v>
      </c>
      <c r="B4422" t="str">
        <f>"000595"</f>
        <v>000595</v>
      </c>
      <c r="C4422" t="s">
        <v>9188</v>
      </c>
      <c r="D4422" t="s">
        <v>153</v>
      </c>
      <c r="E4422">
        <v>44823157</v>
      </c>
      <c r="F4422">
        <v>41870407</v>
      </c>
      <c r="G4422">
        <v>60793836</v>
      </c>
      <c r="H4422">
        <v>97203449</v>
      </c>
      <c r="I4422">
        <v>124946956</v>
      </c>
      <c r="J4422">
        <v>135766437</v>
      </c>
      <c r="K4422">
        <v>31850634</v>
      </c>
      <c r="L4422">
        <v>62795254</v>
      </c>
      <c r="M4422">
        <v>50764154</v>
      </c>
      <c r="N4422">
        <v>73813086</v>
      </c>
      <c r="O4422">
        <v>97836670</v>
      </c>
      <c r="P4422">
        <v>98</v>
      </c>
      <c r="Q4422" t="s">
        <v>9189</v>
      </c>
    </row>
    <row r="4423" spans="1:17" x14ac:dyDescent="0.3">
      <c r="A4423" t="s">
        <v>75</v>
      </c>
      <c r="B4423" t="str">
        <f>"301158"</f>
        <v>301158</v>
      </c>
      <c r="C4423" t="s">
        <v>9190</v>
      </c>
      <c r="D4423" t="s">
        <v>786</v>
      </c>
      <c r="E4423">
        <v>44814418</v>
      </c>
      <c r="P4423">
        <v>12</v>
      </c>
      <c r="Q4423" t="s">
        <v>9191</v>
      </c>
    </row>
    <row r="4424" spans="1:17" x14ac:dyDescent="0.3">
      <c r="A4424" t="s">
        <v>17</v>
      </c>
      <c r="B4424" t="str">
        <f>"603383"</f>
        <v>603383</v>
      </c>
      <c r="C4424" t="s">
        <v>9192</v>
      </c>
      <c r="D4424" t="s">
        <v>116</v>
      </c>
      <c r="E4424">
        <v>44118295</v>
      </c>
      <c r="F4424">
        <v>52150787</v>
      </c>
      <c r="G4424">
        <v>20702619</v>
      </c>
      <c r="H4424">
        <v>18730987</v>
      </c>
      <c r="I4424">
        <v>23834535</v>
      </c>
      <c r="J4424">
        <v>32428558</v>
      </c>
      <c r="K4424">
        <v>0</v>
      </c>
      <c r="P4424">
        <v>190</v>
      </c>
      <c r="Q4424" t="s">
        <v>9193</v>
      </c>
    </row>
    <row r="4425" spans="1:17" x14ac:dyDescent="0.3">
      <c r="A4425" t="s">
        <v>17</v>
      </c>
      <c r="B4425" t="str">
        <f>"603718"</f>
        <v>603718</v>
      </c>
      <c r="C4425" t="s">
        <v>9194</v>
      </c>
      <c r="D4425" t="s">
        <v>3609</v>
      </c>
      <c r="E4425">
        <v>44085140</v>
      </c>
      <c r="F4425">
        <v>70180599</v>
      </c>
      <c r="G4425">
        <v>52885391</v>
      </c>
      <c r="H4425">
        <v>66359239</v>
      </c>
      <c r="I4425">
        <v>40681806</v>
      </c>
      <c r="J4425">
        <v>56623447</v>
      </c>
      <c r="K4425">
        <v>60729796</v>
      </c>
      <c r="L4425">
        <v>62481045</v>
      </c>
      <c r="M4425">
        <v>75480752</v>
      </c>
      <c r="P4425">
        <v>166</v>
      </c>
      <c r="Q4425" t="s">
        <v>9195</v>
      </c>
    </row>
    <row r="4426" spans="1:17" x14ac:dyDescent="0.3">
      <c r="A4426" t="s">
        <v>75</v>
      </c>
      <c r="B4426" t="str">
        <f>"300330"</f>
        <v>300330</v>
      </c>
      <c r="C4426" t="s">
        <v>9196</v>
      </c>
      <c r="D4426" t="s">
        <v>508</v>
      </c>
      <c r="E4426">
        <v>44077510</v>
      </c>
      <c r="F4426">
        <v>47961554</v>
      </c>
      <c r="G4426">
        <v>44364454</v>
      </c>
      <c r="H4426">
        <v>43292958</v>
      </c>
      <c r="I4426">
        <v>22825099</v>
      </c>
      <c r="J4426">
        <v>28849909</v>
      </c>
      <c r="K4426">
        <v>33170535</v>
      </c>
      <c r="L4426">
        <v>67288082</v>
      </c>
      <c r="M4426">
        <v>42280231</v>
      </c>
      <c r="N4426">
        <v>31470922</v>
      </c>
      <c r="O4426">
        <v>35291005</v>
      </c>
      <c r="P4426">
        <v>82</v>
      </c>
      <c r="Q4426" t="s">
        <v>9197</v>
      </c>
    </row>
    <row r="4427" spans="1:17" x14ac:dyDescent="0.3">
      <c r="A4427" t="s">
        <v>17</v>
      </c>
      <c r="B4427" t="str">
        <f>"688682"</f>
        <v>688682</v>
      </c>
      <c r="C4427" t="s">
        <v>9198</v>
      </c>
      <c r="D4427" t="s">
        <v>1572</v>
      </c>
      <c r="E4427">
        <v>44035759</v>
      </c>
      <c r="F4427">
        <v>25594578</v>
      </c>
      <c r="G4427">
        <v>28773251</v>
      </c>
      <c r="P4427">
        <v>33</v>
      </c>
      <c r="Q4427" t="s">
        <v>9199</v>
      </c>
    </row>
    <row r="4428" spans="1:17" x14ac:dyDescent="0.3">
      <c r="A4428" t="s">
        <v>75</v>
      </c>
      <c r="B4428" t="str">
        <f>"300345"</f>
        <v>300345</v>
      </c>
      <c r="C4428" t="s">
        <v>9200</v>
      </c>
      <c r="D4428" t="s">
        <v>3587</v>
      </c>
      <c r="E4428">
        <v>43791386</v>
      </c>
      <c r="F4428">
        <v>24199500</v>
      </c>
      <c r="G4428">
        <v>40325717</v>
      </c>
      <c r="H4428">
        <v>38802733</v>
      </c>
      <c r="I4428">
        <v>28939604</v>
      </c>
      <c r="J4428">
        <v>72321379</v>
      </c>
      <c r="K4428">
        <v>26787654</v>
      </c>
      <c r="L4428">
        <v>40466950</v>
      </c>
      <c r="M4428">
        <v>48453144</v>
      </c>
      <c r="N4428">
        <v>29395116</v>
      </c>
      <c r="O4428">
        <v>35399458</v>
      </c>
      <c r="P4428">
        <v>53</v>
      </c>
      <c r="Q4428" t="s">
        <v>9201</v>
      </c>
    </row>
    <row r="4429" spans="1:17" x14ac:dyDescent="0.3">
      <c r="A4429" t="s">
        <v>75</v>
      </c>
      <c r="B4429" t="str">
        <f>"300472"</f>
        <v>300472</v>
      </c>
      <c r="C4429" t="s">
        <v>9202</v>
      </c>
      <c r="D4429" t="s">
        <v>1624</v>
      </c>
      <c r="E4429">
        <v>43750903</v>
      </c>
      <c r="F4429">
        <v>90064812</v>
      </c>
      <c r="G4429">
        <v>72100806</v>
      </c>
      <c r="H4429">
        <v>100400559</v>
      </c>
      <c r="I4429">
        <v>107026441</v>
      </c>
      <c r="J4429">
        <v>54564253</v>
      </c>
      <c r="K4429">
        <v>18401414</v>
      </c>
      <c r="L4429">
        <v>26011588</v>
      </c>
      <c r="M4429">
        <v>29531499</v>
      </c>
      <c r="P4429">
        <v>78</v>
      </c>
      <c r="Q4429" t="s">
        <v>9203</v>
      </c>
    </row>
    <row r="4430" spans="1:17" x14ac:dyDescent="0.3">
      <c r="A4430" t="s">
        <v>75</v>
      </c>
      <c r="B4430" t="str">
        <f>"301033"</f>
        <v>301033</v>
      </c>
      <c r="C4430" t="s">
        <v>9204</v>
      </c>
      <c r="D4430" t="s">
        <v>1538</v>
      </c>
      <c r="E4430">
        <v>43670716</v>
      </c>
      <c r="F4430">
        <v>35885685</v>
      </c>
      <c r="G4430">
        <v>21955858</v>
      </c>
      <c r="P4430">
        <v>31</v>
      </c>
      <c r="Q4430" t="s">
        <v>9205</v>
      </c>
    </row>
    <row r="4431" spans="1:17" x14ac:dyDescent="0.3">
      <c r="A4431" t="s">
        <v>75</v>
      </c>
      <c r="B4431" t="str">
        <f>"300554"</f>
        <v>300554</v>
      </c>
      <c r="C4431" t="s">
        <v>9206</v>
      </c>
      <c r="D4431" t="s">
        <v>3587</v>
      </c>
      <c r="E4431">
        <v>43380148</v>
      </c>
      <c r="F4431">
        <v>87483287</v>
      </c>
      <c r="G4431">
        <v>80440947</v>
      </c>
      <c r="H4431">
        <v>79112147</v>
      </c>
      <c r="I4431">
        <v>124494942</v>
      </c>
      <c r="J4431">
        <v>49705393</v>
      </c>
      <c r="K4431">
        <v>28413773</v>
      </c>
      <c r="P4431">
        <v>123</v>
      </c>
      <c r="Q4431" t="s">
        <v>9207</v>
      </c>
    </row>
    <row r="4432" spans="1:17" x14ac:dyDescent="0.3">
      <c r="A4432" t="s">
        <v>75</v>
      </c>
      <c r="B4432" t="str">
        <f>"301053"</f>
        <v>301053</v>
      </c>
      <c r="C4432" t="s">
        <v>9208</v>
      </c>
      <c r="D4432" t="s">
        <v>2265</v>
      </c>
      <c r="E4432">
        <v>43125829</v>
      </c>
      <c r="P4432">
        <v>24</v>
      </c>
      <c r="Q4432" t="s">
        <v>9209</v>
      </c>
    </row>
    <row r="4433" spans="1:17" x14ac:dyDescent="0.3">
      <c r="A4433" t="s">
        <v>75</v>
      </c>
      <c r="B4433" t="str">
        <f>"300354"</f>
        <v>300354</v>
      </c>
      <c r="C4433" t="s">
        <v>9210</v>
      </c>
      <c r="D4433" t="s">
        <v>2549</v>
      </c>
      <c r="E4433">
        <v>43123180</v>
      </c>
      <c r="F4433">
        <v>40203047</v>
      </c>
      <c r="G4433">
        <v>16747015</v>
      </c>
      <c r="H4433">
        <v>32158007</v>
      </c>
      <c r="I4433">
        <v>22775650</v>
      </c>
      <c r="J4433">
        <v>27399603</v>
      </c>
      <c r="K4433">
        <v>23609228</v>
      </c>
      <c r="L4433">
        <v>22088706</v>
      </c>
      <c r="M4433">
        <v>16483856</v>
      </c>
      <c r="N4433">
        <v>24143821</v>
      </c>
      <c r="O4433">
        <v>17096294</v>
      </c>
      <c r="P4433">
        <v>139</v>
      </c>
      <c r="Q4433" t="s">
        <v>9211</v>
      </c>
    </row>
    <row r="4434" spans="1:17" x14ac:dyDescent="0.3">
      <c r="A4434" t="s">
        <v>17</v>
      </c>
      <c r="B4434" t="str">
        <f>"600615"</f>
        <v>600615</v>
      </c>
      <c r="C4434" t="s">
        <v>9212</v>
      </c>
      <c r="D4434" t="s">
        <v>364</v>
      </c>
      <c r="E4434">
        <v>43085139</v>
      </c>
      <c r="F4434">
        <v>7048795</v>
      </c>
      <c r="G4434">
        <v>7298570</v>
      </c>
      <c r="H4434">
        <v>15993054</v>
      </c>
      <c r="I4434">
        <v>18105026</v>
      </c>
      <c r="J4434">
        <v>15962500</v>
      </c>
      <c r="K4434">
        <v>11040769</v>
      </c>
      <c r="L4434">
        <v>10955202</v>
      </c>
      <c r="M4434">
        <v>16270306</v>
      </c>
      <c r="N4434">
        <v>100775</v>
      </c>
      <c r="O4434">
        <v>8857547</v>
      </c>
      <c r="P4434">
        <v>66</v>
      </c>
      <c r="Q4434" t="s">
        <v>9213</v>
      </c>
    </row>
    <row r="4435" spans="1:17" x14ac:dyDescent="0.3">
      <c r="A4435" t="s">
        <v>75</v>
      </c>
      <c r="B4435" t="str">
        <f>"301070"</f>
        <v>301070</v>
      </c>
      <c r="C4435" t="s">
        <v>9214</v>
      </c>
      <c r="D4435" t="s">
        <v>1424</v>
      </c>
      <c r="E4435">
        <v>43043162</v>
      </c>
      <c r="P4435">
        <v>19</v>
      </c>
      <c r="Q4435" t="s">
        <v>9215</v>
      </c>
    </row>
    <row r="4436" spans="1:17" x14ac:dyDescent="0.3">
      <c r="A4436" t="s">
        <v>17</v>
      </c>
      <c r="B4436" t="str">
        <f>"600751"</f>
        <v>600751</v>
      </c>
      <c r="C4436" t="s">
        <v>9216</v>
      </c>
      <c r="D4436" t="s">
        <v>221</v>
      </c>
      <c r="E4436">
        <v>42949000</v>
      </c>
      <c r="F4436">
        <v>88803836000</v>
      </c>
      <c r="G4436">
        <v>82026140000</v>
      </c>
      <c r="H4436">
        <v>85254540000</v>
      </c>
      <c r="I4436">
        <v>80672096000</v>
      </c>
      <c r="J4436">
        <v>78233590000</v>
      </c>
      <c r="K4436">
        <v>103895334</v>
      </c>
      <c r="L4436">
        <v>64262915</v>
      </c>
      <c r="M4436">
        <v>86689982</v>
      </c>
      <c r="N4436">
        <v>37500449</v>
      </c>
      <c r="O4436">
        <v>26157655</v>
      </c>
      <c r="P4436">
        <v>226</v>
      </c>
      <c r="Q4436" t="s">
        <v>9217</v>
      </c>
    </row>
    <row r="4437" spans="1:17" x14ac:dyDescent="0.3">
      <c r="A4437" t="s">
        <v>75</v>
      </c>
      <c r="B4437" t="str">
        <f>"300336"</f>
        <v>300336</v>
      </c>
      <c r="C4437" t="s">
        <v>9218</v>
      </c>
      <c r="D4437" t="s">
        <v>1245</v>
      </c>
      <c r="E4437">
        <v>42909342</v>
      </c>
      <c r="F4437">
        <v>62772516</v>
      </c>
      <c r="G4437">
        <v>127128042</v>
      </c>
      <c r="H4437">
        <v>126920858</v>
      </c>
      <c r="I4437">
        <v>183732353</v>
      </c>
      <c r="J4437">
        <v>196317150</v>
      </c>
      <c r="K4437">
        <v>248926032</v>
      </c>
      <c r="L4437">
        <v>65857217</v>
      </c>
      <c r="M4437">
        <v>83271841</v>
      </c>
      <c r="N4437">
        <v>89102557</v>
      </c>
      <c r="O4437">
        <v>20695716</v>
      </c>
      <c r="P4437">
        <v>98</v>
      </c>
      <c r="Q4437" t="s">
        <v>9219</v>
      </c>
    </row>
    <row r="4438" spans="1:17" x14ac:dyDescent="0.3">
      <c r="A4438" t="s">
        <v>17</v>
      </c>
      <c r="B4438" t="str">
        <f>"603157"</f>
        <v>603157</v>
      </c>
      <c r="C4438" t="s">
        <v>9220</v>
      </c>
      <c r="D4438" t="s">
        <v>814</v>
      </c>
      <c r="E4438">
        <v>42802000</v>
      </c>
      <c r="F4438">
        <v>114993000</v>
      </c>
      <c r="G4438">
        <v>720226000</v>
      </c>
      <c r="H4438">
        <v>2915762000</v>
      </c>
      <c r="I4438">
        <v>3252825000</v>
      </c>
      <c r="J4438">
        <v>2972415000</v>
      </c>
      <c r="P4438">
        <v>88</v>
      </c>
      <c r="Q4438" t="s">
        <v>9221</v>
      </c>
    </row>
    <row r="4439" spans="1:17" x14ac:dyDescent="0.3">
      <c r="A4439" t="s">
        <v>17</v>
      </c>
      <c r="B4439" t="str">
        <f>"600212"</f>
        <v>600212</v>
      </c>
      <c r="C4439" t="s">
        <v>9222</v>
      </c>
      <c r="D4439" t="s">
        <v>1284</v>
      </c>
      <c r="E4439">
        <v>42772104</v>
      </c>
      <c r="F4439">
        <v>36032769</v>
      </c>
      <c r="G4439">
        <v>35882811</v>
      </c>
      <c r="H4439">
        <v>33749997</v>
      </c>
      <c r="I4439">
        <v>25255809</v>
      </c>
      <c r="J4439">
        <v>30986179</v>
      </c>
      <c r="K4439">
        <v>26988008</v>
      </c>
      <c r="L4439">
        <v>160277906</v>
      </c>
      <c r="M4439">
        <v>131126196</v>
      </c>
      <c r="N4439">
        <v>174187816</v>
      </c>
      <c r="O4439">
        <v>204298456</v>
      </c>
      <c r="P4439">
        <v>56</v>
      </c>
      <c r="Q4439" t="s">
        <v>9223</v>
      </c>
    </row>
    <row r="4440" spans="1:17" x14ac:dyDescent="0.3">
      <c r="A4440" t="s">
        <v>17</v>
      </c>
      <c r="B4440" t="str">
        <f>"688238"</f>
        <v>688238</v>
      </c>
      <c r="C4440" t="s">
        <v>9224</v>
      </c>
      <c r="E4440">
        <v>42564986</v>
      </c>
      <c r="P4440">
        <v>7</v>
      </c>
      <c r="Q4440" t="s">
        <v>9225</v>
      </c>
    </row>
    <row r="4441" spans="1:17" x14ac:dyDescent="0.3">
      <c r="A4441" t="s">
        <v>17</v>
      </c>
      <c r="B4441" t="str">
        <f>"688038"</f>
        <v>688038</v>
      </c>
      <c r="C4441" t="s">
        <v>9226</v>
      </c>
      <c r="D4441" t="s">
        <v>116</v>
      </c>
      <c r="E4441">
        <v>42383068</v>
      </c>
      <c r="F4441">
        <v>84232173</v>
      </c>
      <c r="G4441">
        <v>51820774</v>
      </c>
      <c r="P4441">
        <v>17</v>
      </c>
      <c r="Q4441" t="s">
        <v>9227</v>
      </c>
    </row>
    <row r="4442" spans="1:17" x14ac:dyDescent="0.3">
      <c r="A4442" t="s">
        <v>75</v>
      </c>
      <c r="B4442" t="str">
        <f>"000004"</f>
        <v>000004</v>
      </c>
      <c r="C4442" t="s">
        <v>9228</v>
      </c>
      <c r="D4442" t="s">
        <v>989</v>
      </c>
      <c r="E4442">
        <v>42346731</v>
      </c>
      <c r="F4442">
        <v>23075713</v>
      </c>
      <c r="G4442">
        <v>33569499</v>
      </c>
      <c r="H4442">
        <v>98705921</v>
      </c>
      <c r="I4442">
        <v>79869756</v>
      </c>
      <c r="J4442">
        <v>15756252</v>
      </c>
      <c r="K4442">
        <v>40527505</v>
      </c>
      <c r="L4442">
        <v>36635906</v>
      </c>
      <c r="M4442">
        <v>16170664</v>
      </c>
      <c r="N4442">
        <v>17487360</v>
      </c>
      <c r="O4442">
        <v>14234081</v>
      </c>
      <c r="P4442">
        <v>187</v>
      </c>
      <c r="Q4442" t="s">
        <v>9229</v>
      </c>
    </row>
    <row r="4443" spans="1:17" x14ac:dyDescent="0.3">
      <c r="A4443" t="s">
        <v>75</v>
      </c>
      <c r="B4443" t="str">
        <f>"300594"</f>
        <v>300594</v>
      </c>
      <c r="C4443" t="s">
        <v>9230</v>
      </c>
      <c r="D4443" t="s">
        <v>156</v>
      </c>
      <c r="E4443">
        <v>42239683</v>
      </c>
      <c r="F4443">
        <v>55524592</v>
      </c>
      <c r="G4443">
        <v>38937770</v>
      </c>
      <c r="H4443">
        <v>41733424</v>
      </c>
      <c r="I4443">
        <v>67587035</v>
      </c>
      <c r="P4443">
        <v>72</v>
      </c>
      <c r="Q4443" t="s">
        <v>9231</v>
      </c>
    </row>
    <row r="4444" spans="1:17" x14ac:dyDescent="0.3">
      <c r="A4444" t="s">
        <v>75</v>
      </c>
      <c r="B4444" t="str">
        <f>"002898"</f>
        <v>002898</v>
      </c>
      <c r="C4444" t="s">
        <v>9232</v>
      </c>
      <c r="D4444" t="s">
        <v>543</v>
      </c>
      <c r="E4444">
        <v>42188506</v>
      </c>
      <c r="F4444">
        <v>56238499</v>
      </c>
      <c r="G4444">
        <v>39735843</v>
      </c>
      <c r="H4444">
        <v>62438172</v>
      </c>
      <c r="I4444">
        <v>63249104</v>
      </c>
      <c r="J4444">
        <v>65440621</v>
      </c>
      <c r="P4444">
        <v>90</v>
      </c>
      <c r="Q4444" t="s">
        <v>9233</v>
      </c>
    </row>
    <row r="4445" spans="1:17" x14ac:dyDescent="0.3">
      <c r="A4445" t="s">
        <v>75</v>
      </c>
      <c r="B4445" t="str">
        <f>"002569"</f>
        <v>002569</v>
      </c>
      <c r="C4445" t="s">
        <v>9234</v>
      </c>
      <c r="D4445" t="s">
        <v>814</v>
      </c>
      <c r="E4445">
        <v>41999451</v>
      </c>
      <c r="F4445">
        <v>53415495</v>
      </c>
      <c r="G4445">
        <v>46099338</v>
      </c>
      <c r="H4445">
        <v>85121304</v>
      </c>
      <c r="I4445">
        <v>91801722</v>
      </c>
      <c r="J4445">
        <v>70692207</v>
      </c>
      <c r="K4445">
        <v>66831338</v>
      </c>
      <c r="L4445">
        <v>108658599</v>
      </c>
      <c r="M4445">
        <v>94139406</v>
      </c>
      <c r="N4445">
        <v>101690554</v>
      </c>
      <c r="O4445">
        <v>93611622</v>
      </c>
      <c r="P4445">
        <v>59</v>
      </c>
      <c r="Q4445" t="s">
        <v>9235</v>
      </c>
    </row>
    <row r="4446" spans="1:17" x14ac:dyDescent="0.3">
      <c r="A4446" t="s">
        <v>75</v>
      </c>
      <c r="B4446" t="str">
        <f>"300202"</f>
        <v>300202</v>
      </c>
      <c r="C4446" t="s">
        <v>9236</v>
      </c>
      <c r="D4446" t="s">
        <v>508</v>
      </c>
      <c r="E4446">
        <v>41954287</v>
      </c>
      <c r="F4446">
        <v>57240163</v>
      </c>
      <c r="G4446">
        <v>48551684</v>
      </c>
      <c r="H4446">
        <v>64018731</v>
      </c>
      <c r="I4446">
        <v>120975631</v>
      </c>
      <c r="J4446">
        <v>70277470</v>
      </c>
      <c r="K4446">
        <v>98397958</v>
      </c>
      <c r="L4446">
        <v>163538790</v>
      </c>
      <c r="M4446">
        <v>85826662</v>
      </c>
      <c r="N4446">
        <v>89916920</v>
      </c>
      <c r="O4446">
        <v>24497221</v>
      </c>
      <c r="P4446">
        <v>2978</v>
      </c>
      <c r="Q4446" t="s">
        <v>9237</v>
      </c>
    </row>
    <row r="4447" spans="1:17" x14ac:dyDescent="0.3">
      <c r="A4447" t="s">
        <v>75</v>
      </c>
      <c r="B4447" t="str">
        <f>"300923"</f>
        <v>300923</v>
      </c>
      <c r="C4447" t="s">
        <v>9238</v>
      </c>
      <c r="D4447" t="s">
        <v>156</v>
      </c>
      <c r="E4447">
        <v>41946406</v>
      </c>
      <c r="F4447">
        <v>35548894</v>
      </c>
      <c r="G4447">
        <v>42201211</v>
      </c>
      <c r="P4447">
        <v>28</v>
      </c>
      <c r="Q4447" t="s">
        <v>9239</v>
      </c>
    </row>
    <row r="4448" spans="1:17" x14ac:dyDescent="0.3">
      <c r="A4448" t="s">
        <v>17</v>
      </c>
      <c r="B4448" t="str">
        <f>"688528"</f>
        <v>688528</v>
      </c>
      <c r="C4448" t="s">
        <v>9240</v>
      </c>
      <c r="D4448" t="s">
        <v>2549</v>
      </c>
      <c r="E4448">
        <v>41900607</v>
      </c>
      <c r="F4448">
        <v>46742297</v>
      </c>
      <c r="G4448">
        <v>28700239</v>
      </c>
      <c r="H4448">
        <v>27331702</v>
      </c>
      <c r="P4448">
        <v>42</v>
      </c>
      <c r="Q4448" t="s">
        <v>9241</v>
      </c>
    </row>
    <row r="4449" spans="1:17" x14ac:dyDescent="0.3">
      <c r="A4449" t="s">
        <v>75</v>
      </c>
      <c r="B4449" t="str">
        <f>"002836"</f>
        <v>002836</v>
      </c>
      <c r="C4449" t="s">
        <v>9242</v>
      </c>
      <c r="D4449" t="s">
        <v>1176</v>
      </c>
      <c r="E4449">
        <v>41831234</v>
      </c>
      <c r="F4449">
        <v>39865580</v>
      </c>
      <c r="G4449">
        <v>63522044</v>
      </c>
      <c r="H4449">
        <v>116083676</v>
      </c>
      <c r="I4449">
        <v>74382808</v>
      </c>
      <c r="J4449">
        <v>56904822</v>
      </c>
      <c r="K4449">
        <v>71088346</v>
      </c>
      <c r="P4449">
        <v>63</v>
      </c>
      <c r="Q4449" t="s">
        <v>9243</v>
      </c>
    </row>
    <row r="4450" spans="1:17" x14ac:dyDescent="0.3">
      <c r="A4450" t="s">
        <v>17</v>
      </c>
      <c r="B4450" t="str">
        <f>"603655"</f>
        <v>603655</v>
      </c>
      <c r="C4450" t="s">
        <v>9244</v>
      </c>
      <c r="D4450" t="s">
        <v>1321</v>
      </c>
      <c r="E4450">
        <v>41803616</v>
      </c>
      <c r="F4450">
        <v>42962607</v>
      </c>
      <c r="G4450">
        <v>29263013</v>
      </c>
      <c r="H4450">
        <v>39199980</v>
      </c>
      <c r="I4450">
        <v>40782856</v>
      </c>
      <c r="J4450">
        <v>35745833</v>
      </c>
      <c r="P4450">
        <v>88</v>
      </c>
      <c r="Q4450" t="s">
        <v>9245</v>
      </c>
    </row>
    <row r="4451" spans="1:17" x14ac:dyDescent="0.3">
      <c r="A4451" t="s">
        <v>75</v>
      </c>
      <c r="B4451" t="str">
        <f>"000585"</f>
        <v>000585</v>
      </c>
      <c r="C4451" t="s">
        <v>9246</v>
      </c>
      <c r="D4451" t="s">
        <v>347</v>
      </c>
      <c r="E4451">
        <v>41708435</v>
      </c>
      <c r="F4451">
        <v>15008279</v>
      </c>
      <c r="G4451">
        <v>15613257</v>
      </c>
      <c r="H4451">
        <v>9708132</v>
      </c>
      <c r="I4451">
        <v>7715913</v>
      </c>
      <c r="J4451">
        <v>15096149</v>
      </c>
      <c r="K4451">
        <v>15503321</v>
      </c>
      <c r="L4451">
        <v>24621376</v>
      </c>
      <c r="M4451">
        <v>23830269</v>
      </c>
      <c r="N4451">
        <v>39904833</v>
      </c>
      <c r="O4451">
        <v>64777987</v>
      </c>
      <c r="P4451">
        <v>73</v>
      </c>
      <c r="Q4451" t="s">
        <v>9247</v>
      </c>
    </row>
    <row r="4452" spans="1:17" x14ac:dyDescent="0.3">
      <c r="A4452" t="s">
        <v>17</v>
      </c>
      <c r="B4452" t="str">
        <f>"688011"</f>
        <v>688011</v>
      </c>
      <c r="C4452" t="s">
        <v>9248</v>
      </c>
      <c r="D4452" t="s">
        <v>1572</v>
      </c>
      <c r="E4452">
        <v>41680396</v>
      </c>
      <c r="F4452">
        <v>19683236</v>
      </c>
      <c r="G4452">
        <v>33669516</v>
      </c>
      <c r="H4452">
        <v>38191050</v>
      </c>
      <c r="I4452">
        <v>56608174</v>
      </c>
      <c r="P4452">
        <v>88</v>
      </c>
      <c r="Q4452" t="s">
        <v>9249</v>
      </c>
    </row>
    <row r="4453" spans="1:17" x14ac:dyDescent="0.3">
      <c r="A4453" t="s">
        <v>75</v>
      </c>
      <c r="B4453" t="str">
        <f>"002625"</f>
        <v>002625</v>
      </c>
      <c r="C4453" t="s">
        <v>9250</v>
      </c>
      <c r="D4453" t="s">
        <v>1551</v>
      </c>
      <c r="E4453">
        <v>41584210</v>
      </c>
      <c r="F4453">
        <v>93530830</v>
      </c>
      <c r="G4453">
        <v>68380281</v>
      </c>
      <c r="H4453">
        <v>96188600</v>
      </c>
      <c r="I4453">
        <v>155971911</v>
      </c>
      <c r="J4453">
        <v>122771801</v>
      </c>
      <c r="K4453">
        <v>100411276</v>
      </c>
      <c r="L4453">
        <v>126099626</v>
      </c>
      <c r="M4453">
        <v>88014098</v>
      </c>
      <c r="N4453">
        <v>67714935</v>
      </c>
      <c r="O4453">
        <v>56527137</v>
      </c>
      <c r="P4453">
        <v>259</v>
      </c>
      <c r="Q4453" t="s">
        <v>9251</v>
      </c>
    </row>
    <row r="4454" spans="1:17" x14ac:dyDescent="0.3">
      <c r="A4454" t="s">
        <v>75</v>
      </c>
      <c r="B4454" t="str">
        <f>"002370"</f>
        <v>002370</v>
      </c>
      <c r="C4454" t="s">
        <v>9252</v>
      </c>
      <c r="D4454" t="s">
        <v>543</v>
      </c>
      <c r="E4454">
        <v>41563346</v>
      </c>
      <c r="F4454">
        <v>81369041</v>
      </c>
      <c r="G4454">
        <v>86129796</v>
      </c>
      <c r="H4454">
        <v>234650582</v>
      </c>
      <c r="I4454">
        <v>263447970</v>
      </c>
      <c r="J4454">
        <v>232498876</v>
      </c>
      <c r="K4454">
        <v>173023257</v>
      </c>
      <c r="L4454">
        <v>43461390</v>
      </c>
      <c r="M4454">
        <v>47796147</v>
      </c>
      <c r="N4454">
        <v>35910416</v>
      </c>
      <c r="O4454">
        <v>46984795</v>
      </c>
      <c r="P4454">
        <v>201</v>
      </c>
      <c r="Q4454" t="s">
        <v>9253</v>
      </c>
    </row>
    <row r="4455" spans="1:17" x14ac:dyDescent="0.3">
      <c r="A4455" t="s">
        <v>17</v>
      </c>
      <c r="B4455" t="str">
        <f>"600768"</f>
        <v>600768</v>
      </c>
      <c r="C4455" t="s">
        <v>9254</v>
      </c>
      <c r="D4455" t="s">
        <v>96</v>
      </c>
      <c r="E4455">
        <v>41440295</v>
      </c>
      <c r="F4455">
        <v>75986370</v>
      </c>
      <c r="G4455">
        <v>55981750</v>
      </c>
      <c r="H4455">
        <v>164592865</v>
      </c>
      <c r="I4455">
        <v>183312587</v>
      </c>
      <c r="J4455">
        <v>207713307</v>
      </c>
      <c r="K4455">
        <v>162178966</v>
      </c>
      <c r="L4455">
        <v>196274081</v>
      </c>
      <c r="M4455">
        <v>197095596</v>
      </c>
      <c r="N4455">
        <v>189827667</v>
      </c>
      <c r="O4455">
        <v>256373951</v>
      </c>
      <c r="P4455">
        <v>88</v>
      </c>
      <c r="Q4455" t="s">
        <v>9255</v>
      </c>
    </row>
    <row r="4456" spans="1:17" x14ac:dyDescent="0.3">
      <c r="A4456" t="s">
        <v>17</v>
      </c>
      <c r="B4456" t="str">
        <f>"688685"</f>
        <v>688685</v>
      </c>
      <c r="C4456" t="s">
        <v>9256</v>
      </c>
      <c r="D4456" t="s">
        <v>1551</v>
      </c>
      <c r="E4456">
        <v>41095604</v>
      </c>
      <c r="F4456">
        <v>41178711</v>
      </c>
      <c r="G4456">
        <v>26499857</v>
      </c>
      <c r="P4456">
        <v>21</v>
      </c>
      <c r="Q4456" t="s">
        <v>9257</v>
      </c>
    </row>
    <row r="4457" spans="1:17" x14ac:dyDescent="0.3">
      <c r="A4457" t="s">
        <v>17</v>
      </c>
      <c r="B4457" t="str">
        <f>"603963"</f>
        <v>603963</v>
      </c>
      <c r="C4457" t="s">
        <v>9258</v>
      </c>
      <c r="D4457" t="s">
        <v>321</v>
      </c>
      <c r="E4457">
        <v>41070778</v>
      </c>
      <c r="F4457">
        <v>52425098</v>
      </c>
      <c r="G4457">
        <v>49142619</v>
      </c>
      <c r="H4457">
        <v>96154542</v>
      </c>
      <c r="I4457">
        <v>105273694</v>
      </c>
      <c r="J4457">
        <v>67425172</v>
      </c>
      <c r="P4457">
        <v>109</v>
      </c>
      <c r="Q4457" t="s">
        <v>9259</v>
      </c>
    </row>
    <row r="4458" spans="1:17" x14ac:dyDescent="0.3">
      <c r="A4458" t="s">
        <v>75</v>
      </c>
      <c r="B4458" t="str">
        <f>"000611"</f>
        <v>000611</v>
      </c>
      <c r="C4458" t="s">
        <v>9260</v>
      </c>
      <c r="D4458" t="s">
        <v>71</v>
      </c>
      <c r="E4458">
        <v>40647857</v>
      </c>
      <c r="F4458">
        <v>49060794</v>
      </c>
      <c r="G4458">
        <v>7291744</v>
      </c>
      <c r="H4458">
        <v>0</v>
      </c>
      <c r="I4458">
        <v>10862862</v>
      </c>
      <c r="J4458">
        <v>22714969</v>
      </c>
      <c r="K4458">
        <v>6751817</v>
      </c>
      <c r="L4458">
        <v>12133185</v>
      </c>
      <c r="M4458">
        <v>16936344</v>
      </c>
      <c r="N4458">
        <v>94657899</v>
      </c>
      <c r="O4458">
        <v>34669449</v>
      </c>
      <c r="P4458">
        <v>68</v>
      </c>
      <c r="Q4458" t="s">
        <v>9261</v>
      </c>
    </row>
    <row r="4459" spans="1:17" x14ac:dyDescent="0.3">
      <c r="A4459" t="s">
        <v>75</v>
      </c>
      <c r="B4459" t="str">
        <f>"300935"</f>
        <v>300935</v>
      </c>
      <c r="C4459" t="s">
        <v>9262</v>
      </c>
      <c r="D4459" t="s">
        <v>116</v>
      </c>
      <c r="E4459">
        <v>40490479</v>
      </c>
      <c r="F4459">
        <v>19074918</v>
      </c>
      <c r="G4459">
        <v>17414936</v>
      </c>
      <c r="P4459">
        <v>55</v>
      </c>
      <c r="Q4459" t="s">
        <v>9263</v>
      </c>
    </row>
    <row r="4460" spans="1:17" x14ac:dyDescent="0.3">
      <c r="A4460" t="s">
        <v>75</v>
      </c>
      <c r="B4460" t="str">
        <f>"300139"</f>
        <v>300139</v>
      </c>
      <c r="C4460" t="s">
        <v>9264</v>
      </c>
      <c r="D4460" t="s">
        <v>3126</v>
      </c>
      <c r="E4460">
        <v>40481408</v>
      </c>
      <c r="F4460">
        <v>36684353</v>
      </c>
      <c r="G4460">
        <v>48803854</v>
      </c>
      <c r="H4460">
        <v>15462350</v>
      </c>
      <c r="I4460">
        <v>43139564</v>
      </c>
      <c r="J4460">
        <v>46551284</v>
      </c>
      <c r="K4460">
        <v>58638134</v>
      </c>
      <c r="L4460">
        <v>53095336</v>
      </c>
      <c r="M4460">
        <v>52077262</v>
      </c>
      <c r="N4460">
        <v>63146089</v>
      </c>
      <c r="O4460">
        <v>88013671</v>
      </c>
      <c r="P4460">
        <v>147</v>
      </c>
      <c r="Q4460" t="s">
        <v>9265</v>
      </c>
    </row>
    <row r="4461" spans="1:17" x14ac:dyDescent="0.3">
      <c r="A4461" t="s">
        <v>75</v>
      </c>
      <c r="B4461" t="str">
        <f>"002200"</f>
        <v>002200</v>
      </c>
      <c r="C4461" t="s">
        <v>9266</v>
      </c>
      <c r="D4461" t="s">
        <v>1523</v>
      </c>
      <c r="E4461">
        <v>40394098</v>
      </c>
      <c r="F4461">
        <v>191334288</v>
      </c>
      <c r="G4461">
        <v>150968239</v>
      </c>
      <c r="H4461">
        <v>360033296</v>
      </c>
      <c r="I4461">
        <v>136113849</v>
      </c>
      <c r="J4461">
        <v>235907866</v>
      </c>
      <c r="K4461">
        <v>95959541</v>
      </c>
      <c r="L4461">
        <v>219671562</v>
      </c>
      <c r="M4461">
        <v>58645983</v>
      </c>
      <c r="N4461">
        <v>33997358</v>
      </c>
      <c r="O4461">
        <v>38834206</v>
      </c>
      <c r="P4461">
        <v>53</v>
      </c>
      <c r="Q4461" t="s">
        <v>9267</v>
      </c>
    </row>
    <row r="4462" spans="1:17" x14ac:dyDescent="0.3">
      <c r="A4462" t="s">
        <v>75</v>
      </c>
      <c r="B4462" t="str">
        <f>"002253"</f>
        <v>002253</v>
      </c>
      <c r="C4462" t="s">
        <v>9268</v>
      </c>
      <c r="D4462" t="s">
        <v>116</v>
      </c>
      <c r="E4462">
        <v>40362674</v>
      </c>
      <c r="F4462">
        <v>64622711</v>
      </c>
      <c r="G4462">
        <v>49887091</v>
      </c>
      <c r="H4462">
        <v>56659166</v>
      </c>
      <c r="I4462">
        <v>54229774</v>
      </c>
      <c r="J4462">
        <v>36707792</v>
      </c>
      <c r="K4462">
        <v>56088341</v>
      </c>
      <c r="L4462">
        <v>60091298</v>
      </c>
      <c r="M4462">
        <v>57102751</v>
      </c>
      <c r="N4462">
        <v>53387439</v>
      </c>
      <c r="O4462">
        <v>40669580</v>
      </c>
      <c r="P4462">
        <v>151</v>
      </c>
      <c r="Q4462" t="s">
        <v>9269</v>
      </c>
    </row>
    <row r="4463" spans="1:17" x14ac:dyDescent="0.3">
      <c r="A4463" t="s">
        <v>17</v>
      </c>
      <c r="B4463" t="str">
        <f>"688367"</f>
        <v>688367</v>
      </c>
      <c r="C4463" t="s">
        <v>9270</v>
      </c>
      <c r="D4463" t="s">
        <v>156</v>
      </c>
      <c r="E4463">
        <v>39917413</v>
      </c>
      <c r="F4463">
        <v>33990559</v>
      </c>
      <c r="G4463">
        <v>18697513</v>
      </c>
      <c r="P4463">
        <v>30</v>
      </c>
      <c r="Q4463" t="s">
        <v>9271</v>
      </c>
    </row>
    <row r="4464" spans="1:17" x14ac:dyDescent="0.3">
      <c r="A4464" t="s">
        <v>17</v>
      </c>
      <c r="B4464" t="str">
        <f>"688070"</f>
        <v>688070</v>
      </c>
      <c r="C4464" t="s">
        <v>9272</v>
      </c>
      <c r="D4464" t="s">
        <v>1551</v>
      </c>
      <c r="E4464">
        <v>39915163</v>
      </c>
      <c r="F4464">
        <v>29099083</v>
      </c>
      <c r="G4464">
        <v>0</v>
      </c>
      <c r="H4464">
        <v>0</v>
      </c>
      <c r="P4464">
        <v>43</v>
      </c>
      <c r="Q4464" t="s">
        <v>9273</v>
      </c>
    </row>
    <row r="4465" spans="1:17" x14ac:dyDescent="0.3">
      <c r="A4465" t="s">
        <v>75</v>
      </c>
      <c r="B4465" t="str">
        <f>"002890"</f>
        <v>002890</v>
      </c>
      <c r="C4465" t="s">
        <v>9274</v>
      </c>
      <c r="D4465" t="s">
        <v>1639</v>
      </c>
      <c r="E4465">
        <v>39454331</v>
      </c>
      <c r="F4465">
        <v>60386585</v>
      </c>
      <c r="G4465">
        <v>43755284</v>
      </c>
      <c r="H4465">
        <v>46003417</v>
      </c>
      <c r="I4465">
        <v>22952857</v>
      </c>
      <c r="J4465">
        <v>25503543</v>
      </c>
      <c r="P4465">
        <v>70</v>
      </c>
      <c r="Q4465" t="s">
        <v>9275</v>
      </c>
    </row>
    <row r="4466" spans="1:17" x14ac:dyDescent="0.3">
      <c r="A4466" t="s">
        <v>75</v>
      </c>
      <c r="B4466" t="str">
        <f>"000633"</f>
        <v>000633</v>
      </c>
      <c r="C4466" t="s">
        <v>9276</v>
      </c>
      <c r="D4466" t="s">
        <v>1526</v>
      </c>
      <c r="E4466">
        <v>38612471</v>
      </c>
      <c r="F4466">
        <v>27906076</v>
      </c>
      <c r="G4466">
        <v>24809377</v>
      </c>
      <c r="H4466">
        <v>19937121</v>
      </c>
      <c r="I4466">
        <v>17056234</v>
      </c>
      <c r="J4466">
        <v>8957353</v>
      </c>
      <c r="K4466">
        <v>9186088</v>
      </c>
      <c r="L4466">
        <v>31603718</v>
      </c>
      <c r="M4466">
        <v>27464061</v>
      </c>
      <c r="N4466">
        <v>21436017</v>
      </c>
      <c r="O4466">
        <v>34384800</v>
      </c>
      <c r="P4466">
        <v>72</v>
      </c>
      <c r="Q4466" t="s">
        <v>9277</v>
      </c>
    </row>
    <row r="4467" spans="1:17" x14ac:dyDescent="0.3">
      <c r="A4467" t="s">
        <v>17</v>
      </c>
      <c r="B4467" t="str">
        <f>"688510"</f>
        <v>688510</v>
      </c>
      <c r="C4467" t="s">
        <v>9278</v>
      </c>
      <c r="D4467" t="s">
        <v>1551</v>
      </c>
      <c r="E4467">
        <v>38331013</v>
      </c>
      <c r="F4467">
        <v>24014804</v>
      </c>
      <c r="G4467">
        <v>28192369</v>
      </c>
      <c r="P4467">
        <v>66</v>
      </c>
      <c r="Q4467" t="s">
        <v>9279</v>
      </c>
    </row>
    <row r="4468" spans="1:17" x14ac:dyDescent="0.3">
      <c r="A4468" t="s">
        <v>17</v>
      </c>
      <c r="B4468" t="str">
        <f>"600830"</f>
        <v>600830</v>
      </c>
      <c r="C4468" t="s">
        <v>9280</v>
      </c>
      <c r="D4468" t="s">
        <v>370</v>
      </c>
      <c r="E4468">
        <v>38288864</v>
      </c>
      <c r="F4468">
        <v>35450842</v>
      </c>
      <c r="G4468">
        <v>80078784</v>
      </c>
      <c r="H4468">
        <v>199220049</v>
      </c>
      <c r="I4468">
        <v>236832197</v>
      </c>
      <c r="J4468">
        <v>393783808</v>
      </c>
      <c r="K4468">
        <v>311971126</v>
      </c>
      <c r="L4468">
        <v>270384641</v>
      </c>
      <c r="M4468">
        <v>227929032</v>
      </c>
      <c r="N4468">
        <v>200061377</v>
      </c>
      <c r="O4468">
        <v>285859226</v>
      </c>
      <c r="P4468">
        <v>73</v>
      </c>
      <c r="Q4468" t="s">
        <v>9281</v>
      </c>
    </row>
    <row r="4469" spans="1:17" x14ac:dyDescent="0.3">
      <c r="A4469" t="s">
        <v>75</v>
      </c>
      <c r="B4469" t="str">
        <f>"300152"</f>
        <v>300152</v>
      </c>
      <c r="C4469" t="s">
        <v>9282</v>
      </c>
      <c r="D4469" t="s">
        <v>2307</v>
      </c>
      <c r="E4469">
        <v>38224467</v>
      </c>
      <c r="F4469">
        <v>31111021</v>
      </c>
      <c r="G4469">
        <v>87737816</v>
      </c>
      <c r="H4469">
        <v>102699298</v>
      </c>
      <c r="I4469">
        <v>123855599</v>
      </c>
      <c r="J4469">
        <v>172377729</v>
      </c>
      <c r="K4469">
        <v>179669689</v>
      </c>
      <c r="L4469">
        <v>142960142</v>
      </c>
      <c r="M4469">
        <v>110461750</v>
      </c>
      <c r="N4469">
        <v>32145040</v>
      </c>
      <c r="O4469">
        <v>45521297</v>
      </c>
      <c r="P4469">
        <v>92</v>
      </c>
      <c r="Q4469" t="s">
        <v>9283</v>
      </c>
    </row>
    <row r="4470" spans="1:17" x14ac:dyDescent="0.3">
      <c r="A4470" t="s">
        <v>17</v>
      </c>
      <c r="B4470" t="str">
        <f>"688206"</f>
        <v>688206</v>
      </c>
      <c r="C4470" t="s">
        <v>9284</v>
      </c>
      <c r="D4470" t="s">
        <v>1859</v>
      </c>
      <c r="E4470">
        <v>38113178</v>
      </c>
      <c r="P4470">
        <v>26</v>
      </c>
      <c r="Q4470" t="s">
        <v>9285</v>
      </c>
    </row>
    <row r="4471" spans="1:17" x14ac:dyDescent="0.3">
      <c r="A4471" t="s">
        <v>75</v>
      </c>
      <c r="B4471" t="str">
        <f>"300446"</f>
        <v>300446</v>
      </c>
      <c r="C4471" t="s">
        <v>9286</v>
      </c>
      <c r="D4471" t="s">
        <v>1853</v>
      </c>
      <c r="E4471">
        <v>37731497</v>
      </c>
      <c r="F4471">
        <v>31470461</v>
      </c>
      <c r="G4471">
        <v>58384203</v>
      </c>
      <c r="H4471">
        <v>56149353</v>
      </c>
      <c r="I4471">
        <v>58181591</v>
      </c>
      <c r="J4471">
        <v>56890436</v>
      </c>
      <c r="K4471">
        <v>68219265</v>
      </c>
      <c r="L4471">
        <v>63484667</v>
      </c>
      <c r="M4471">
        <v>57733442</v>
      </c>
      <c r="P4471">
        <v>980</v>
      </c>
      <c r="Q4471" t="s">
        <v>9287</v>
      </c>
    </row>
    <row r="4472" spans="1:17" x14ac:dyDescent="0.3">
      <c r="A4472" t="s">
        <v>17</v>
      </c>
      <c r="B4472" t="str">
        <f>"688207"</f>
        <v>688207</v>
      </c>
      <c r="C4472" t="s">
        <v>9288</v>
      </c>
      <c r="E4472">
        <v>37456249</v>
      </c>
      <c r="P4472">
        <v>7</v>
      </c>
      <c r="Q4472" t="s">
        <v>9289</v>
      </c>
    </row>
    <row r="4473" spans="1:17" x14ac:dyDescent="0.3">
      <c r="A4473" t="s">
        <v>75</v>
      </c>
      <c r="B4473" t="str">
        <f>"000587"</f>
        <v>000587</v>
      </c>
      <c r="C4473" t="s">
        <v>9290</v>
      </c>
      <c r="D4473" t="s">
        <v>314</v>
      </c>
      <c r="E4473">
        <v>37213036</v>
      </c>
      <c r="F4473">
        <v>18232786</v>
      </c>
      <c r="G4473">
        <v>61030234</v>
      </c>
      <c r="H4473">
        <v>178411454</v>
      </c>
      <c r="I4473">
        <v>4578907078</v>
      </c>
      <c r="J4473">
        <v>3980271299</v>
      </c>
      <c r="K4473">
        <v>3101824526</v>
      </c>
      <c r="L4473">
        <v>3833207920</v>
      </c>
      <c r="M4473">
        <v>2654106279</v>
      </c>
      <c r="N4473">
        <v>1835335143</v>
      </c>
      <c r="O4473">
        <v>1373778578</v>
      </c>
      <c r="P4473">
        <v>114</v>
      </c>
      <c r="Q4473" t="s">
        <v>9291</v>
      </c>
    </row>
    <row r="4474" spans="1:17" x14ac:dyDescent="0.3">
      <c r="A4474" t="s">
        <v>75</v>
      </c>
      <c r="B4474" t="str">
        <f>"000617"</f>
        <v>000617</v>
      </c>
      <c r="C4474" t="s">
        <v>9292</v>
      </c>
      <c r="D4474" t="s">
        <v>370</v>
      </c>
      <c r="E4474">
        <v>37107700</v>
      </c>
      <c r="F4474">
        <v>38692436</v>
      </c>
      <c r="G4474">
        <v>36021601</v>
      </c>
      <c r="H4474">
        <v>34867009</v>
      </c>
      <c r="I4474">
        <v>28104355</v>
      </c>
      <c r="J4474">
        <v>36120795</v>
      </c>
      <c r="K4474">
        <v>59175917</v>
      </c>
      <c r="L4474">
        <v>86857561</v>
      </c>
      <c r="M4474">
        <v>86471108</v>
      </c>
      <c r="N4474">
        <v>234960273</v>
      </c>
      <c r="O4474">
        <v>181397093</v>
      </c>
      <c r="P4474">
        <v>234</v>
      </c>
      <c r="Q4474" t="s">
        <v>9293</v>
      </c>
    </row>
    <row r="4475" spans="1:17" x14ac:dyDescent="0.3">
      <c r="A4475" t="s">
        <v>75</v>
      </c>
      <c r="B4475" t="str">
        <f>"300491"</f>
        <v>300491</v>
      </c>
      <c r="C4475" t="s">
        <v>9294</v>
      </c>
      <c r="D4475" t="s">
        <v>2692</v>
      </c>
      <c r="E4475">
        <v>36850845</v>
      </c>
      <c r="F4475">
        <v>29443757</v>
      </c>
      <c r="G4475">
        <v>22194647</v>
      </c>
      <c r="H4475">
        <v>29635362</v>
      </c>
      <c r="I4475">
        <v>13985871</v>
      </c>
      <c r="J4475">
        <v>24047541</v>
      </c>
      <c r="K4475">
        <v>75876949</v>
      </c>
      <c r="L4475">
        <v>44571489</v>
      </c>
      <c r="P4475">
        <v>94</v>
      </c>
      <c r="Q4475" t="s">
        <v>9295</v>
      </c>
    </row>
    <row r="4476" spans="1:17" x14ac:dyDescent="0.3">
      <c r="A4476" t="s">
        <v>75</v>
      </c>
      <c r="B4476" t="str">
        <f>"002052"</f>
        <v>002052</v>
      </c>
      <c r="C4476" t="s">
        <v>9296</v>
      </c>
      <c r="D4476" t="s">
        <v>1413</v>
      </c>
      <c r="E4476">
        <v>36825603</v>
      </c>
      <c r="F4476">
        <v>64586479</v>
      </c>
      <c r="G4476">
        <v>90616104</v>
      </c>
      <c r="H4476">
        <v>262606741</v>
      </c>
      <c r="I4476">
        <v>263696849</v>
      </c>
      <c r="J4476">
        <v>135484959</v>
      </c>
      <c r="K4476">
        <v>342363007</v>
      </c>
      <c r="L4476">
        <v>305622677</v>
      </c>
      <c r="M4476">
        <v>297566611</v>
      </c>
      <c r="N4476">
        <v>460211857</v>
      </c>
      <c r="O4476">
        <v>412287294</v>
      </c>
      <c r="P4476">
        <v>76</v>
      </c>
      <c r="Q4476" t="s">
        <v>9297</v>
      </c>
    </row>
    <row r="4477" spans="1:17" x14ac:dyDescent="0.3">
      <c r="A4477" t="s">
        <v>17</v>
      </c>
      <c r="B4477" t="str">
        <f>"688270"</f>
        <v>688270</v>
      </c>
      <c r="C4477" t="s">
        <v>9298</v>
      </c>
      <c r="E4477">
        <v>36725856</v>
      </c>
      <c r="P4477">
        <v>12</v>
      </c>
      <c r="Q4477" t="s">
        <v>9299</v>
      </c>
    </row>
    <row r="4478" spans="1:17" x14ac:dyDescent="0.3">
      <c r="A4478" t="s">
        <v>75</v>
      </c>
      <c r="B4478" t="str">
        <f>"300417"</f>
        <v>300417</v>
      </c>
      <c r="C4478" t="s">
        <v>9300</v>
      </c>
      <c r="D4478" t="s">
        <v>2549</v>
      </c>
      <c r="E4478">
        <v>36560213</v>
      </c>
      <c r="F4478">
        <v>49561674</v>
      </c>
      <c r="G4478">
        <v>57898586</v>
      </c>
      <c r="H4478">
        <v>112698600</v>
      </c>
      <c r="I4478">
        <v>34733072</v>
      </c>
      <c r="J4478">
        <v>47955544</v>
      </c>
      <c r="K4478">
        <v>33627892</v>
      </c>
      <c r="L4478">
        <v>32061158</v>
      </c>
      <c r="M4478">
        <v>27217044</v>
      </c>
      <c r="P4478">
        <v>196</v>
      </c>
      <c r="Q4478" t="s">
        <v>9301</v>
      </c>
    </row>
    <row r="4479" spans="1:17" x14ac:dyDescent="0.3">
      <c r="A4479" t="s">
        <v>17</v>
      </c>
      <c r="B4479" t="str">
        <f>"688622"</f>
        <v>688622</v>
      </c>
      <c r="C4479" t="s">
        <v>9302</v>
      </c>
      <c r="D4479" t="s">
        <v>2549</v>
      </c>
      <c r="E4479">
        <v>36559875</v>
      </c>
      <c r="P4479">
        <v>29</v>
      </c>
      <c r="Q4479" t="s">
        <v>9303</v>
      </c>
    </row>
    <row r="4480" spans="1:17" x14ac:dyDescent="0.3">
      <c r="A4480" t="s">
        <v>75</v>
      </c>
      <c r="B4480" t="str">
        <f>"300264"</f>
        <v>300264</v>
      </c>
      <c r="C4480" t="s">
        <v>9304</v>
      </c>
      <c r="D4480" t="s">
        <v>224</v>
      </c>
      <c r="E4480">
        <v>36407793</v>
      </c>
      <c r="F4480">
        <v>34222521</v>
      </c>
      <c r="G4480">
        <v>44967505</v>
      </c>
      <c r="H4480">
        <v>47211750</v>
      </c>
      <c r="I4480">
        <v>18744194</v>
      </c>
      <c r="J4480">
        <v>30223579</v>
      </c>
      <c r="K4480">
        <v>43041562</v>
      </c>
      <c r="L4480">
        <v>25228252</v>
      </c>
      <c r="M4480">
        <v>19271451</v>
      </c>
      <c r="N4480">
        <v>29084195</v>
      </c>
      <c r="O4480">
        <v>18922479</v>
      </c>
      <c r="P4480">
        <v>132</v>
      </c>
      <c r="Q4480" t="s">
        <v>9305</v>
      </c>
    </row>
    <row r="4481" spans="1:17" x14ac:dyDescent="0.3">
      <c r="A4481" t="s">
        <v>75</v>
      </c>
      <c r="B4481" t="str">
        <f>"300530"</f>
        <v>300530</v>
      </c>
      <c r="C4481" t="s">
        <v>9306</v>
      </c>
      <c r="D4481" t="s">
        <v>292</v>
      </c>
      <c r="E4481">
        <v>35919487</v>
      </c>
      <c r="F4481">
        <v>33302365</v>
      </c>
      <c r="G4481">
        <v>34167513</v>
      </c>
      <c r="H4481">
        <v>52454070</v>
      </c>
      <c r="I4481">
        <v>40843963</v>
      </c>
      <c r="J4481">
        <v>36212070</v>
      </c>
      <c r="K4481">
        <v>25043681</v>
      </c>
      <c r="L4481">
        <v>0</v>
      </c>
      <c r="P4481">
        <v>64</v>
      </c>
      <c r="Q4481" t="s">
        <v>9307</v>
      </c>
    </row>
    <row r="4482" spans="1:17" x14ac:dyDescent="0.3">
      <c r="A4482" t="s">
        <v>17</v>
      </c>
      <c r="B4482" t="str">
        <f>"688277"</f>
        <v>688277</v>
      </c>
      <c r="C4482" t="s">
        <v>9308</v>
      </c>
      <c r="D4482" t="s">
        <v>334</v>
      </c>
      <c r="E4482">
        <v>35730636</v>
      </c>
      <c r="F4482">
        <v>23151226</v>
      </c>
      <c r="G4482">
        <v>6280500</v>
      </c>
      <c r="H4482">
        <v>40193748</v>
      </c>
      <c r="P4482">
        <v>120</v>
      </c>
      <c r="Q4482" t="s">
        <v>9309</v>
      </c>
    </row>
    <row r="4483" spans="1:17" x14ac:dyDescent="0.3">
      <c r="A4483" t="s">
        <v>17</v>
      </c>
      <c r="B4483" t="str">
        <f>"600265"</f>
        <v>600265</v>
      </c>
      <c r="C4483" t="s">
        <v>9310</v>
      </c>
      <c r="D4483" t="s">
        <v>5749</v>
      </c>
      <c r="E4483">
        <v>34936503</v>
      </c>
      <c r="F4483">
        <v>20434729</v>
      </c>
      <c r="G4483">
        <v>44222472</v>
      </c>
      <c r="H4483">
        <v>35046739</v>
      </c>
      <c r="I4483">
        <v>17296818</v>
      </c>
      <c r="J4483">
        <v>17778539</v>
      </c>
      <c r="K4483">
        <v>14390428</v>
      </c>
      <c r="L4483">
        <v>25429209</v>
      </c>
      <c r="M4483">
        <v>22548899</v>
      </c>
      <c r="N4483">
        <v>16724614</v>
      </c>
      <c r="O4483">
        <v>32882059</v>
      </c>
      <c r="P4483">
        <v>46</v>
      </c>
      <c r="Q4483" t="s">
        <v>9311</v>
      </c>
    </row>
    <row r="4484" spans="1:17" x14ac:dyDescent="0.3">
      <c r="A4484" t="s">
        <v>75</v>
      </c>
      <c r="B4484" t="str">
        <f>"300046"</f>
        <v>300046</v>
      </c>
      <c r="C4484" t="s">
        <v>9312</v>
      </c>
      <c r="D4484" t="s">
        <v>2728</v>
      </c>
      <c r="E4484">
        <v>34850084</v>
      </c>
      <c r="F4484">
        <v>46932466</v>
      </c>
      <c r="G4484">
        <v>26337439</v>
      </c>
      <c r="H4484">
        <v>62821868</v>
      </c>
      <c r="I4484">
        <v>80939543</v>
      </c>
      <c r="J4484">
        <v>75102037</v>
      </c>
      <c r="K4484">
        <v>26931097</v>
      </c>
      <c r="L4484">
        <v>22892757</v>
      </c>
      <c r="M4484">
        <v>37803692</v>
      </c>
      <c r="N4484">
        <v>30615426</v>
      </c>
      <c r="O4484">
        <v>62586343</v>
      </c>
      <c r="P4484">
        <v>225</v>
      </c>
      <c r="Q4484" t="s">
        <v>9313</v>
      </c>
    </row>
    <row r="4485" spans="1:17" x14ac:dyDescent="0.3">
      <c r="A4485" t="s">
        <v>17</v>
      </c>
      <c r="B4485" t="str">
        <f>"600896"</f>
        <v>600896</v>
      </c>
      <c r="C4485" t="s">
        <v>9314</v>
      </c>
      <c r="D4485" t="s">
        <v>1129</v>
      </c>
      <c r="E4485">
        <v>34844440</v>
      </c>
      <c r="F4485">
        <v>20317457</v>
      </c>
      <c r="G4485">
        <v>8580273</v>
      </c>
      <c r="H4485">
        <v>5633860</v>
      </c>
      <c r="I4485">
        <v>21601565</v>
      </c>
      <c r="J4485">
        <v>36388697</v>
      </c>
      <c r="K4485">
        <v>201805880</v>
      </c>
      <c r="L4485">
        <v>203126194</v>
      </c>
      <c r="M4485">
        <v>229889205</v>
      </c>
      <c r="N4485">
        <v>208516236</v>
      </c>
      <c r="O4485">
        <v>207525240</v>
      </c>
      <c r="P4485">
        <v>93</v>
      </c>
      <c r="Q4485" t="s">
        <v>9315</v>
      </c>
    </row>
    <row r="4486" spans="1:17" x14ac:dyDescent="0.3">
      <c r="A4486" t="s">
        <v>17</v>
      </c>
      <c r="B4486" t="str">
        <f>"688078"</f>
        <v>688078</v>
      </c>
      <c r="C4486" t="s">
        <v>9316</v>
      </c>
      <c r="D4486" t="s">
        <v>989</v>
      </c>
      <c r="E4486">
        <v>34771980</v>
      </c>
      <c r="F4486">
        <v>18458442</v>
      </c>
      <c r="G4486">
        <v>6864770</v>
      </c>
      <c r="H4486">
        <v>18198224</v>
      </c>
      <c r="P4486">
        <v>83</v>
      </c>
      <c r="Q4486" t="s">
        <v>9317</v>
      </c>
    </row>
    <row r="4487" spans="1:17" x14ac:dyDescent="0.3">
      <c r="A4487" t="s">
        <v>75</v>
      </c>
      <c r="B4487" t="str">
        <f>"002473"</f>
        <v>002473</v>
      </c>
      <c r="C4487" t="s">
        <v>9318</v>
      </c>
      <c r="D4487" t="s">
        <v>939</v>
      </c>
      <c r="E4487">
        <v>34770000</v>
      </c>
      <c r="F4487">
        <v>576294</v>
      </c>
      <c r="G4487">
        <v>3825057</v>
      </c>
      <c r="H4487">
        <v>17775739</v>
      </c>
      <c r="I4487">
        <v>15284367</v>
      </c>
      <c r="J4487">
        <v>21081744</v>
      </c>
      <c r="K4487">
        <v>20387152</v>
      </c>
      <c r="L4487">
        <v>20756815</v>
      </c>
      <c r="M4487">
        <v>28735884</v>
      </c>
      <c r="N4487">
        <v>33523539</v>
      </c>
      <c r="O4487">
        <v>39443786</v>
      </c>
      <c r="P4487">
        <v>61</v>
      </c>
      <c r="Q4487" t="s">
        <v>9319</v>
      </c>
    </row>
    <row r="4488" spans="1:17" x14ac:dyDescent="0.3">
      <c r="A4488" t="s">
        <v>17</v>
      </c>
      <c r="B4488" t="str">
        <f>"688310"</f>
        <v>688310</v>
      </c>
      <c r="C4488" t="s">
        <v>9320</v>
      </c>
      <c r="D4488" t="s">
        <v>2910</v>
      </c>
      <c r="E4488">
        <v>34760534</v>
      </c>
      <c r="F4488">
        <v>68749080</v>
      </c>
      <c r="G4488">
        <v>33612198</v>
      </c>
      <c r="H4488">
        <v>28353478</v>
      </c>
      <c r="P4488">
        <v>92</v>
      </c>
      <c r="Q4488" t="s">
        <v>9321</v>
      </c>
    </row>
    <row r="4489" spans="1:17" x14ac:dyDescent="0.3">
      <c r="A4489" t="s">
        <v>75</v>
      </c>
      <c r="B4489" t="str">
        <f>"300936"</f>
        <v>300936</v>
      </c>
      <c r="C4489" t="s">
        <v>9322</v>
      </c>
      <c r="D4489" t="s">
        <v>567</v>
      </c>
      <c r="E4489">
        <v>34495590</v>
      </c>
      <c r="F4489">
        <v>49147796</v>
      </c>
      <c r="G4489">
        <v>26559991</v>
      </c>
      <c r="I4489">
        <v>28526466</v>
      </c>
      <c r="P4489">
        <v>54</v>
      </c>
      <c r="Q4489" t="s">
        <v>9323</v>
      </c>
    </row>
    <row r="4490" spans="1:17" x14ac:dyDescent="0.3">
      <c r="A4490" t="s">
        <v>17</v>
      </c>
      <c r="B4490" t="str">
        <f>"688229"</f>
        <v>688229</v>
      </c>
      <c r="C4490" t="s">
        <v>9324</v>
      </c>
      <c r="D4490" t="s">
        <v>224</v>
      </c>
      <c r="E4490">
        <v>34202080</v>
      </c>
      <c r="F4490">
        <v>30231519</v>
      </c>
      <c r="G4490">
        <v>21551375</v>
      </c>
      <c r="H4490">
        <v>28328557</v>
      </c>
      <c r="P4490">
        <v>63</v>
      </c>
      <c r="Q4490" t="s">
        <v>9325</v>
      </c>
    </row>
    <row r="4491" spans="1:17" x14ac:dyDescent="0.3">
      <c r="A4491" t="s">
        <v>17</v>
      </c>
      <c r="B4491" t="str">
        <f>"688175"</f>
        <v>688175</v>
      </c>
      <c r="C4491" t="s">
        <v>9326</v>
      </c>
      <c r="E4491">
        <v>34035616</v>
      </c>
      <c r="P4491">
        <v>3</v>
      </c>
      <c r="Q4491" t="s">
        <v>9327</v>
      </c>
    </row>
    <row r="4492" spans="1:17" x14ac:dyDescent="0.3">
      <c r="A4492" t="s">
        <v>17</v>
      </c>
      <c r="B4492" t="str">
        <f>"688081"</f>
        <v>688081</v>
      </c>
      <c r="C4492" t="s">
        <v>9328</v>
      </c>
      <c r="D4492" t="s">
        <v>1572</v>
      </c>
      <c r="E4492">
        <v>33781834</v>
      </c>
      <c r="F4492">
        <v>51270651</v>
      </c>
      <c r="G4492">
        <v>29775031</v>
      </c>
      <c r="H4492">
        <v>66881671</v>
      </c>
      <c r="P4492">
        <v>55</v>
      </c>
      <c r="Q4492" t="s">
        <v>9329</v>
      </c>
    </row>
    <row r="4493" spans="1:17" x14ac:dyDescent="0.3">
      <c r="A4493" t="s">
        <v>75</v>
      </c>
      <c r="B4493" t="str">
        <f>"300899"</f>
        <v>300899</v>
      </c>
      <c r="C4493" t="s">
        <v>9330</v>
      </c>
      <c r="D4493" t="s">
        <v>1107</v>
      </c>
      <c r="E4493">
        <v>33500575</v>
      </c>
      <c r="F4493">
        <v>44451704</v>
      </c>
      <c r="G4493">
        <v>14027149</v>
      </c>
      <c r="P4493">
        <v>58</v>
      </c>
      <c r="Q4493" t="s">
        <v>9331</v>
      </c>
    </row>
    <row r="4494" spans="1:17" x14ac:dyDescent="0.3">
      <c r="A4494" t="s">
        <v>75</v>
      </c>
      <c r="B4494" t="str">
        <f>"300845"</f>
        <v>300845</v>
      </c>
      <c r="C4494" t="s">
        <v>9332</v>
      </c>
      <c r="D4494" t="s">
        <v>508</v>
      </c>
      <c r="E4494">
        <v>33231707</v>
      </c>
      <c r="F4494">
        <v>38918648</v>
      </c>
      <c r="G4494">
        <v>23823425</v>
      </c>
      <c r="H4494">
        <v>22264580</v>
      </c>
      <c r="P4494">
        <v>83</v>
      </c>
      <c r="Q4494" t="s">
        <v>9333</v>
      </c>
    </row>
    <row r="4495" spans="1:17" x14ac:dyDescent="0.3">
      <c r="A4495" t="s">
        <v>17</v>
      </c>
      <c r="B4495" t="str">
        <f>"688511"</f>
        <v>688511</v>
      </c>
      <c r="C4495" t="s">
        <v>9334</v>
      </c>
      <c r="D4495" t="s">
        <v>1572</v>
      </c>
      <c r="E4495">
        <v>32815413</v>
      </c>
      <c r="F4495">
        <v>46215870</v>
      </c>
      <c r="G4495">
        <v>22318568</v>
      </c>
      <c r="P4495">
        <v>23</v>
      </c>
      <c r="Q4495" t="s">
        <v>9335</v>
      </c>
    </row>
    <row r="4496" spans="1:17" x14ac:dyDescent="0.3">
      <c r="A4496" t="s">
        <v>75</v>
      </c>
      <c r="B4496" t="str">
        <f>"300076"</f>
        <v>300076</v>
      </c>
      <c r="C4496" t="s">
        <v>9336</v>
      </c>
      <c r="D4496" t="s">
        <v>128</v>
      </c>
      <c r="E4496">
        <v>32789885</v>
      </c>
      <c r="F4496">
        <v>25455161</v>
      </c>
      <c r="G4496">
        <v>30796124</v>
      </c>
      <c r="H4496">
        <v>35989642</v>
      </c>
      <c r="I4496">
        <v>31762780</v>
      </c>
      <c r="J4496">
        <v>33579565</v>
      </c>
      <c r="K4496">
        <v>46214718</v>
      </c>
      <c r="L4496">
        <v>61854307</v>
      </c>
      <c r="M4496">
        <v>39624681</v>
      </c>
      <c r="N4496">
        <v>62805672</v>
      </c>
      <c r="O4496">
        <v>71885476</v>
      </c>
      <c r="P4496">
        <v>93</v>
      </c>
      <c r="Q4496" t="s">
        <v>9337</v>
      </c>
    </row>
    <row r="4497" spans="1:17" x14ac:dyDescent="0.3">
      <c r="A4497" t="s">
        <v>17</v>
      </c>
      <c r="B4497" t="str">
        <f>"688171"</f>
        <v>688171</v>
      </c>
      <c r="C4497" t="s">
        <v>9338</v>
      </c>
      <c r="E4497">
        <v>32773366</v>
      </c>
      <c r="G4497">
        <v>11419329</v>
      </c>
      <c r="P4497">
        <v>12</v>
      </c>
      <c r="Q4497" t="s">
        <v>9339</v>
      </c>
    </row>
    <row r="4498" spans="1:17" x14ac:dyDescent="0.3">
      <c r="A4498" t="s">
        <v>75</v>
      </c>
      <c r="B4498" t="str">
        <f>"300426"</f>
        <v>300426</v>
      </c>
      <c r="C4498" t="s">
        <v>9340</v>
      </c>
      <c r="D4498" t="s">
        <v>2532</v>
      </c>
      <c r="E4498">
        <v>32656990</v>
      </c>
      <c r="F4498">
        <v>125586244</v>
      </c>
      <c r="G4498">
        <v>35373612</v>
      </c>
      <c r="H4498">
        <v>108870483</v>
      </c>
      <c r="I4498">
        <v>128350509</v>
      </c>
      <c r="J4498">
        <v>141899070</v>
      </c>
      <c r="K4498">
        <v>98475138</v>
      </c>
      <c r="L4498">
        <v>104337696</v>
      </c>
      <c r="M4498">
        <v>41427454</v>
      </c>
      <c r="P4498">
        <v>130</v>
      </c>
      <c r="Q4498" t="s">
        <v>9341</v>
      </c>
    </row>
    <row r="4499" spans="1:17" x14ac:dyDescent="0.3">
      <c r="A4499" t="s">
        <v>75</v>
      </c>
      <c r="B4499" t="str">
        <f>"300700"</f>
        <v>300700</v>
      </c>
      <c r="C4499" t="s">
        <v>9342</v>
      </c>
      <c r="D4499" t="s">
        <v>3587</v>
      </c>
      <c r="E4499">
        <v>32603898</v>
      </c>
      <c r="F4499">
        <v>29786410</v>
      </c>
      <c r="G4499">
        <v>31606892</v>
      </c>
      <c r="H4499">
        <v>30109107</v>
      </c>
      <c r="I4499">
        <v>85874815</v>
      </c>
      <c r="J4499">
        <v>53575503</v>
      </c>
      <c r="P4499">
        <v>140</v>
      </c>
      <c r="Q4499" t="s">
        <v>9343</v>
      </c>
    </row>
    <row r="4500" spans="1:17" x14ac:dyDescent="0.3">
      <c r="A4500" t="s">
        <v>75</v>
      </c>
      <c r="B4500" t="str">
        <f>"300588"</f>
        <v>300588</v>
      </c>
      <c r="C4500" t="s">
        <v>9344</v>
      </c>
      <c r="D4500" t="s">
        <v>337</v>
      </c>
      <c r="E4500">
        <v>32202468</v>
      </c>
      <c r="F4500">
        <v>140337393</v>
      </c>
      <c r="G4500">
        <v>24282604</v>
      </c>
      <c r="H4500">
        <v>116946243</v>
      </c>
      <c r="I4500">
        <v>90668358</v>
      </c>
      <c r="J4500">
        <v>78702273</v>
      </c>
      <c r="K4500">
        <v>38779202</v>
      </c>
      <c r="P4500">
        <v>144</v>
      </c>
      <c r="Q4500" t="s">
        <v>9345</v>
      </c>
    </row>
    <row r="4501" spans="1:17" x14ac:dyDescent="0.3">
      <c r="A4501" t="s">
        <v>17</v>
      </c>
      <c r="B4501" t="str">
        <f>"603133"</f>
        <v>603133</v>
      </c>
      <c r="C4501" t="s">
        <v>9346</v>
      </c>
      <c r="D4501" t="s">
        <v>55</v>
      </c>
      <c r="E4501">
        <v>32169610</v>
      </c>
      <c r="F4501">
        <v>67741763</v>
      </c>
      <c r="G4501">
        <v>140630686</v>
      </c>
      <c r="H4501">
        <v>113685771</v>
      </c>
      <c r="I4501">
        <v>121793947</v>
      </c>
      <c r="J4501">
        <v>155336329</v>
      </c>
      <c r="K4501">
        <v>80768370</v>
      </c>
      <c r="P4501">
        <v>138</v>
      </c>
      <c r="Q4501" t="s">
        <v>9347</v>
      </c>
    </row>
    <row r="4502" spans="1:17" x14ac:dyDescent="0.3">
      <c r="A4502" t="s">
        <v>17</v>
      </c>
      <c r="B4502" t="str">
        <f>"605298"</f>
        <v>605298</v>
      </c>
      <c r="C4502" t="s">
        <v>9348</v>
      </c>
      <c r="D4502" t="s">
        <v>156</v>
      </c>
      <c r="E4502">
        <v>31841922</v>
      </c>
      <c r="F4502">
        <v>31853476</v>
      </c>
      <c r="G4502">
        <v>39478083</v>
      </c>
      <c r="P4502">
        <v>46</v>
      </c>
      <c r="Q4502" t="s">
        <v>9349</v>
      </c>
    </row>
    <row r="4503" spans="1:17" x14ac:dyDescent="0.3">
      <c r="A4503" t="s">
        <v>75</v>
      </c>
      <c r="B4503" t="str">
        <f>"300516"</f>
        <v>300516</v>
      </c>
      <c r="C4503" t="s">
        <v>9350</v>
      </c>
      <c r="D4503" t="s">
        <v>221</v>
      </c>
      <c r="E4503">
        <v>31558283</v>
      </c>
      <c r="F4503">
        <v>72745746</v>
      </c>
      <c r="G4503">
        <v>52166569</v>
      </c>
      <c r="H4503">
        <v>47813279</v>
      </c>
      <c r="I4503">
        <v>100237411</v>
      </c>
      <c r="J4503">
        <v>16487075</v>
      </c>
      <c r="K4503">
        <v>47797283</v>
      </c>
      <c r="L4503">
        <v>3893138</v>
      </c>
      <c r="P4503">
        <v>118</v>
      </c>
      <c r="Q4503" t="s">
        <v>9351</v>
      </c>
    </row>
    <row r="4504" spans="1:17" x14ac:dyDescent="0.3">
      <c r="A4504" t="s">
        <v>75</v>
      </c>
      <c r="B4504" t="str">
        <f>"300987"</f>
        <v>300987</v>
      </c>
      <c r="C4504" t="s">
        <v>9352</v>
      </c>
      <c r="D4504" t="s">
        <v>5291</v>
      </c>
      <c r="E4504">
        <v>31240613</v>
      </c>
      <c r="F4504">
        <v>26405525</v>
      </c>
      <c r="G4504">
        <v>26253363</v>
      </c>
      <c r="P4504">
        <v>24</v>
      </c>
      <c r="Q4504" t="s">
        <v>9353</v>
      </c>
    </row>
    <row r="4505" spans="1:17" x14ac:dyDescent="0.3">
      <c r="A4505" t="s">
        <v>75</v>
      </c>
      <c r="B4505" t="str">
        <f>"000995"</f>
        <v>000995</v>
      </c>
      <c r="C4505" t="s">
        <v>9354</v>
      </c>
      <c r="D4505" t="s">
        <v>201</v>
      </c>
      <c r="E4505">
        <v>31035552</v>
      </c>
      <c r="F4505">
        <v>18351158</v>
      </c>
      <c r="G4505">
        <v>8061673</v>
      </c>
      <c r="H4505">
        <v>3398557</v>
      </c>
      <c r="I4505">
        <v>18315326</v>
      </c>
      <c r="J4505">
        <v>9528551</v>
      </c>
      <c r="K4505">
        <v>14883371</v>
      </c>
      <c r="L4505">
        <v>16708186</v>
      </c>
      <c r="M4505">
        <v>18012434</v>
      </c>
      <c r="N4505">
        <v>24229099</v>
      </c>
      <c r="O4505">
        <v>34740330</v>
      </c>
      <c r="P4505">
        <v>175</v>
      </c>
      <c r="Q4505" t="s">
        <v>9355</v>
      </c>
    </row>
    <row r="4506" spans="1:17" x14ac:dyDescent="0.3">
      <c r="A4506" t="s">
        <v>17</v>
      </c>
      <c r="B4506" t="str">
        <f>"600543"</f>
        <v>600543</v>
      </c>
      <c r="C4506" t="s">
        <v>9356</v>
      </c>
      <c r="D4506" t="s">
        <v>2575</v>
      </c>
      <c r="E4506">
        <v>30940946</v>
      </c>
      <c r="F4506">
        <v>43381399</v>
      </c>
      <c r="G4506">
        <v>20465028</v>
      </c>
      <c r="H4506">
        <v>42448504</v>
      </c>
      <c r="I4506">
        <v>57058672</v>
      </c>
      <c r="J4506">
        <v>71907039</v>
      </c>
      <c r="K4506">
        <v>77579721</v>
      </c>
      <c r="L4506">
        <v>75029586</v>
      </c>
      <c r="M4506">
        <v>95268147</v>
      </c>
      <c r="N4506">
        <v>103153109</v>
      </c>
      <c r="O4506">
        <v>124171057</v>
      </c>
      <c r="P4506">
        <v>150</v>
      </c>
      <c r="Q4506" t="s">
        <v>9357</v>
      </c>
    </row>
    <row r="4507" spans="1:17" x14ac:dyDescent="0.3">
      <c r="A4507" t="s">
        <v>75</v>
      </c>
      <c r="B4507" t="str">
        <f>"300313"</f>
        <v>300313</v>
      </c>
      <c r="C4507" t="s">
        <v>9358</v>
      </c>
      <c r="D4507" t="s">
        <v>1377</v>
      </c>
      <c r="E4507">
        <v>30810826</v>
      </c>
      <c r="F4507">
        <v>12133554</v>
      </c>
      <c r="G4507">
        <v>12235786</v>
      </c>
      <c r="H4507">
        <v>34467527</v>
      </c>
      <c r="I4507">
        <v>20080679</v>
      </c>
      <c r="J4507">
        <v>33393739</v>
      </c>
      <c r="K4507">
        <v>136737026</v>
      </c>
      <c r="L4507">
        <v>22004963</v>
      </c>
      <c r="M4507">
        <v>19768540</v>
      </c>
      <c r="N4507">
        <v>12225979</v>
      </c>
      <c r="O4507">
        <v>9024619</v>
      </c>
      <c r="P4507">
        <v>85</v>
      </c>
      <c r="Q4507" t="s">
        <v>9359</v>
      </c>
    </row>
    <row r="4508" spans="1:17" x14ac:dyDescent="0.3">
      <c r="A4508" t="s">
        <v>17</v>
      </c>
      <c r="B4508" t="str">
        <f>"600593"</f>
        <v>600593</v>
      </c>
      <c r="C4508" t="s">
        <v>9360</v>
      </c>
      <c r="D4508" t="s">
        <v>2078</v>
      </c>
      <c r="E4508">
        <v>30692670</v>
      </c>
      <c r="F4508">
        <v>28798303</v>
      </c>
      <c r="G4508">
        <v>12656533</v>
      </c>
      <c r="H4508">
        <v>52742220</v>
      </c>
      <c r="I4508">
        <v>45356933</v>
      </c>
      <c r="J4508">
        <v>48337033</v>
      </c>
      <c r="K4508">
        <v>39473758</v>
      </c>
      <c r="L4508">
        <v>42355604</v>
      </c>
      <c r="M4508">
        <v>36866305</v>
      </c>
      <c r="N4508">
        <v>28002811</v>
      </c>
      <c r="O4508">
        <v>20406407</v>
      </c>
      <c r="P4508">
        <v>123</v>
      </c>
      <c r="Q4508" t="s">
        <v>9361</v>
      </c>
    </row>
    <row r="4509" spans="1:17" x14ac:dyDescent="0.3">
      <c r="A4509" t="s">
        <v>17</v>
      </c>
      <c r="B4509" t="str">
        <f>"603778"</f>
        <v>603778</v>
      </c>
      <c r="C4509" t="s">
        <v>9362</v>
      </c>
      <c r="D4509" t="s">
        <v>1523</v>
      </c>
      <c r="E4509">
        <v>30538509</v>
      </c>
      <c r="F4509">
        <v>68662579</v>
      </c>
      <c r="G4509">
        <v>41138604</v>
      </c>
      <c r="H4509">
        <v>84238400</v>
      </c>
      <c r="I4509">
        <v>99503315</v>
      </c>
      <c r="J4509">
        <v>68019089</v>
      </c>
      <c r="K4509">
        <v>156906259</v>
      </c>
      <c r="L4509">
        <v>0</v>
      </c>
      <c r="M4509">
        <v>0</v>
      </c>
      <c r="P4509">
        <v>72</v>
      </c>
      <c r="Q4509" t="s">
        <v>9363</v>
      </c>
    </row>
    <row r="4510" spans="1:17" x14ac:dyDescent="0.3">
      <c r="A4510" t="s">
        <v>17</v>
      </c>
      <c r="B4510" t="str">
        <f>"688311"</f>
        <v>688311</v>
      </c>
      <c r="C4510" t="s">
        <v>9364</v>
      </c>
      <c r="D4510" t="s">
        <v>1572</v>
      </c>
      <c r="E4510">
        <v>30203273</v>
      </c>
      <c r="F4510">
        <v>36345837</v>
      </c>
      <c r="G4510">
        <v>27415599</v>
      </c>
      <c r="H4510">
        <v>24753343</v>
      </c>
      <c r="P4510">
        <v>74</v>
      </c>
      <c r="Q4510" t="s">
        <v>9365</v>
      </c>
    </row>
    <row r="4511" spans="1:17" x14ac:dyDescent="0.3">
      <c r="A4511" t="s">
        <v>75</v>
      </c>
      <c r="B4511" t="str">
        <f>"002210"</f>
        <v>002210</v>
      </c>
      <c r="C4511" t="s">
        <v>9366</v>
      </c>
      <c r="D4511" t="s">
        <v>35</v>
      </c>
      <c r="E4511">
        <v>30164546</v>
      </c>
      <c r="F4511">
        <v>42178291</v>
      </c>
      <c r="G4511">
        <v>33896679</v>
      </c>
      <c r="H4511">
        <v>33187686</v>
      </c>
      <c r="I4511">
        <v>18308276945</v>
      </c>
      <c r="J4511">
        <v>12937148464</v>
      </c>
      <c r="K4511">
        <v>9583557177</v>
      </c>
      <c r="L4511">
        <v>7863169461</v>
      </c>
      <c r="M4511">
        <v>6691015628</v>
      </c>
      <c r="N4511">
        <v>5525679321</v>
      </c>
      <c r="O4511">
        <v>2334882053</v>
      </c>
      <c r="P4511">
        <v>83</v>
      </c>
      <c r="Q4511" t="s">
        <v>9367</v>
      </c>
    </row>
    <row r="4512" spans="1:17" x14ac:dyDescent="0.3">
      <c r="A4512" t="s">
        <v>75</v>
      </c>
      <c r="B4512" t="str">
        <f>"300089"</f>
        <v>300089</v>
      </c>
      <c r="C4512" t="s">
        <v>9368</v>
      </c>
      <c r="D4512" t="s">
        <v>1739</v>
      </c>
      <c r="E4512">
        <v>30118733</v>
      </c>
      <c r="F4512">
        <v>22003328</v>
      </c>
      <c r="G4512">
        <v>16894710</v>
      </c>
      <c r="H4512">
        <v>45288606</v>
      </c>
      <c r="I4512">
        <v>55922963</v>
      </c>
      <c r="J4512">
        <v>91606679</v>
      </c>
      <c r="K4512">
        <v>74236747</v>
      </c>
      <c r="L4512">
        <v>69359716</v>
      </c>
      <c r="M4512">
        <v>80554768</v>
      </c>
      <c r="N4512">
        <v>83717767</v>
      </c>
      <c r="O4512">
        <v>112218713</v>
      </c>
      <c r="P4512">
        <v>101</v>
      </c>
      <c r="Q4512" t="s">
        <v>9369</v>
      </c>
    </row>
    <row r="4513" spans="1:17" x14ac:dyDescent="0.3">
      <c r="A4513" t="s">
        <v>17</v>
      </c>
      <c r="B4513" t="str">
        <f>"688058"</f>
        <v>688058</v>
      </c>
      <c r="C4513" t="s">
        <v>9370</v>
      </c>
      <c r="D4513" t="s">
        <v>989</v>
      </c>
      <c r="E4513">
        <v>29969478</v>
      </c>
      <c r="F4513">
        <v>35958621</v>
      </c>
      <c r="G4513">
        <v>6484065</v>
      </c>
      <c r="H4513">
        <v>31973378</v>
      </c>
      <c r="P4513">
        <v>96</v>
      </c>
      <c r="Q4513" t="s">
        <v>9371</v>
      </c>
    </row>
    <row r="4514" spans="1:17" x14ac:dyDescent="0.3">
      <c r="A4514" t="s">
        <v>75</v>
      </c>
      <c r="B4514" t="str">
        <f>"003008"</f>
        <v>003008</v>
      </c>
      <c r="C4514" t="s">
        <v>9372</v>
      </c>
      <c r="D4514" t="s">
        <v>3153</v>
      </c>
      <c r="E4514">
        <v>29607738</v>
      </c>
      <c r="F4514">
        <v>32998192</v>
      </c>
      <c r="G4514">
        <v>21471540</v>
      </c>
      <c r="H4514">
        <v>48985042</v>
      </c>
      <c r="P4514">
        <v>68</v>
      </c>
      <c r="Q4514" t="s">
        <v>9373</v>
      </c>
    </row>
    <row r="4515" spans="1:17" x14ac:dyDescent="0.3">
      <c r="A4515" t="s">
        <v>75</v>
      </c>
      <c r="B4515" t="str">
        <f>"002417"</f>
        <v>002417</v>
      </c>
      <c r="C4515" t="s">
        <v>9374</v>
      </c>
      <c r="D4515" t="s">
        <v>224</v>
      </c>
      <c r="E4515">
        <v>29453746</v>
      </c>
      <c r="F4515">
        <v>55692087</v>
      </c>
      <c r="G4515">
        <v>63802868</v>
      </c>
      <c r="H4515">
        <v>79974347</v>
      </c>
      <c r="I4515">
        <v>6434124</v>
      </c>
      <c r="J4515">
        <v>54355968</v>
      </c>
      <c r="K4515">
        <v>150214195</v>
      </c>
      <c r="L4515">
        <v>134573801</v>
      </c>
      <c r="M4515">
        <v>119279524</v>
      </c>
      <c r="N4515">
        <v>130378137</v>
      </c>
      <c r="O4515">
        <v>197131545</v>
      </c>
      <c r="P4515">
        <v>140</v>
      </c>
      <c r="Q4515" t="s">
        <v>9375</v>
      </c>
    </row>
    <row r="4516" spans="1:17" x14ac:dyDescent="0.3">
      <c r="A4516" t="s">
        <v>75</v>
      </c>
      <c r="B4516" t="str">
        <f>"000673"</f>
        <v>000673</v>
      </c>
      <c r="C4516" t="s">
        <v>9376</v>
      </c>
      <c r="D4516" t="s">
        <v>2532</v>
      </c>
      <c r="E4516">
        <v>29375555</v>
      </c>
      <c r="F4516">
        <v>65446502</v>
      </c>
      <c r="G4516">
        <v>33916530</v>
      </c>
      <c r="H4516">
        <v>76257490</v>
      </c>
      <c r="I4516">
        <v>226243061</v>
      </c>
      <c r="J4516">
        <v>124389600</v>
      </c>
      <c r="K4516">
        <v>191507419</v>
      </c>
      <c r="L4516">
        <v>0</v>
      </c>
      <c r="M4516">
        <v>0</v>
      </c>
      <c r="N4516">
        <v>1962277</v>
      </c>
      <c r="O4516">
        <v>387401</v>
      </c>
      <c r="P4516">
        <v>90</v>
      </c>
      <c r="Q4516" t="s">
        <v>9377</v>
      </c>
    </row>
    <row r="4517" spans="1:17" x14ac:dyDescent="0.3">
      <c r="A4517" t="s">
        <v>75</v>
      </c>
      <c r="B4517" t="str">
        <f>"300069"</f>
        <v>300069</v>
      </c>
      <c r="C4517" t="s">
        <v>9378</v>
      </c>
      <c r="D4517" t="s">
        <v>562</v>
      </c>
      <c r="E4517">
        <v>29333758</v>
      </c>
      <c r="F4517">
        <v>39352332</v>
      </c>
      <c r="G4517">
        <v>39097364</v>
      </c>
      <c r="H4517">
        <v>50480938</v>
      </c>
      <c r="I4517">
        <v>92710555</v>
      </c>
      <c r="J4517">
        <v>67831748</v>
      </c>
      <c r="K4517">
        <v>45657645</v>
      </c>
      <c r="L4517">
        <v>50568301</v>
      </c>
      <c r="M4517">
        <v>46064097</v>
      </c>
      <c r="N4517">
        <v>81620870</v>
      </c>
      <c r="O4517">
        <v>16190862</v>
      </c>
      <c r="P4517">
        <v>57</v>
      </c>
      <c r="Q4517" t="s">
        <v>9379</v>
      </c>
    </row>
    <row r="4518" spans="1:17" x14ac:dyDescent="0.3">
      <c r="A4518" t="s">
        <v>75</v>
      </c>
      <c r="B4518" t="str">
        <f>"300333"</f>
        <v>300333</v>
      </c>
      <c r="C4518" t="s">
        <v>9380</v>
      </c>
      <c r="D4518" t="s">
        <v>508</v>
      </c>
      <c r="E4518">
        <v>29287132</v>
      </c>
      <c r="F4518">
        <v>37556598</v>
      </c>
      <c r="G4518">
        <v>25484333</v>
      </c>
      <c r="H4518">
        <v>34951536</v>
      </c>
      <c r="I4518">
        <v>53825178</v>
      </c>
      <c r="J4518">
        <v>32237175</v>
      </c>
      <c r="K4518">
        <v>40027637</v>
      </c>
      <c r="L4518">
        <v>37147464</v>
      </c>
      <c r="M4518">
        <v>29758900</v>
      </c>
      <c r="N4518">
        <v>35177488</v>
      </c>
      <c r="O4518">
        <v>59867835</v>
      </c>
      <c r="P4518">
        <v>94</v>
      </c>
      <c r="Q4518" t="s">
        <v>9381</v>
      </c>
    </row>
    <row r="4519" spans="1:17" x14ac:dyDescent="0.3">
      <c r="A4519" t="s">
        <v>75</v>
      </c>
      <c r="B4519" t="str">
        <f>"002248"</f>
        <v>002248</v>
      </c>
      <c r="C4519" t="s">
        <v>9382</v>
      </c>
      <c r="D4519" t="s">
        <v>3360</v>
      </c>
      <c r="E4519">
        <v>29002762</v>
      </c>
      <c r="F4519">
        <v>32458899</v>
      </c>
      <c r="G4519">
        <v>14182285</v>
      </c>
      <c r="H4519">
        <v>16452084</v>
      </c>
      <c r="I4519">
        <v>12551512</v>
      </c>
      <c r="J4519">
        <v>17196454</v>
      </c>
      <c r="K4519">
        <v>31210417</v>
      </c>
      <c r="L4519">
        <v>40131226</v>
      </c>
      <c r="M4519">
        <v>52566732</v>
      </c>
      <c r="N4519">
        <v>52892861</v>
      </c>
      <c r="O4519">
        <v>72380524</v>
      </c>
      <c r="P4519">
        <v>109</v>
      </c>
      <c r="Q4519" t="s">
        <v>9383</v>
      </c>
    </row>
    <row r="4520" spans="1:17" x14ac:dyDescent="0.3">
      <c r="A4520" t="s">
        <v>17</v>
      </c>
      <c r="B4520" t="str">
        <f>"688283"</f>
        <v>688283</v>
      </c>
      <c r="C4520" t="s">
        <v>9384</v>
      </c>
      <c r="E4520">
        <v>28914245</v>
      </c>
      <c r="P4520">
        <v>17</v>
      </c>
      <c r="Q4520" t="s">
        <v>9385</v>
      </c>
    </row>
    <row r="4521" spans="1:17" x14ac:dyDescent="0.3">
      <c r="A4521" t="s">
        <v>75</v>
      </c>
      <c r="B4521" t="str">
        <f>"002058"</f>
        <v>002058</v>
      </c>
      <c r="C4521" t="s">
        <v>9386</v>
      </c>
      <c r="D4521" t="s">
        <v>2251</v>
      </c>
      <c r="E4521">
        <v>28358704</v>
      </c>
      <c r="F4521">
        <v>12920703</v>
      </c>
      <c r="G4521">
        <v>11582429</v>
      </c>
      <c r="H4521">
        <v>15787768</v>
      </c>
      <c r="I4521">
        <v>16760575</v>
      </c>
      <c r="J4521">
        <v>16710362</v>
      </c>
      <c r="K4521">
        <v>11113218</v>
      </c>
      <c r="L4521">
        <v>13180211</v>
      </c>
      <c r="M4521">
        <v>19728886</v>
      </c>
      <c r="N4521">
        <v>26747040</v>
      </c>
      <c r="O4521">
        <v>22927513</v>
      </c>
      <c r="P4521">
        <v>55</v>
      </c>
      <c r="Q4521" t="s">
        <v>9387</v>
      </c>
    </row>
    <row r="4522" spans="1:17" x14ac:dyDescent="0.3">
      <c r="A4522" t="s">
        <v>75</v>
      </c>
      <c r="B4522" t="str">
        <f>"300189"</f>
        <v>300189</v>
      </c>
      <c r="C4522" t="s">
        <v>9388</v>
      </c>
      <c r="D4522" t="s">
        <v>3670</v>
      </c>
      <c r="E4522">
        <v>28279382</v>
      </c>
      <c r="F4522">
        <v>32278381</v>
      </c>
      <c r="G4522">
        <v>16738956</v>
      </c>
      <c r="H4522">
        <v>40992385</v>
      </c>
      <c r="I4522">
        <v>337257591</v>
      </c>
      <c r="J4522">
        <v>1131762746</v>
      </c>
      <c r="K4522">
        <v>72949959</v>
      </c>
      <c r="L4522">
        <v>64135274</v>
      </c>
      <c r="M4522">
        <v>98006230</v>
      </c>
      <c r="N4522">
        <v>129017177</v>
      </c>
      <c r="O4522">
        <v>129295022</v>
      </c>
      <c r="P4522">
        <v>111</v>
      </c>
      <c r="Q4522" t="s">
        <v>9389</v>
      </c>
    </row>
    <row r="4523" spans="1:17" x14ac:dyDescent="0.3">
      <c r="A4523" t="s">
        <v>75</v>
      </c>
      <c r="B4523" t="str">
        <f>"002323"</f>
        <v>002323</v>
      </c>
      <c r="C4523" t="s">
        <v>9390</v>
      </c>
      <c r="D4523" t="s">
        <v>1257</v>
      </c>
      <c r="E4523">
        <v>28180587</v>
      </c>
      <c r="F4523">
        <v>37901867</v>
      </c>
      <c r="G4523">
        <v>35630873</v>
      </c>
      <c r="H4523">
        <v>25991292</v>
      </c>
      <c r="I4523">
        <v>239982583</v>
      </c>
      <c r="J4523">
        <v>146514826</v>
      </c>
      <c r="K4523">
        <v>108754478</v>
      </c>
      <c r="L4523">
        <v>79035726</v>
      </c>
      <c r="M4523">
        <v>57266838</v>
      </c>
      <c r="N4523">
        <v>54307218</v>
      </c>
      <c r="O4523">
        <v>52313315</v>
      </c>
      <c r="P4523">
        <v>78</v>
      </c>
      <c r="Q4523" t="s">
        <v>9391</v>
      </c>
    </row>
    <row r="4524" spans="1:17" x14ac:dyDescent="0.3">
      <c r="A4524" t="s">
        <v>17</v>
      </c>
      <c r="B4524" t="str">
        <f>"688115"</f>
        <v>688115</v>
      </c>
      <c r="C4524" t="s">
        <v>9392</v>
      </c>
      <c r="E4524">
        <v>27554637</v>
      </c>
      <c r="P4524">
        <v>7</v>
      </c>
      <c r="Q4524" t="s">
        <v>9393</v>
      </c>
    </row>
    <row r="4525" spans="1:17" x14ac:dyDescent="0.3">
      <c r="A4525" t="s">
        <v>75</v>
      </c>
      <c r="B4525" t="str">
        <f>"002499"</f>
        <v>002499</v>
      </c>
      <c r="C4525" t="s">
        <v>9394</v>
      </c>
      <c r="D4525" t="s">
        <v>3126</v>
      </c>
      <c r="E4525">
        <v>27351273</v>
      </c>
      <c r="F4525">
        <v>8530534</v>
      </c>
      <c r="G4525">
        <v>7913613</v>
      </c>
      <c r="H4525">
        <v>2313591</v>
      </c>
      <c r="I4525">
        <v>13509018</v>
      </c>
      <c r="J4525">
        <v>60735750</v>
      </c>
      <c r="K4525">
        <v>85499390</v>
      </c>
      <c r="L4525">
        <v>53190614</v>
      </c>
      <c r="M4525">
        <v>80081113</v>
      </c>
      <c r="N4525">
        <v>101820301</v>
      </c>
      <c r="O4525">
        <v>87401087</v>
      </c>
      <c r="P4525">
        <v>51</v>
      </c>
      <c r="Q4525" t="s">
        <v>9395</v>
      </c>
    </row>
    <row r="4526" spans="1:17" x14ac:dyDescent="0.3">
      <c r="A4526" t="s">
        <v>17</v>
      </c>
      <c r="B4526" t="str">
        <f>"600070"</f>
        <v>600070</v>
      </c>
      <c r="C4526" t="s">
        <v>9396</v>
      </c>
      <c r="D4526" t="s">
        <v>1284</v>
      </c>
      <c r="E4526">
        <v>27228905</v>
      </c>
      <c r="F4526">
        <v>598229145</v>
      </c>
      <c r="G4526">
        <v>457449914</v>
      </c>
      <c r="H4526">
        <v>446390856</v>
      </c>
      <c r="I4526">
        <v>299020947</v>
      </c>
      <c r="J4526">
        <v>264921078</v>
      </c>
      <c r="K4526">
        <v>141675109</v>
      </c>
      <c r="L4526">
        <v>124674256</v>
      </c>
      <c r="M4526">
        <v>120090016</v>
      </c>
      <c r="N4526">
        <v>151089560</v>
      </c>
      <c r="O4526">
        <v>147837523</v>
      </c>
      <c r="P4526">
        <v>183</v>
      </c>
      <c r="Q4526" t="s">
        <v>9397</v>
      </c>
    </row>
    <row r="4527" spans="1:17" x14ac:dyDescent="0.3">
      <c r="A4527" t="s">
        <v>17</v>
      </c>
      <c r="B4527" t="str">
        <f>"688281"</f>
        <v>688281</v>
      </c>
      <c r="C4527" t="s">
        <v>9398</v>
      </c>
      <c r="E4527">
        <v>27173739</v>
      </c>
      <c r="P4527">
        <v>13</v>
      </c>
      <c r="Q4527" t="s">
        <v>9399</v>
      </c>
    </row>
    <row r="4528" spans="1:17" x14ac:dyDescent="0.3">
      <c r="A4528" t="s">
        <v>75</v>
      </c>
      <c r="B4528" t="str">
        <f>"000558"</f>
        <v>000558</v>
      </c>
      <c r="C4528" t="s">
        <v>9400</v>
      </c>
      <c r="D4528" t="s">
        <v>65</v>
      </c>
      <c r="E4528">
        <v>27032868</v>
      </c>
      <c r="F4528">
        <v>16772234</v>
      </c>
      <c r="G4528">
        <v>18998297</v>
      </c>
      <c r="H4528">
        <v>23080441</v>
      </c>
      <c r="I4528">
        <v>48191253</v>
      </c>
      <c r="J4528">
        <v>724426928</v>
      </c>
      <c r="K4528">
        <v>465660180</v>
      </c>
      <c r="L4528">
        <v>419308692</v>
      </c>
      <c r="M4528">
        <v>534767514</v>
      </c>
      <c r="N4528">
        <v>583546367</v>
      </c>
      <c r="O4528">
        <v>551280716</v>
      </c>
      <c r="P4528">
        <v>118</v>
      </c>
      <c r="Q4528" t="s">
        <v>9401</v>
      </c>
    </row>
    <row r="4529" spans="1:17" x14ac:dyDescent="0.3">
      <c r="A4529" t="s">
        <v>75</v>
      </c>
      <c r="B4529" t="str">
        <f>"002306"</f>
        <v>002306</v>
      </c>
      <c r="C4529" t="s">
        <v>9402</v>
      </c>
      <c r="D4529" t="s">
        <v>4807</v>
      </c>
      <c r="E4529">
        <v>26757035</v>
      </c>
      <c r="F4529">
        <v>166556251</v>
      </c>
      <c r="G4529">
        <v>12202900</v>
      </c>
      <c r="H4529">
        <v>17283080</v>
      </c>
      <c r="I4529">
        <v>24755070</v>
      </c>
      <c r="J4529">
        <v>21453813</v>
      </c>
      <c r="K4529">
        <v>20146023</v>
      </c>
      <c r="L4529">
        <v>87024374</v>
      </c>
      <c r="M4529">
        <v>218314534</v>
      </c>
      <c r="N4529">
        <v>231988164</v>
      </c>
      <c r="O4529">
        <v>346016303</v>
      </c>
      <c r="P4529">
        <v>68</v>
      </c>
      <c r="Q4529" t="s">
        <v>9403</v>
      </c>
    </row>
    <row r="4530" spans="1:17" x14ac:dyDescent="0.3">
      <c r="A4530" t="s">
        <v>75</v>
      </c>
      <c r="B4530" t="str">
        <f>"300807"</f>
        <v>300807</v>
      </c>
      <c r="C4530" t="s">
        <v>9404</v>
      </c>
      <c r="D4530" t="s">
        <v>508</v>
      </c>
      <c r="E4530">
        <v>26678281</v>
      </c>
      <c r="F4530">
        <v>63833323</v>
      </c>
      <c r="G4530">
        <v>40607641</v>
      </c>
      <c r="H4530">
        <v>52742337</v>
      </c>
      <c r="I4530">
        <v>40303931</v>
      </c>
      <c r="P4530">
        <v>103</v>
      </c>
      <c r="Q4530" t="s">
        <v>9405</v>
      </c>
    </row>
    <row r="4531" spans="1:17" x14ac:dyDescent="0.3">
      <c r="A4531" t="s">
        <v>17</v>
      </c>
      <c r="B4531" t="str">
        <f>"600671"</f>
        <v>600671</v>
      </c>
      <c r="C4531" t="s">
        <v>9406</v>
      </c>
      <c r="D4531" t="s">
        <v>321</v>
      </c>
      <c r="E4531">
        <v>26596798</v>
      </c>
      <c r="F4531">
        <v>28074785</v>
      </c>
      <c r="G4531">
        <v>50867313</v>
      </c>
      <c r="H4531">
        <v>59826667</v>
      </c>
      <c r="I4531">
        <v>86016460</v>
      </c>
      <c r="J4531">
        <v>19534925</v>
      </c>
      <c r="K4531">
        <v>20261469</v>
      </c>
      <c r="L4531">
        <v>27445984</v>
      </c>
      <c r="M4531">
        <v>33146039</v>
      </c>
      <c r="N4531">
        <v>43705351</v>
      </c>
      <c r="O4531">
        <v>40878869</v>
      </c>
      <c r="P4531">
        <v>104</v>
      </c>
      <c r="Q4531" t="s">
        <v>9407</v>
      </c>
    </row>
    <row r="4532" spans="1:17" x14ac:dyDescent="0.3">
      <c r="A4532" t="s">
        <v>75</v>
      </c>
      <c r="B4532" t="str">
        <f>"300779"</f>
        <v>300779</v>
      </c>
      <c r="C4532" t="s">
        <v>9408</v>
      </c>
      <c r="D4532" t="s">
        <v>1187</v>
      </c>
      <c r="E4532">
        <v>25781900</v>
      </c>
      <c r="F4532">
        <v>33282780</v>
      </c>
      <c r="G4532">
        <v>52466168</v>
      </c>
      <c r="H4532">
        <v>94352337</v>
      </c>
      <c r="I4532">
        <v>59748809</v>
      </c>
      <c r="P4532">
        <v>62</v>
      </c>
      <c r="Q4532" t="s">
        <v>9409</v>
      </c>
    </row>
    <row r="4533" spans="1:17" x14ac:dyDescent="0.3">
      <c r="A4533" t="s">
        <v>75</v>
      </c>
      <c r="B4533" t="str">
        <f>"000502"</f>
        <v>000502</v>
      </c>
      <c r="C4533" t="s">
        <v>9410</v>
      </c>
      <c r="D4533" t="s">
        <v>1742</v>
      </c>
      <c r="E4533">
        <v>25443769</v>
      </c>
      <c r="F4533">
        <v>3551455</v>
      </c>
      <c r="G4533">
        <v>2794741</v>
      </c>
      <c r="H4533">
        <v>3029244</v>
      </c>
      <c r="I4533">
        <v>3041155</v>
      </c>
      <c r="J4533">
        <v>6687946</v>
      </c>
      <c r="K4533">
        <v>3579648</v>
      </c>
      <c r="L4533">
        <v>5637861</v>
      </c>
      <c r="M4533">
        <v>7332198</v>
      </c>
      <c r="N4533">
        <v>4031345</v>
      </c>
      <c r="O4533">
        <v>9148105</v>
      </c>
      <c r="P4533">
        <v>85</v>
      </c>
      <c r="Q4533" t="s">
        <v>9411</v>
      </c>
    </row>
    <row r="4534" spans="1:17" x14ac:dyDescent="0.3">
      <c r="A4534" t="s">
        <v>75</v>
      </c>
      <c r="B4534" t="str">
        <f>"000978"</f>
        <v>000978</v>
      </c>
      <c r="C4534" t="s">
        <v>9412</v>
      </c>
      <c r="D4534" t="s">
        <v>7744</v>
      </c>
      <c r="E4534">
        <v>25366728</v>
      </c>
      <c r="F4534">
        <v>42087892</v>
      </c>
      <c r="G4534">
        <v>39923826</v>
      </c>
      <c r="H4534">
        <v>106069276</v>
      </c>
      <c r="I4534">
        <v>108838399</v>
      </c>
      <c r="J4534">
        <v>115440976</v>
      </c>
      <c r="K4534">
        <v>102375255</v>
      </c>
      <c r="L4534">
        <v>96070159</v>
      </c>
      <c r="M4534">
        <v>83236261</v>
      </c>
      <c r="N4534">
        <v>89678865</v>
      </c>
      <c r="O4534">
        <v>88607614</v>
      </c>
      <c r="P4534">
        <v>140</v>
      </c>
      <c r="Q4534" t="s">
        <v>9413</v>
      </c>
    </row>
    <row r="4535" spans="1:17" x14ac:dyDescent="0.3">
      <c r="A4535" t="s">
        <v>75</v>
      </c>
      <c r="B4535" t="str">
        <f>"300561"</f>
        <v>300561</v>
      </c>
      <c r="C4535" t="s">
        <v>9414</v>
      </c>
      <c r="D4535" t="s">
        <v>116</v>
      </c>
      <c r="E4535">
        <v>25280670</v>
      </c>
      <c r="F4535">
        <v>36074982</v>
      </c>
      <c r="G4535">
        <v>37495006</v>
      </c>
      <c r="H4535">
        <v>35000619</v>
      </c>
      <c r="I4535">
        <v>34536514</v>
      </c>
      <c r="J4535">
        <v>31885846</v>
      </c>
      <c r="K4535">
        <v>30253932</v>
      </c>
      <c r="P4535">
        <v>114</v>
      </c>
      <c r="Q4535" t="s">
        <v>9415</v>
      </c>
    </row>
    <row r="4536" spans="1:17" x14ac:dyDescent="0.3">
      <c r="A4536" t="s">
        <v>17</v>
      </c>
      <c r="B4536" t="str">
        <f>"600621"</f>
        <v>600621</v>
      </c>
      <c r="C4536" t="s">
        <v>9416</v>
      </c>
      <c r="D4536" t="s">
        <v>2823</v>
      </c>
      <c r="E4536">
        <v>24996830</v>
      </c>
      <c r="F4536">
        <v>37079584</v>
      </c>
      <c r="G4536">
        <v>32398053</v>
      </c>
      <c r="H4536">
        <v>432223967</v>
      </c>
      <c r="I4536">
        <v>429420842</v>
      </c>
      <c r="J4536">
        <v>375124370</v>
      </c>
      <c r="K4536">
        <v>58777870</v>
      </c>
      <c r="L4536">
        <v>136820520</v>
      </c>
      <c r="M4536">
        <v>297101786</v>
      </c>
      <c r="N4536">
        <v>139397842</v>
      </c>
      <c r="O4536">
        <v>174916710</v>
      </c>
      <c r="P4536">
        <v>594</v>
      </c>
      <c r="Q4536" t="s">
        <v>9417</v>
      </c>
    </row>
    <row r="4537" spans="1:17" x14ac:dyDescent="0.3">
      <c r="A4537" t="s">
        <v>17</v>
      </c>
      <c r="B4537" t="str">
        <f>"600242"</f>
        <v>600242</v>
      </c>
      <c r="C4537" t="s">
        <v>9418</v>
      </c>
      <c r="D4537" t="s">
        <v>622</v>
      </c>
      <c r="E4537">
        <v>24844902</v>
      </c>
      <c r="F4537">
        <v>219782532</v>
      </c>
      <c r="G4537">
        <v>337464510</v>
      </c>
      <c r="H4537">
        <v>848667738</v>
      </c>
      <c r="I4537">
        <v>418535579</v>
      </c>
      <c r="J4537">
        <v>582066542</v>
      </c>
      <c r="K4537">
        <v>101333007</v>
      </c>
      <c r="L4537">
        <v>89178123</v>
      </c>
      <c r="M4537">
        <v>117624435</v>
      </c>
      <c r="N4537">
        <v>102936481</v>
      </c>
      <c r="O4537">
        <v>58190260</v>
      </c>
      <c r="P4537">
        <v>84</v>
      </c>
      <c r="Q4537" t="s">
        <v>9419</v>
      </c>
    </row>
    <row r="4538" spans="1:17" x14ac:dyDescent="0.3">
      <c r="A4538" t="s">
        <v>75</v>
      </c>
      <c r="B4538" t="str">
        <f>"002504"</f>
        <v>002504</v>
      </c>
      <c r="C4538" t="s">
        <v>9420</v>
      </c>
      <c r="D4538" t="s">
        <v>707</v>
      </c>
      <c r="E4538">
        <v>24842634</v>
      </c>
      <c r="F4538">
        <v>38289089</v>
      </c>
      <c r="G4538">
        <v>88520064</v>
      </c>
      <c r="H4538">
        <v>318621946</v>
      </c>
      <c r="I4538">
        <v>524594521</v>
      </c>
      <c r="J4538">
        <v>515580514</v>
      </c>
      <c r="K4538">
        <v>621902178</v>
      </c>
      <c r="L4538">
        <v>397501727</v>
      </c>
      <c r="M4538">
        <v>36418562</v>
      </c>
      <c r="N4538">
        <v>26101178</v>
      </c>
      <c r="O4538">
        <v>25803736</v>
      </c>
      <c r="P4538">
        <v>66</v>
      </c>
      <c r="Q4538" t="s">
        <v>9421</v>
      </c>
    </row>
    <row r="4539" spans="1:17" x14ac:dyDescent="0.3">
      <c r="A4539" t="s">
        <v>75</v>
      </c>
      <c r="B4539" t="str">
        <f>"002289"</f>
        <v>002289</v>
      </c>
      <c r="C4539" t="s">
        <v>9422</v>
      </c>
      <c r="D4539" t="s">
        <v>128</v>
      </c>
      <c r="E4539">
        <v>24309951</v>
      </c>
      <c r="F4539">
        <v>24317740</v>
      </c>
      <c r="G4539">
        <v>21748449</v>
      </c>
      <c r="H4539">
        <v>63726050</v>
      </c>
      <c r="I4539">
        <v>63736738</v>
      </c>
      <c r="J4539">
        <v>105477530</v>
      </c>
      <c r="K4539">
        <v>983773603</v>
      </c>
      <c r="L4539">
        <v>646827643</v>
      </c>
      <c r="M4539">
        <v>406676342</v>
      </c>
      <c r="N4539">
        <v>487666473</v>
      </c>
      <c r="O4539">
        <v>185355185</v>
      </c>
      <c r="P4539">
        <v>70</v>
      </c>
      <c r="Q4539" t="s">
        <v>9423</v>
      </c>
    </row>
    <row r="4540" spans="1:17" x14ac:dyDescent="0.3">
      <c r="A4540" t="s">
        <v>17</v>
      </c>
      <c r="B4540" t="str">
        <f>"688091"</f>
        <v>688091</v>
      </c>
      <c r="C4540" t="s">
        <v>9424</v>
      </c>
      <c r="D4540" t="s">
        <v>543</v>
      </c>
      <c r="E4540">
        <v>23942568</v>
      </c>
      <c r="G4540">
        <v>0</v>
      </c>
      <c r="P4540">
        <v>14</v>
      </c>
      <c r="Q4540" t="s">
        <v>9425</v>
      </c>
    </row>
    <row r="4541" spans="1:17" x14ac:dyDescent="0.3">
      <c r="A4541" t="s">
        <v>17</v>
      </c>
      <c r="B4541" t="str">
        <f>"603099"</f>
        <v>603099</v>
      </c>
      <c r="C4541" t="s">
        <v>9426</v>
      </c>
      <c r="D4541" t="s">
        <v>7744</v>
      </c>
      <c r="E4541">
        <v>23326551</v>
      </c>
      <c r="F4541">
        <v>11663512</v>
      </c>
      <c r="G4541">
        <v>15518862</v>
      </c>
      <c r="H4541">
        <v>46097175</v>
      </c>
      <c r="I4541">
        <v>43447330</v>
      </c>
      <c r="J4541">
        <v>25218186</v>
      </c>
      <c r="K4541">
        <v>20561078</v>
      </c>
      <c r="L4541">
        <v>22569353</v>
      </c>
      <c r="M4541">
        <v>0</v>
      </c>
      <c r="P4541">
        <v>97</v>
      </c>
      <c r="Q4541" t="s">
        <v>9427</v>
      </c>
    </row>
    <row r="4542" spans="1:17" x14ac:dyDescent="0.3">
      <c r="A4542" t="s">
        <v>75</v>
      </c>
      <c r="B4542" t="str">
        <f>"000622"</f>
        <v>000622</v>
      </c>
      <c r="C4542" t="s">
        <v>9428</v>
      </c>
      <c r="D4542" t="s">
        <v>1284</v>
      </c>
      <c r="E4542">
        <v>23113271</v>
      </c>
      <c r="F4542">
        <v>75007745</v>
      </c>
      <c r="G4542">
        <v>32181246</v>
      </c>
      <c r="H4542">
        <v>12449298</v>
      </c>
      <c r="I4542">
        <v>17156999</v>
      </c>
      <c r="J4542">
        <v>7210569</v>
      </c>
      <c r="K4542">
        <v>7789661</v>
      </c>
      <c r="L4542">
        <v>14873565</v>
      </c>
      <c r="M4542">
        <v>13358592</v>
      </c>
      <c r="N4542">
        <v>18311865</v>
      </c>
      <c r="O4542">
        <v>29071312</v>
      </c>
      <c r="P4542">
        <v>101</v>
      </c>
      <c r="Q4542" t="s">
        <v>9429</v>
      </c>
    </row>
    <row r="4543" spans="1:17" x14ac:dyDescent="0.3">
      <c r="A4543" t="s">
        <v>17</v>
      </c>
      <c r="B4543" t="str">
        <f>"600730"</f>
        <v>600730</v>
      </c>
      <c r="C4543" t="s">
        <v>9430</v>
      </c>
      <c r="D4543" t="s">
        <v>1739</v>
      </c>
      <c r="E4543">
        <v>23034392</v>
      </c>
      <c r="F4543">
        <v>30130856</v>
      </c>
      <c r="G4543">
        <v>25058854</v>
      </c>
      <c r="H4543">
        <v>32400404</v>
      </c>
      <c r="I4543">
        <v>31552448</v>
      </c>
      <c r="J4543">
        <v>14653908</v>
      </c>
      <c r="K4543">
        <v>586614402</v>
      </c>
      <c r="L4543">
        <v>98284997</v>
      </c>
      <c r="M4543">
        <v>19198564</v>
      </c>
      <c r="N4543">
        <v>74560811</v>
      </c>
      <c r="O4543">
        <v>45292666</v>
      </c>
      <c r="P4543">
        <v>99</v>
      </c>
      <c r="Q4543" t="s">
        <v>9431</v>
      </c>
    </row>
    <row r="4544" spans="1:17" x14ac:dyDescent="0.3">
      <c r="A4544" t="s">
        <v>17</v>
      </c>
      <c r="B4544" t="str">
        <f>"688272"</f>
        <v>688272</v>
      </c>
      <c r="C4544" t="s">
        <v>9432</v>
      </c>
      <c r="D4544" t="s">
        <v>1572</v>
      </c>
      <c r="E4544">
        <v>22693984</v>
      </c>
      <c r="P4544">
        <v>11</v>
      </c>
      <c r="Q4544" t="s">
        <v>9433</v>
      </c>
    </row>
    <row r="4545" spans="1:17" x14ac:dyDescent="0.3">
      <c r="A4545" t="s">
        <v>75</v>
      </c>
      <c r="B4545" t="str">
        <f>"300629"</f>
        <v>300629</v>
      </c>
      <c r="C4545" t="s">
        <v>9434</v>
      </c>
      <c r="D4545" t="s">
        <v>3587</v>
      </c>
      <c r="E4545">
        <v>22673210</v>
      </c>
      <c r="F4545">
        <v>28991889</v>
      </c>
      <c r="G4545">
        <v>39583265</v>
      </c>
      <c r="H4545">
        <v>26510200</v>
      </c>
      <c r="I4545">
        <v>37958878</v>
      </c>
      <c r="J4545">
        <v>44802280</v>
      </c>
      <c r="K4545">
        <v>34854959</v>
      </c>
      <c r="P4545">
        <v>65</v>
      </c>
      <c r="Q4545" t="s">
        <v>9435</v>
      </c>
    </row>
    <row r="4546" spans="1:17" x14ac:dyDescent="0.3">
      <c r="A4546" t="s">
        <v>17</v>
      </c>
      <c r="B4546" t="str">
        <f>"600318"</f>
        <v>600318</v>
      </c>
      <c r="C4546" t="s">
        <v>9436</v>
      </c>
      <c r="D4546" t="s">
        <v>370</v>
      </c>
      <c r="E4546">
        <v>22308503</v>
      </c>
      <c r="F4546">
        <v>29033790</v>
      </c>
      <c r="G4546">
        <v>39858384</v>
      </c>
      <c r="H4546">
        <v>39952490</v>
      </c>
      <c r="I4546">
        <v>28707957</v>
      </c>
      <c r="J4546">
        <v>551263925</v>
      </c>
      <c r="K4546">
        <v>146457615</v>
      </c>
      <c r="L4546">
        <v>253673284</v>
      </c>
      <c r="M4546">
        <v>343617754</v>
      </c>
      <c r="N4546">
        <v>221511681</v>
      </c>
      <c r="O4546">
        <v>400365652</v>
      </c>
      <c r="P4546">
        <v>104</v>
      </c>
      <c r="Q4546" t="s">
        <v>9437</v>
      </c>
    </row>
    <row r="4547" spans="1:17" x14ac:dyDescent="0.3">
      <c r="A4547" t="s">
        <v>75</v>
      </c>
      <c r="B4547" t="str">
        <f>"300309"</f>
        <v>300309</v>
      </c>
      <c r="C4547" t="s">
        <v>9438</v>
      </c>
      <c r="D4547" t="s">
        <v>5895</v>
      </c>
      <c r="E4547">
        <v>22240111</v>
      </c>
      <c r="F4547">
        <v>179828180</v>
      </c>
      <c r="G4547">
        <v>184755435</v>
      </c>
      <c r="H4547">
        <v>197207401</v>
      </c>
      <c r="I4547">
        <v>28046024</v>
      </c>
      <c r="J4547">
        <v>189569142</v>
      </c>
      <c r="K4547">
        <v>55093129</v>
      </c>
      <c r="L4547">
        <v>69312435</v>
      </c>
      <c r="M4547">
        <v>60892720</v>
      </c>
      <c r="N4547">
        <v>33898830</v>
      </c>
      <c r="O4547">
        <v>21812562</v>
      </c>
      <c r="P4547">
        <v>108</v>
      </c>
      <c r="Q4547" t="s">
        <v>9439</v>
      </c>
    </row>
    <row r="4548" spans="1:17" x14ac:dyDescent="0.3">
      <c r="A4548" t="s">
        <v>75</v>
      </c>
      <c r="B4548" t="str">
        <f>"301288"</f>
        <v>301288</v>
      </c>
      <c r="C4548" t="s">
        <v>9440</v>
      </c>
      <c r="E4548">
        <v>22170552</v>
      </c>
      <c r="P4548">
        <v>4</v>
      </c>
      <c r="Q4548" t="s">
        <v>9441</v>
      </c>
    </row>
    <row r="4549" spans="1:17" x14ac:dyDescent="0.3">
      <c r="A4549" t="s">
        <v>75</v>
      </c>
      <c r="B4549" t="str">
        <f>"300853"</f>
        <v>300853</v>
      </c>
      <c r="C4549" t="s">
        <v>9442</v>
      </c>
      <c r="D4549" t="s">
        <v>3105</v>
      </c>
      <c r="E4549">
        <v>22104843</v>
      </c>
      <c r="F4549">
        <v>48077922</v>
      </c>
      <c r="G4549">
        <v>33478595</v>
      </c>
      <c r="H4549">
        <v>21869195</v>
      </c>
      <c r="P4549">
        <v>142</v>
      </c>
      <c r="Q4549" t="s">
        <v>9443</v>
      </c>
    </row>
    <row r="4550" spans="1:17" x14ac:dyDescent="0.3">
      <c r="A4550" t="s">
        <v>75</v>
      </c>
      <c r="B4550" t="str">
        <f>"002629"</f>
        <v>002629</v>
      </c>
      <c r="C4550" t="s">
        <v>9444</v>
      </c>
      <c r="D4550" t="s">
        <v>462</v>
      </c>
      <c r="E4550">
        <v>22092183</v>
      </c>
      <c r="F4550">
        <v>18524075</v>
      </c>
      <c r="G4550">
        <v>15137590</v>
      </c>
      <c r="H4550">
        <v>28874578</v>
      </c>
      <c r="I4550">
        <v>651106255</v>
      </c>
      <c r="J4550">
        <v>618682468</v>
      </c>
      <c r="K4550">
        <v>80582883</v>
      </c>
      <c r="L4550">
        <v>193545979</v>
      </c>
      <c r="M4550">
        <v>299913451</v>
      </c>
      <c r="N4550">
        <v>186701628</v>
      </c>
      <c r="O4550">
        <v>200696434</v>
      </c>
      <c r="P4550">
        <v>60</v>
      </c>
      <c r="Q4550" t="s">
        <v>9445</v>
      </c>
    </row>
    <row r="4551" spans="1:17" x14ac:dyDescent="0.3">
      <c r="A4551" t="s">
        <v>17</v>
      </c>
      <c r="B4551" t="str">
        <f>"688004"</f>
        <v>688004</v>
      </c>
      <c r="C4551" t="s">
        <v>9446</v>
      </c>
      <c r="D4551" t="s">
        <v>224</v>
      </c>
      <c r="E4551">
        <v>21891481</v>
      </c>
      <c r="F4551">
        <v>24864989</v>
      </c>
      <c r="G4551">
        <v>19606368</v>
      </c>
      <c r="P4551">
        <v>37</v>
      </c>
      <c r="Q4551" t="s">
        <v>9447</v>
      </c>
    </row>
    <row r="4552" spans="1:17" x14ac:dyDescent="0.3">
      <c r="A4552" t="s">
        <v>75</v>
      </c>
      <c r="B4552" t="str">
        <f>"000820"</f>
        <v>000820</v>
      </c>
      <c r="C4552" t="s">
        <v>9448</v>
      </c>
      <c r="D4552" t="s">
        <v>1187</v>
      </c>
      <c r="E4552">
        <v>21496455</v>
      </c>
      <c r="F4552">
        <v>0</v>
      </c>
      <c r="G4552">
        <v>310000</v>
      </c>
      <c r="H4552">
        <v>596650</v>
      </c>
      <c r="I4552">
        <v>32617928</v>
      </c>
      <c r="J4552">
        <v>508851820</v>
      </c>
      <c r="K4552">
        <v>63958515</v>
      </c>
      <c r="L4552">
        <v>64414368</v>
      </c>
      <c r="M4552">
        <v>72188997</v>
      </c>
      <c r="N4552">
        <v>67394314</v>
      </c>
      <c r="O4552">
        <v>54222488</v>
      </c>
      <c r="P4552">
        <v>156</v>
      </c>
      <c r="Q4552" t="s">
        <v>9449</v>
      </c>
    </row>
    <row r="4553" spans="1:17" x14ac:dyDescent="0.3">
      <c r="A4553" t="s">
        <v>75</v>
      </c>
      <c r="B4553" t="str">
        <f>"000616"</f>
        <v>000616</v>
      </c>
      <c r="C4553" t="s">
        <v>9450</v>
      </c>
      <c r="D4553" t="s">
        <v>65</v>
      </c>
      <c r="E4553">
        <v>21048304</v>
      </c>
      <c r="F4553">
        <v>9755803</v>
      </c>
      <c r="G4553">
        <v>13187662</v>
      </c>
      <c r="H4553">
        <v>52971834</v>
      </c>
      <c r="I4553">
        <v>20022866</v>
      </c>
      <c r="J4553">
        <v>14126202</v>
      </c>
      <c r="K4553">
        <v>87448829</v>
      </c>
      <c r="L4553">
        <v>127778955</v>
      </c>
      <c r="M4553">
        <v>472878968</v>
      </c>
      <c r="N4553">
        <v>564360313</v>
      </c>
      <c r="O4553">
        <v>806151572</v>
      </c>
      <c r="P4553">
        <v>140</v>
      </c>
      <c r="Q4553" t="s">
        <v>9451</v>
      </c>
    </row>
    <row r="4554" spans="1:17" x14ac:dyDescent="0.3">
      <c r="A4554" t="s">
        <v>17</v>
      </c>
      <c r="B4554" t="str">
        <f>"688098"</f>
        <v>688098</v>
      </c>
      <c r="C4554" t="s">
        <v>9452</v>
      </c>
      <c r="D4554" t="s">
        <v>3609</v>
      </c>
      <c r="E4554">
        <v>21017968</v>
      </c>
      <c r="F4554">
        <v>40795871</v>
      </c>
      <c r="G4554">
        <v>39017636</v>
      </c>
      <c r="H4554">
        <v>0</v>
      </c>
      <c r="I4554">
        <v>0</v>
      </c>
      <c r="P4554">
        <v>73</v>
      </c>
      <c r="Q4554" t="s">
        <v>9453</v>
      </c>
    </row>
    <row r="4555" spans="1:17" x14ac:dyDescent="0.3">
      <c r="A4555" t="s">
        <v>17</v>
      </c>
      <c r="B4555" t="str">
        <f>"600421"</f>
        <v>600421</v>
      </c>
      <c r="C4555" t="s">
        <v>9454</v>
      </c>
      <c r="D4555" t="s">
        <v>153</v>
      </c>
      <c r="E4555">
        <v>20924542</v>
      </c>
      <c r="F4555">
        <v>23399720</v>
      </c>
      <c r="G4555">
        <v>16156587</v>
      </c>
      <c r="H4555">
        <v>2302803</v>
      </c>
      <c r="I4555">
        <v>2403627</v>
      </c>
      <c r="J4555">
        <v>7596778</v>
      </c>
      <c r="K4555">
        <v>6213492</v>
      </c>
      <c r="L4555">
        <v>11099387</v>
      </c>
      <c r="M4555">
        <v>10341373</v>
      </c>
      <c r="N4555">
        <v>25444644</v>
      </c>
      <c r="O4555">
        <v>2869346</v>
      </c>
      <c r="P4555">
        <v>44</v>
      </c>
      <c r="Q4555" t="s">
        <v>9455</v>
      </c>
    </row>
    <row r="4556" spans="1:17" x14ac:dyDescent="0.3">
      <c r="A4556" t="s">
        <v>75</v>
      </c>
      <c r="B4556" t="str">
        <f>"000503"</f>
        <v>000503</v>
      </c>
      <c r="C4556" t="s">
        <v>9456</v>
      </c>
      <c r="D4556" t="s">
        <v>116</v>
      </c>
      <c r="E4556">
        <v>20668676</v>
      </c>
      <c r="F4556">
        <v>10863336</v>
      </c>
      <c r="G4556">
        <v>5409990</v>
      </c>
      <c r="H4556">
        <v>10131075</v>
      </c>
      <c r="I4556">
        <v>5960870</v>
      </c>
      <c r="J4556">
        <v>28525897</v>
      </c>
      <c r="K4556">
        <v>53344235</v>
      </c>
      <c r="L4556">
        <v>29617863</v>
      </c>
      <c r="M4556">
        <v>30700680</v>
      </c>
      <c r="N4556">
        <v>36147954</v>
      </c>
      <c r="O4556">
        <v>26418932</v>
      </c>
      <c r="P4556">
        <v>174</v>
      </c>
      <c r="Q4556" t="s">
        <v>9457</v>
      </c>
    </row>
    <row r="4557" spans="1:17" x14ac:dyDescent="0.3">
      <c r="A4557" t="s">
        <v>75</v>
      </c>
      <c r="B4557" t="str">
        <f>"300392"</f>
        <v>300392</v>
      </c>
      <c r="C4557" t="s">
        <v>9458</v>
      </c>
      <c r="D4557" t="s">
        <v>622</v>
      </c>
      <c r="E4557">
        <v>20623877</v>
      </c>
      <c r="F4557">
        <v>27419479</v>
      </c>
      <c r="G4557">
        <v>349493368</v>
      </c>
      <c r="H4557">
        <v>188105718</v>
      </c>
      <c r="I4557">
        <v>321736143</v>
      </c>
      <c r="J4557">
        <v>319699253</v>
      </c>
      <c r="K4557">
        <v>429681745</v>
      </c>
      <c r="L4557">
        <v>228034985</v>
      </c>
      <c r="M4557">
        <v>112686897</v>
      </c>
      <c r="P4557">
        <v>66</v>
      </c>
      <c r="Q4557" t="s">
        <v>9459</v>
      </c>
    </row>
    <row r="4558" spans="1:17" x14ac:dyDescent="0.3">
      <c r="A4558" t="s">
        <v>75</v>
      </c>
      <c r="B4558" t="str">
        <f>"002621"</f>
        <v>002621</v>
      </c>
      <c r="C4558" t="s">
        <v>9460</v>
      </c>
      <c r="D4558" t="s">
        <v>1739</v>
      </c>
      <c r="E4558">
        <v>20431511</v>
      </c>
      <c r="F4558">
        <v>52582401</v>
      </c>
      <c r="G4558">
        <v>56764781</v>
      </c>
      <c r="H4558">
        <v>114184848</v>
      </c>
      <c r="I4558">
        <v>46475476</v>
      </c>
      <c r="J4558">
        <v>29773068</v>
      </c>
      <c r="K4558">
        <v>21883584</v>
      </c>
      <c r="L4558">
        <v>38094568</v>
      </c>
      <c r="M4558">
        <v>44053831</v>
      </c>
      <c r="N4558">
        <v>45364589</v>
      </c>
      <c r="O4558">
        <v>76421561</v>
      </c>
      <c r="P4558">
        <v>143</v>
      </c>
      <c r="Q4558" t="s">
        <v>9461</v>
      </c>
    </row>
    <row r="4559" spans="1:17" x14ac:dyDescent="0.3">
      <c r="A4559" t="s">
        <v>75</v>
      </c>
      <c r="B4559" t="str">
        <f>"300581"</f>
        <v>300581</v>
      </c>
      <c r="C4559" t="s">
        <v>9462</v>
      </c>
      <c r="D4559" t="s">
        <v>1551</v>
      </c>
      <c r="E4559">
        <v>20294972</v>
      </c>
      <c r="F4559">
        <v>97563005</v>
      </c>
      <c r="G4559">
        <v>48361675</v>
      </c>
      <c r="H4559">
        <v>31927931</v>
      </c>
      <c r="I4559">
        <v>36739882</v>
      </c>
      <c r="J4559">
        <v>9437403</v>
      </c>
      <c r="K4559">
        <v>44549855</v>
      </c>
      <c r="P4559">
        <v>151</v>
      </c>
      <c r="Q4559" t="s">
        <v>9463</v>
      </c>
    </row>
    <row r="4560" spans="1:17" x14ac:dyDescent="0.3">
      <c r="A4560" t="s">
        <v>17</v>
      </c>
      <c r="B4560" t="str">
        <f>"600838"</f>
        <v>600838</v>
      </c>
      <c r="C4560" t="s">
        <v>9464</v>
      </c>
      <c r="D4560" t="s">
        <v>359</v>
      </c>
      <c r="E4560">
        <v>19988908</v>
      </c>
      <c r="F4560">
        <v>25145190</v>
      </c>
      <c r="G4560">
        <v>20800975</v>
      </c>
      <c r="H4560">
        <v>16813487</v>
      </c>
      <c r="I4560">
        <v>16195607</v>
      </c>
      <c r="J4560">
        <v>23258177</v>
      </c>
      <c r="K4560">
        <v>18642343</v>
      </c>
      <c r="L4560">
        <v>25832612</v>
      </c>
      <c r="M4560">
        <v>28709403</v>
      </c>
      <c r="N4560">
        <v>50894830</v>
      </c>
      <c r="O4560">
        <v>55079427</v>
      </c>
      <c r="P4560">
        <v>79</v>
      </c>
      <c r="Q4560" t="s">
        <v>9465</v>
      </c>
    </row>
    <row r="4561" spans="1:17" x14ac:dyDescent="0.3">
      <c r="A4561" t="s">
        <v>17</v>
      </c>
      <c r="B4561" t="str">
        <f>"688027"</f>
        <v>688027</v>
      </c>
      <c r="C4561" t="s">
        <v>9466</v>
      </c>
      <c r="D4561" t="s">
        <v>556</v>
      </c>
      <c r="E4561">
        <v>19873029</v>
      </c>
      <c r="F4561">
        <v>33185275</v>
      </c>
      <c r="G4561">
        <v>19239376</v>
      </c>
      <c r="H4561">
        <v>67994190</v>
      </c>
      <c r="P4561">
        <v>98</v>
      </c>
      <c r="Q4561" t="s">
        <v>9467</v>
      </c>
    </row>
    <row r="4562" spans="1:17" x14ac:dyDescent="0.3">
      <c r="A4562" t="s">
        <v>75</v>
      </c>
      <c r="B4562" t="str">
        <f>"300023"</f>
        <v>300023</v>
      </c>
      <c r="C4562" t="s">
        <v>9468</v>
      </c>
      <c r="D4562" t="s">
        <v>370</v>
      </c>
      <c r="E4562">
        <v>19508285</v>
      </c>
      <c r="F4562">
        <v>2271371</v>
      </c>
      <c r="G4562">
        <v>10563752</v>
      </c>
      <c r="H4562">
        <v>22391042</v>
      </c>
      <c r="I4562">
        <v>100241284</v>
      </c>
      <c r="J4562">
        <v>164195365</v>
      </c>
      <c r="K4562">
        <v>82467103</v>
      </c>
      <c r="L4562">
        <v>11478523</v>
      </c>
      <c r="M4562">
        <v>15370730</v>
      </c>
      <c r="N4562">
        <v>15195748</v>
      </c>
      <c r="O4562">
        <v>11682371</v>
      </c>
      <c r="P4562">
        <v>61</v>
      </c>
      <c r="Q4562" t="s">
        <v>9469</v>
      </c>
    </row>
    <row r="4563" spans="1:17" x14ac:dyDescent="0.3">
      <c r="A4563" t="s">
        <v>17</v>
      </c>
      <c r="B4563" t="str">
        <f>"600385"</f>
        <v>600385</v>
      </c>
      <c r="C4563" t="s">
        <v>9470</v>
      </c>
      <c r="D4563" t="s">
        <v>543</v>
      </c>
      <c r="E4563">
        <v>19358988</v>
      </c>
      <c r="F4563">
        <v>13801798</v>
      </c>
      <c r="G4563">
        <v>10762140</v>
      </c>
      <c r="H4563">
        <v>493103</v>
      </c>
      <c r="I4563">
        <v>493850</v>
      </c>
      <c r="J4563">
        <v>2526475</v>
      </c>
      <c r="K4563">
        <v>178650658</v>
      </c>
      <c r="L4563">
        <v>162513315</v>
      </c>
      <c r="M4563">
        <v>298820895</v>
      </c>
      <c r="N4563">
        <v>1140065</v>
      </c>
      <c r="O4563">
        <v>1204210</v>
      </c>
      <c r="P4563">
        <v>51</v>
      </c>
      <c r="Q4563" t="s">
        <v>9471</v>
      </c>
    </row>
    <row r="4564" spans="1:17" x14ac:dyDescent="0.3">
      <c r="A4564" t="s">
        <v>75</v>
      </c>
      <c r="B4564" t="str">
        <f>"300449"</f>
        <v>300449</v>
      </c>
      <c r="C4564" t="s">
        <v>9472</v>
      </c>
      <c r="D4564" t="s">
        <v>337</v>
      </c>
      <c r="E4564">
        <v>19320099</v>
      </c>
      <c r="F4564">
        <v>128044823</v>
      </c>
      <c r="G4564">
        <v>89550465</v>
      </c>
      <c r="H4564">
        <v>95934413</v>
      </c>
      <c r="I4564">
        <v>81258035</v>
      </c>
      <c r="J4564">
        <v>81371187</v>
      </c>
      <c r="K4564">
        <v>42128791</v>
      </c>
      <c r="L4564">
        <v>53446962</v>
      </c>
      <c r="M4564">
        <v>41569960</v>
      </c>
      <c r="P4564">
        <v>85</v>
      </c>
      <c r="Q4564" t="s">
        <v>9473</v>
      </c>
    </row>
    <row r="4565" spans="1:17" x14ac:dyDescent="0.3">
      <c r="A4565" t="s">
        <v>75</v>
      </c>
      <c r="B4565" t="str">
        <f>"000638"</f>
        <v>000638</v>
      </c>
      <c r="C4565" t="s">
        <v>9474</v>
      </c>
      <c r="D4565" t="s">
        <v>224</v>
      </c>
      <c r="E4565">
        <v>18054927</v>
      </c>
      <c r="F4565">
        <v>28699287</v>
      </c>
      <c r="G4565">
        <v>38049273</v>
      </c>
      <c r="H4565">
        <v>16608425</v>
      </c>
      <c r="I4565">
        <v>18588491</v>
      </c>
      <c r="J4565">
        <v>559396562</v>
      </c>
      <c r="K4565">
        <v>22529517</v>
      </c>
      <c r="L4565">
        <v>50143467</v>
      </c>
      <c r="M4565">
        <v>40294061</v>
      </c>
      <c r="N4565">
        <v>26671731</v>
      </c>
      <c r="O4565">
        <v>0</v>
      </c>
      <c r="P4565">
        <v>87</v>
      </c>
      <c r="Q4565" t="s">
        <v>9475</v>
      </c>
    </row>
    <row r="4566" spans="1:17" x14ac:dyDescent="0.3">
      <c r="A4566" t="s">
        <v>75</v>
      </c>
      <c r="B4566" t="str">
        <f>"300492"</f>
        <v>300492</v>
      </c>
      <c r="C4566" t="s">
        <v>9476</v>
      </c>
      <c r="D4566" t="s">
        <v>2118</v>
      </c>
      <c r="E4566">
        <v>17859778</v>
      </c>
      <c r="F4566">
        <v>21827289</v>
      </c>
      <c r="G4566">
        <v>22372254</v>
      </c>
      <c r="H4566">
        <v>37419389</v>
      </c>
      <c r="I4566">
        <v>43629939</v>
      </c>
      <c r="J4566">
        <v>20577801</v>
      </c>
      <c r="K4566">
        <v>25960208</v>
      </c>
      <c r="L4566">
        <v>38655533</v>
      </c>
      <c r="M4566">
        <v>31019587</v>
      </c>
      <c r="P4566">
        <v>94</v>
      </c>
      <c r="Q4566" t="s">
        <v>9477</v>
      </c>
    </row>
    <row r="4567" spans="1:17" x14ac:dyDescent="0.3">
      <c r="A4567" t="s">
        <v>75</v>
      </c>
      <c r="B4567" t="str">
        <f>"300906"</f>
        <v>300906</v>
      </c>
      <c r="C4567" t="s">
        <v>9478</v>
      </c>
      <c r="D4567" t="s">
        <v>2549</v>
      </c>
      <c r="E4567">
        <v>17794694</v>
      </c>
      <c r="F4567">
        <v>25396004</v>
      </c>
      <c r="G4567">
        <v>17415766</v>
      </c>
      <c r="P4567">
        <v>60</v>
      </c>
      <c r="Q4567" t="s">
        <v>9479</v>
      </c>
    </row>
    <row r="4568" spans="1:17" x14ac:dyDescent="0.3">
      <c r="A4568" t="s">
        <v>75</v>
      </c>
      <c r="B4568" t="str">
        <f>"002177"</f>
        <v>002177</v>
      </c>
      <c r="C4568" t="s">
        <v>9480</v>
      </c>
      <c r="D4568" t="s">
        <v>508</v>
      </c>
      <c r="E4568">
        <v>17674246</v>
      </c>
      <c r="F4568">
        <v>21526232</v>
      </c>
      <c r="G4568">
        <v>36659112</v>
      </c>
      <c r="H4568">
        <v>60234358</v>
      </c>
      <c r="I4568">
        <v>122893282</v>
      </c>
      <c r="J4568">
        <v>112693954</v>
      </c>
      <c r="K4568">
        <v>228744718</v>
      </c>
      <c r="L4568">
        <v>147275927</v>
      </c>
      <c r="M4568">
        <v>124133009</v>
      </c>
      <c r="N4568">
        <v>126310186</v>
      </c>
      <c r="O4568">
        <v>146943756</v>
      </c>
      <c r="P4568">
        <v>3025</v>
      </c>
      <c r="Q4568" t="s">
        <v>9481</v>
      </c>
    </row>
    <row r="4569" spans="1:17" x14ac:dyDescent="0.3">
      <c r="A4569" t="s">
        <v>75</v>
      </c>
      <c r="B4569" t="str">
        <f>"000606"</f>
        <v>000606</v>
      </c>
      <c r="C4569" t="s">
        <v>9482</v>
      </c>
      <c r="D4569" t="s">
        <v>224</v>
      </c>
      <c r="E4569">
        <v>17505871</v>
      </c>
      <c r="F4569">
        <v>183765837</v>
      </c>
      <c r="G4569">
        <v>1196166081</v>
      </c>
      <c r="H4569">
        <v>371335436</v>
      </c>
      <c r="I4569">
        <v>134777491</v>
      </c>
      <c r="J4569">
        <v>91700392</v>
      </c>
      <c r="K4569">
        <v>62068954</v>
      </c>
      <c r="L4569">
        <v>82907103</v>
      </c>
      <c r="M4569">
        <v>107678442</v>
      </c>
      <c r="N4569">
        <v>99223640</v>
      </c>
      <c r="O4569">
        <v>95701772</v>
      </c>
      <c r="P4569">
        <v>99</v>
      </c>
      <c r="Q4569" t="s">
        <v>9483</v>
      </c>
    </row>
    <row r="4570" spans="1:17" x14ac:dyDescent="0.3">
      <c r="A4570" t="s">
        <v>17</v>
      </c>
      <c r="B4570" t="str">
        <f>"600423"</f>
        <v>600423</v>
      </c>
      <c r="C4570" t="s">
        <v>9484</v>
      </c>
      <c r="D4570" t="s">
        <v>1035</v>
      </c>
      <c r="E4570">
        <v>17448334</v>
      </c>
      <c r="F4570">
        <v>30476596</v>
      </c>
      <c r="G4570">
        <v>10430902</v>
      </c>
      <c r="H4570">
        <v>126568091</v>
      </c>
      <c r="I4570">
        <v>279604860</v>
      </c>
      <c r="J4570">
        <v>310448951</v>
      </c>
      <c r="K4570">
        <v>400410015</v>
      </c>
      <c r="L4570">
        <v>426788635</v>
      </c>
      <c r="M4570">
        <v>437464941</v>
      </c>
      <c r="N4570">
        <v>614030718</v>
      </c>
      <c r="O4570">
        <v>809130877</v>
      </c>
      <c r="P4570">
        <v>74</v>
      </c>
      <c r="Q4570" t="s">
        <v>9485</v>
      </c>
    </row>
    <row r="4571" spans="1:17" x14ac:dyDescent="0.3">
      <c r="A4571" t="s">
        <v>17</v>
      </c>
      <c r="B4571" t="str">
        <f>"600783"</f>
        <v>600783</v>
      </c>
      <c r="C4571" t="s">
        <v>9486</v>
      </c>
      <c r="D4571" t="s">
        <v>1284</v>
      </c>
      <c r="E4571">
        <v>17282374</v>
      </c>
      <c r="F4571">
        <v>17404661</v>
      </c>
      <c r="G4571">
        <v>13391737</v>
      </c>
      <c r="H4571">
        <v>45013683</v>
      </c>
      <c r="I4571">
        <v>32224674</v>
      </c>
      <c r="J4571">
        <v>36890068</v>
      </c>
      <c r="K4571">
        <v>38973129</v>
      </c>
      <c r="L4571">
        <v>37553690</v>
      </c>
      <c r="M4571">
        <v>37106775</v>
      </c>
      <c r="N4571">
        <v>45682900</v>
      </c>
      <c r="O4571">
        <v>54882689</v>
      </c>
      <c r="P4571">
        <v>124</v>
      </c>
      <c r="Q4571" t="s">
        <v>9487</v>
      </c>
    </row>
    <row r="4572" spans="1:17" x14ac:dyDescent="0.3">
      <c r="A4572" t="s">
        <v>17</v>
      </c>
      <c r="B4572" t="str">
        <f>"600647"</f>
        <v>600647</v>
      </c>
      <c r="C4572" t="s">
        <v>9488</v>
      </c>
      <c r="D4572" t="s">
        <v>1284</v>
      </c>
      <c r="E4572">
        <v>16746504</v>
      </c>
      <c r="F4572">
        <v>16370768</v>
      </c>
      <c r="G4572">
        <v>2388</v>
      </c>
      <c r="H4572">
        <v>822264</v>
      </c>
      <c r="I4572">
        <v>6674503</v>
      </c>
      <c r="J4572">
        <v>14603933</v>
      </c>
      <c r="K4572">
        <v>15065960</v>
      </c>
      <c r="L4572">
        <v>42493352</v>
      </c>
      <c r="M4572">
        <v>38356225</v>
      </c>
      <c r="N4572">
        <v>49518273</v>
      </c>
      <c r="O4572">
        <v>73501496</v>
      </c>
      <c r="P4572">
        <v>75</v>
      </c>
      <c r="Q4572" t="s">
        <v>9489</v>
      </c>
    </row>
    <row r="4573" spans="1:17" x14ac:dyDescent="0.3">
      <c r="A4573" t="s">
        <v>17</v>
      </c>
      <c r="B4573" t="str">
        <f>"600112"</f>
        <v>600112</v>
      </c>
      <c r="C4573" t="s">
        <v>9490</v>
      </c>
      <c r="D4573" t="s">
        <v>347</v>
      </c>
      <c r="E4573">
        <v>16523620</v>
      </c>
      <c r="F4573">
        <v>23101308</v>
      </c>
      <c r="G4573">
        <v>36934481</v>
      </c>
      <c r="H4573">
        <v>44795975</v>
      </c>
      <c r="I4573">
        <v>171495184</v>
      </c>
      <c r="J4573">
        <v>147530368</v>
      </c>
      <c r="K4573">
        <v>165551584</v>
      </c>
      <c r="L4573">
        <v>126729119</v>
      </c>
      <c r="M4573">
        <v>124076787</v>
      </c>
      <c r="N4573">
        <v>163588262</v>
      </c>
      <c r="O4573">
        <v>108301916</v>
      </c>
      <c r="P4573">
        <v>56</v>
      </c>
      <c r="Q4573" t="s">
        <v>9491</v>
      </c>
    </row>
    <row r="4574" spans="1:17" x14ac:dyDescent="0.3">
      <c r="A4574" t="s">
        <v>75</v>
      </c>
      <c r="B4574" t="str">
        <f>"300478"</f>
        <v>300478</v>
      </c>
      <c r="C4574" t="s">
        <v>9492</v>
      </c>
      <c r="D4574" t="s">
        <v>639</v>
      </c>
      <c r="E4574">
        <v>15641866</v>
      </c>
      <c r="F4574">
        <v>40895878</v>
      </c>
      <c r="G4574">
        <v>110424870</v>
      </c>
      <c r="H4574">
        <v>172371435</v>
      </c>
      <c r="I4574">
        <v>101389632</v>
      </c>
      <c r="J4574">
        <v>75248426</v>
      </c>
      <c r="K4574">
        <v>63446717</v>
      </c>
      <c r="L4574">
        <v>0</v>
      </c>
      <c r="M4574">
        <v>0</v>
      </c>
      <c r="P4574">
        <v>58</v>
      </c>
      <c r="Q4574" t="s">
        <v>9493</v>
      </c>
    </row>
    <row r="4575" spans="1:17" x14ac:dyDescent="0.3">
      <c r="A4575" t="s">
        <v>75</v>
      </c>
      <c r="B4575" t="str">
        <f>"002495"</f>
        <v>002495</v>
      </c>
      <c r="C4575" t="s">
        <v>9494</v>
      </c>
      <c r="D4575" t="s">
        <v>774</v>
      </c>
      <c r="E4575">
        <v>15145957</v>
      </c>
      <c r="F4575">
        <v>40629563</v>
      </c>
      <c r="G4575">
        <v>5167524</v>
      </c>
      <c r="H4575">
        <v>69440918</v>
      </c>
      <c r="I4575">
        <v>84609718</v>
      </c>
      <c r="J4575">
        <v>76291570</v>
      </c>
      <c r="K4575">
        <v>63449282</v>
      </c>
      <c r="L4575">
        <v>86737274</v>
      </c>
      <c r="M4575">
        <v>61813506</v>
      </c>
      <c r="N4575">
        <v>74239395</v>
      </c>
      <c r="O4575">
        <v>61596389</v>
      </c>
      <c r="P4575">
        <v>113</v>
      </c>
      <c r="Q4575" t="s">
        <v>9495</v>
      </c>
    </row>
    <row r="4576" spans="1:17" x14ac:dyDescent="0.3">
      <c r="A4576" t="s">
        <v>17</v>
      </c>
      <c r="B4576" t="str">
        <f>"600767"</f>
        <v>600767</v>
      </c>
      <c r="C4576" t="s">
        <v>9496</v>
      </c>
      <c r="D4576" t="s">
        <v>123</v>
      </c>
      <c r="E4576">
        <v>14971723</v>
      </c>
      <c r="F4576">
        <v>21094426</v>
      </c>
      <c r="G4576">
        <v>11971092</v>
      </c>
      <c r="H4576">
        <v>34517918</v>
      </c>
      <c r="I4576">
        <v>5032218</v>
      </c>
      <c r="J4576">
        <v>6151095</v>
      </c>
      <c r="K4576">
        <v>9600162</v>
      </c>
      <c r="L4576">
        <v>3098900</v>
      </c>
      <c r="M4576">
        <v>8663081</v>
      </c>
      <c r="N4576">
        <v>190514972</v>
      </c>
      <c r="O4576">
        <v>29345100</v>
      </c>
      <c r="P4576">
        <v>62</v>
      </c>
      <c r="Q4576" t="s">
        <v>9497</v>
      </c>
    </row>
    <row r="4577" spans="1:17" x14ac:dyDescent="0.3">
      <c r="A4577" t="s">
        <v>17</v>
      </c>
      <c r="B4577" t="str">
        <f>"600191"</f>
        <v>600191</v>
      </c>
      <c r="C4577" t="s">
        <v>9498</v>
      </c>
      <c r="D4577" t="s">
        <v>831</v>
      </c>
      <c r="E4577">
        <v>14584078</v>
      </c>
      <c r="F4577">
        <v>400000</v>
      </c>
      <c r="G4577">
        <v>12080000</v>
      </c>
      <c r="H4577">
        <v>10327037</v>
      </c>
      <c r="I4577">
        <v>1164018</v>
      </c>
      <c r="J4577">
        <v>61675220</v>
      </c>
      <c r="K4577">
        <v>1764795</v>
      </c>
      <c r="L4577">
        <v>13222370</v>
      </c>
      <c r="M4577">
        <v>55131260</v>
      </c>
      <c r="N4577">
        <v>5185481</v>
      </c>
      <c r="O4577">
        <v>8910568</v>
      </c>
      <c r="P4577">
        <v>121</v>
      </c>
      <c r="Q4577" t="s">
        <v>9499</v>
      </c>
    </row>
    <row r="4578" spans="1:17" x14ac:dyDescent="0.3">
      <c r="A4578" t="s">
        <v>17</v>
      </c>
      <c r="B4578" t="str">
        <f>"688163"</f>
        <v>688163</v>
      </c>
      <c r="C4578" t="s">
        <v>9500</v>
      </c>
      <c r="E4578">
        <v>14127413</v>
      </c>
      <c r="P4578">
        <v>12</v>
      </c>
      <c r="Q4578" t="s">
        <v>9501</v>
      </c>
    </row>
    <row r="4579" spans="1:17" x14ac:dyDescent="0.3">
      <c r="A4579" t="s">
        <v>75</v>
      </c>
      <c r="B4579" t="str">
        <f>"002447"</f>
        <v>002447</v>
      </c>
      <c r="C4579" t="s">
        <v>9502</v>
      </c>
      <c r="D4579" t="s">
        <v>1165</v>
      </c>
      <c r="E4579">
        <v>13730828</v>
      </c>
      <c r="F4579">
        <v>28602269</v>
      </c>
      <c r="G4579">
        <v>1484692</v>
      </c>
      <c r="H4579">
        <v>10076760</v>
      </c>
      <c r="I4579">
        <v>131860159</v>
      </c>
      <c r="J4579">
        <v>98630473</v>
      </c>
      <c r="K4579">
        <v>32364607</v>
      </c>
      <c r="L4579">
        <v>61215639</v>
      </c>
      <c r="M4579">
        <v>68720975</v>
      </c>
      <c r="N4579">
        <v>28311306</v>
      </c>
      <c r="O4579">
        <v>18257914</v>
      </c>
      <c r="P4579">
        <v>92</v>
      </c>
      <c r="Q4579" t="s">
        <v>9503</v>
      </c>
    </row>
    <row r="4580" spans="1:17" x14ac:dyDescent="0.3">
      <c r="A4580" t="s">
        <v>75</v>
      </c>
      <c r="B4580" t="str">
        <f>"301016"</f>
        <v>301016</v>
      </c>
      <c r="C4580" t="s">
        <v>9504</v>
      </c>
      <c r="D4580" t="s">
        <v>156</v>
      </c>
      <c r="E4580">
        <v>13440147</v>
      </c>
      <c r="F4580">
        <v>15547126</v>
      </c>
      <c r="G4580">
        <v>37453874</v>
      </c>
      <c r="P4580">
        <v>35</v>
      </c>
      <c r="Q4580" t="s">
        <v>9505</v>
      </c>
    </row>
    <row r="4581" spans="1:17" x14ac:dyDescent="0.3">
      <c r="A4581" t="s">
        <v>17</v>
      </c>
      <c r="B4581" t="str">
        <f>"688221"</f>
        <v>688221</v>
      </c>
      <c r="C4581" t="s">
        <v>9506</v>
      </c>
      <c r="D4581" t="s">
        <v>543</v>
      </c>
      <c r="E4581">
        <v>13412566</v>
      </c>
      <c r="F4581">
        <v>7249272</v>
      </c>
      <c r="G4581">
        <v>0</v>
      </c>
      <c r="H4581">
        <v>1908861</v>
      </c>
      <c r="P4581">
        <v>51</v>
      </c>
      <c r="Q4581" t="s">
        <v>9507</v>
      </c>
    </row>
    <row r="4582" spans="1:17" x14ac:dyDescent="0.3">
      <c r="A4582" t="s">
        <v>75</v>
      </c>
      <c r="B4582" t="str">
        <f>"301185"</f>
        <v>301185</v>
      </c>
      <c r="C4582" t="s">
        <v>9508</v>
      </c>
      <c r="D4582" t="s">
        <v>224</v>
      </c>
      <c r="E4582">
        <v>12978599</v>
      </c>
      <c r="F4582">
        <v>9082374</v>
      </c>
      <c r="P4582">
        <v>20</v>
      </c>
      <c r="Q4582" t="s">
        <v>9509</v>
      </c>
    </row>
    <row r="4583" spans="1:17" x14ac:dyDescent="0.3">
      <c r="A4583" t="s">
        <v>17</v>
      </c>
      <c r="B4583" t="str">
        <f>"600769"</f>
        <v>600769</v>
      </c>
      <c r="C4583" t="s">
        <v>9510</v>
      </c>
      <c r="D4583" t="s">
        <v>1107</v>
      </c>
      <c r="E4583">
        <v>12693484</v>
      </c>
      <c r="F4583">
        <v>8385835</v>
      </c>
      <c r="G4583">
        <v>6840710</v>
      </c>
      <c r="H4583">
        <v>5353743</v>
      </c>
      <c r="I4583">
        <v>13081510</v>
      </c>
      <c r="J4583">
        <v>24653690</v>
      </c>
      <c r="K4583">
        <v>6908611</v>
      </c>
      <c r="L4583">
        <v>2953707</v>
      </c>
      <c r="M4583">
        <v>2595317</v>
      </c>
      <c r="N4583">
        <v>1759000</v>
      </c>
      <c r="O4583">
        <v>191681102</v>
      </c>
      <c r="P4583">
        <v>65</v>
      </c>
      <c r="Q4583" t="s">
        <v>9511</v>
      </c>
    </row>
    <row r="4584" spans="1:17" x14ac:dyDescent="0.3">
      <c r="A4584" t="s">
        <v>17</v>
      </c>
      <c r="B4584" t="str">
        <f>"603991"</f>
        <v>603991</v>
      </c>
      <c r="C4584" t="s">
        <v>9512</v>
      </c>
      <c r="D4584" t="s">
        <v>3251</v>
      </c>
      <c r="E4584">
        <v>12550363</v>
      </c>
      <c r="F4584">
        <v>37748656</v>
      </c>
      <c r="G4584">
        <v>68371898</v>
      </c>
      <c r="H4584">
        <v>103816216</v>
      </c>
      <c r="I4584">
        <v>101771322</v>
      </c>
      <c r="J4584">
        <v>100338625</v>
      </c>
      <c r="K4584">
        <v>87808310</v>
      </c>
      <c r="P4584">
        <v>96</v>
      </c>
      <c r="Q4584" t="s">
        <v>9513</v>
      </c>
    </row>
    <row r="4585" spans="1:17" x14ac:dyDescent="0.3">
      <c r="A4585" t="s">
        <v>75</v>
      </c>
      <c r="B4585" t="str">
        <f>"300235"</f>
        <v>300235</v>
      </c>
      <c r="C4585" t="s">
        <v>9514</v>
      </c>
      <c r="D4585" t="s">
        <v>116</v>
      </c>
      <c r="E4585">
        <v>12408228</v>
      </c>
      <c r="F4585">
        <v>24813958</v>
      </c>
      <c r="G4585">
        <v>9942737</v>
      </c>
      <c r="H4585">
        <v>20233492</v>
      </c>
      <c r="I4585">
        <v>9736796</v>
      </c>
      <c r="J4585">
        <v>10111780</v>
      </c>
      <c r="K4585">
        <v>20907727</v>
      </c>
      <c r="L4585">
        <v>17401004</v>
      </c>
      <c r="M4585">
        <v>16047830</v>
      </c>
      <c r="N4585">
        <v>14606527</v>
      </c>
      <c r="O4585">
        <v>20758053</v>
      </c>
      <c r="P4585">
        <v>114</v>
      </c>
      <c r="Q4585" t="s">
        <v>9515</v>
      </c>
    </row>
    <row r="4586" spans="1:17" x14ac:dyDescent="0.3">
      <c r="A4586" t="s">
        <v>75</v>
      </c>
      <c r="B4586" t="str">
        <f>"300367"</f>
        <v>300367</v>
      </c>
      <c r="C4586" t="s">
        <v>9516</v>
      </c>
      <c r="D4586" t="s">
        <v>337</v>
      </c>
      <c r="E4586">
        <v>11956139</v>
      </c>
      <c r="F4586">
        <v>54968957</v>
      </c>
      <c r="G4586">
        <v>56488596</v>
      </c>
      <c r="H4586">
        <v>156406044</v>
      </c>
      <c r="I4586">
        <v>218276943</v>
      </c>
      <c r="J4586">
        <v>144690577</v>
      </c>
      <c r="K4586">
        <v>150876960</v>
      </c>
      <c r="L4586">
        <v>61810704</v>
      </c>
      <c r="M4586">
        <v>17913617</v>
      </c>
      <c r="N4586">
        <v>7685367</v>
      </c>
      <c r="P4586">
        <v>196</v>
      </c>
      <c r="Q4586" t="s">
        <v>9517</v>
      </c>
    </row>
    <row r="4587" spans="1:17" x14ac:dyDescent="0.3">
      <c r="A4587" t="s">
        <v>75</v>
      </c>
      <c r="B4587" t="str">
        <f>"300696"</f>
        <v>300696</v>
      </c>
      <c r="C4587" t="s">
        <v>9518</v>
      </c>
      <c r="D4587" t="s">
        <v>1551</v>
      </c>
      <c r="E4587">
        <v>11643856</v>
      </c>
      <c r="F4587">
        <v>52916370</v>
      </c>
      <c r="G4587">
        <v>13110385</v>
      </c>
      <c r="H4587">
        <v>43068856</v>
      </c>
      <c r="I4587">
        <v>14306400</v>
      </c>
      <c r="J4587">
        <v>42268376</v>
      </c>
      <c r="P4587">
        <v>222</v>
      </c>
      <c r="Q4587" t="s">
        <v>9519</v>
      </c>
    </row>
    <row r="4588" spans="1:17" x14ac:dyDescent="0.3">
      <c r="A4588" t="s">
        <v>17</v>
      </c>
      <c r="B4588" t="str">
        <f>"600149"</f>
        <v>600149</v>
      </c>
      <c r="C4588" t="s">
        <v>9520</v>
      </c>
      <c r="D4588" t="s">
        <v>446</v>
      </c>
      <c r="E4588">
        <v>11547937</v>
      </c>
      <c r="F4588">
        <v>10578357</v>
      </c>
      <c r="G4588">
        <v>15294239</v>
      </c>
      <c r="H4588">
        <v>3512283</v>
      </c>
      <c r="I4588">
        <v>-1761068</v>
      </c>
      <c r="J4588">
        <v>0</v>
      </c>
      <c r="K4588">
        <v>1946428</v>
      </c>
      <c r="L4588">
        <v>560000</v>
      </c>
      <c r="M4588">
        <v>809000</v>
      </c>
      <c r="N4588">
        <v>1775000</v>
      </c>
      <c r="O4588">
        <v>0</v>
      </c>
      <c r="P4588">
        <v>44</v>
      </c>
      <c r="Q4588" t="s">
        <v>9521</v>
      </c>
    </row>
    <row r="4589" spans="1:17" x14ac:dyDescent="0.3">
      <c r="A4589" t="s">
        <v>75</v>
      </c>
      <c r="B4589" t="str">
        <f>"200613"</f>
        <v>200613</v>
      </c>
      <c r="C4589" t="s">
        <v>9522</v>
      </c>
      <c r="E4589">
        <v>11420170.23</v>
      </c>
      <c r="F4589">
        <v>11873220.7125</v>
      </c>
      <c r="G4589">
        <v>4430607.8568000002</v>
      </c>
      <c r="H4589">
        <v>10766199.8124</v>
      </c>
      <c r="I4589">
        <v>13158051.116</v>
      </c>
      <c r="J4589">
        <v>10563798.0338</v>
      </c>
      <c r="K4589">
        <v>10206982.3982</v>
      </c>
      <c r="L4589">
        <v>7265717.5</v>
      </c>
      <c r="M4589">
        <v>10877241.7864</v>
      </c>
      <c r="N4589">
        <v>12297128.3946</v>
      </c>
      <c r="O4589">
        <v>14838973.749</v>
      </c>
      <c r="P4589">
        <v>4</v>
      </c>
      <c r="Q4589" t="s">
        <v>9523</v>
      </c>
    </row>
    <row r="4590" spans="1:17" x14ac:dyDescent="0.3">
      <c r="A4590" t="s">
        <v>17</v>
      </c>
      <c r="B4590" t="str">
        <f>"600695"</f>
        <v>600695</v>
      </c>
      <c r="C4590" t="s">
        <v>9524</v>
      </c>
      <c r="D4590" t="s">
        <v>5895</v>
      </c>
      <c r="E4590">
        <v>10974121</v>
      </c>
      <c r="F4590">
        <v>100870</v>
      </c>
      <c r="G4590">
        <v>649949</v>
      </c>
      <c r="H4590">
        <v>4023662</v>
      </c>
      <c r="I4590">
        <v>8259486</v>
      </c>
      <c r="J4590">
        <v>6947616</v>
      </c>
      <c r="K4590">
        <v>19446075</v>
      </c>
      <c r="L4590">
        <v>60746594</v>
      </c>
      <c r="M4590">
        <v>58611498</v>
      </c>
      <c r="N4590">
        <v>53948020</v>
      </c>
      <c r="O4590">
        <v>81139801</v>
      </c>
      <c r="P4590">
        <v>74</v>
      </c>
      <c r="Q4590" t="s">
        <v>9525</v>
      </c>
    </row>
    <row r="4591" spans="1:17" x14ac:dyDescent="0.3">
      <c r="A4591" t="s">
        <v>75</v>
      </c>
      <c r="B4591" t="str">
        <f>"300965"</f>
        <v>300965</v>
      </c>
      <c r="C4591" t="s">
        <v>9526</v>
      </c>
      <c r="D4591" t="s">
        <v>1551</v>
      </c>
      <c r="E4591">
        <v>10169437</v>
      </c>
      <c r="F4591">
        <v>96603887</v>
      </c>
      <c r="G4591">
        <v>63143106</v>
      </c>
      <c r="P4591">
        <v>31</v>
      </c>
      <c r="Q4591" t="s">
        <v>9527</v>
      </c>
    </row>
    <row r="4592" spans="1:17" x14ac:dyDescent="0.3">
      <c r="A4592" t="s">
        <v>75</v>
      </c>
      <c r="B4592" t="str">
        <f>"000809"</f>
        <v>000809</v>
      </c>
      <c r="C4592" t="s">
        <v>9528</v>
      </c>
      <c r="D4592" t="s">
        <v>65</v>
      </c>
      <c r="E4592">
        <v>9785992</v>
      </c>
      <c r="F4592">
        <v>9258640</v>
      </c>
      <c r="G4592">
        <v>48794694</v>
      </c>
      <c r="H4592">
        <v>24381047</v>
      </c>
      <c r="I4592">
        <v>67734925</v>
      </c>
      <c r="J4592">
        <v>3576435</v>
      </c>
      <c r="K4592">
        <v>15547501</v>
      </c>
      <c r="L4592">
        <v>63386414</v>
      </c>
      <c r="M4592">
        <v>81314422</v>
      </c>
      <c r="N4592">
        <v>76637459</v>
      </c>
      <c r="O4592">
        <v>1442351</v>
      </c>
      <c r="P4592">
        <v>72</v>
      </c>
      <c r="Q4592" t="s">
        <v>9529</v>
      </c>
    </row>
    <row r="4593" spans="1:17" x14ac:dyDescent="0.3">
      <c r="A4593" t="s">
        <v>17</v>
      </c>
      <c r="B4593" t="str">
        <f>"600281"</f>
        <v>600281</v>
      </c>
      <c r="C4593" t="s">
        <v>9530</v>
      </c>
      <c r="D4593" t="s">
        <v>364</v>
      </c>
      <c r="E4593">
        <v>9477962</v>
      </c>
      <c r="F4593">
        <v>8832624</v>
      </c>
      <c r="G4593">
        <v>113588106</v>
      </c>
      <c r="H4593">
        <v>100625674</v>
      </c>
      <c r="I4593">
        <v>112030243</v>
      </c>
      <c r="J4593">
        <v>144381011</v>
      </c>
      <c r="K4593">
        <v>71027836</v>
      </c>
      <c r="L4593">
        <v>226576087</v>
      </c>
      <c r="M4593">
        <v>495191061</v>
      </c>
      <c r="N4593">
        <v>314335432</v>
      </c>
      <c r="O4593">
        <v>691968490</v>
      </c>
      <c r="P4593">
        <v>68</v>
      </c>
      <c r="Q4593" t="s">
        <v>9531</v>
      </c>
    </row>
    <row r="4594" spans="1:17" x14ac:dyDescent="0.3">
      <c r="A4594" t="s">
        <v>75</v>
      </c>
      <c r="B4594" t="str">
        <f>"000613"</f>
        <v>000613</v>
      </c>
      <c r="C4594" t="s">
        <v>9532</v>
      </c>
      <c r="D4594" t="s">
        <v>1769</v>
      </c>
      <c r="E4594">
        <v>9254595</v>
      </c>
      <c r="F4594">
        <v>10023825</v>
      </c>
      <c r="G4594">
        <v>4053992</v>
      </c>
      <c r="H4594">
        <v>9208964</v>
      </c>
      <c r="I4594">
        <v>10522232</v>
      </c>
      <c r="J4594">
        <v>9363409</v>
      </c>
      <c r="K4594">
        <v>8496614</v>
      </c>
      <c r="L4594">
        <v>5812574</v>
      </c>
      <c r="M4594">
        <v>8712946</v>
      </c>
      <c r="N4594">
        <v>9839277</v>
      </c>
      <c r="O4594">
        <v>12034853</v>
      </c>
      <c r="P4594">
        <v>100</v>
      </c>
      <c r="Q4594" t="s">
        <v>9533</v>
      </c>
    </row>
    <row r="4595" spans="1:17" x14ac:dyDescent="0.3">
      <c r="A4595" t="s">
        <v>75</v>
      </c>
      <c r="B4595" t="str">
        <f>"002659"</f>
        <v>002659</v>
      </c>
      <c r="C4595" t="s">
        <v>9534</v>
      </c>
      <c r="D4595" t="s">
        <v>8749</v>
      </c>
      <c r="E4595">
        <v>9042362</v>
      </c>
      <c r="F4595">
        <v>18202827</v>
      </c>
      <c r="G4595">
        <v>13882559</v>
      </c>
      <c r="H4595">
        <v>19776115</v>
      </c>
      <c r="I4595">
        <v>20619079</v>
      </c>
      <c r="J4595">
        <v>260054377</v>
      </c>
      <c r="K4595">
        <v>201535927</v>
      </c>
      <c r="L4595">
        <v>198543439</v>
      </c>
      <c r="M4595">
        <v>102752301</v>
      </c>
      <c r="N4595">
        <v>185995735</v>
      </c>
      <c r="O4595">
        <v>169397084</v>
      </c>
      <c r="P4595">
        <v>96</v>
      </c>
      <c r="Q4595" t="s">
        <v>9535</v>
      </c>
    </row>
    <row r="4596" spans="1:17" x14ac:dyDescent="0.3">
      <c r="A4596" t="s">
        <v>17</v>
      </c>
      <c r="B4596" t="str">
        <f>"600275"</f>
        <v>600275</v>
      </c>
      <c r="C4596" t="s">
        <v>9536</v>
      </c>
      <c r="D4596" t="s">
        <v>2597</v>
      </c>
      <c r="E4596">
        <v>8743638</v>
      </c>
      <c r="F4596">
        <v>217357</v>
      </c>
      <c r="G4596">
        <v>415543</v>
      </c>
      <c r="H4596">
        <v>970311</v>
      </c>
      <c r="I4596">
        <v>78329</v>
      </c>
      <c r="J4596">
        <v>1378865</v>
      </c>
      <c r="K4596">
        <v>141575</v>
      </c>
      <c r="L4596">
        <v>745796</v>
      </c>
      <c r="M4596">
        <v>1133919</v>
      </c>
      <c r="N4596">
        <v>1629086</v>
      </c>
      <c r="O4596">
        <v>389732</v>
      </c>
      <c r="P4596">
        <v>47</v>
      </c>
      <c r="Q4596" t="s">
        <v>9537</v>
      </c>
    </row>
    <row r="4597" spans="1:17" x14ac:dyDescent="0.3">
      <c r="A4597" t="s">
        <v>17</v>
      </c>
      <c r="B4597" t="str">
        <f>"603023"</f>
        <v>603023</v>
      </c>
      <c r="C4597" t="s">
        <v>9538</v>
      </c>
      <c r="D4597" t="s">
        <v>433</v>
      </c>
      <c r="E4597">
        <v>8428496</v>
      </c>
      <c r="F4597">
        <v>17563651</v>
      </c>
      <c r="G4597">
        <v>16898698</v>
      </c>
      <c r="H4597">
        <v>28415035</v>
      </c>
      <c r="I4597">
        <v>34570683</v>
      </c>
      <c r="J4597">
        <v>48870442</v>
      </c>
      <c r="K4597">
        <v>58353633</v>
      </c>
      <c r="L4597">
        <v>0</v>
      </c>
      <c r="M4597">
        <v>0</v>
      </c>
      <c r="P4597">
        <v>150</v>
      </c>
      <c r="Q4597" t="s">
        <v>9539</v>
      </c>
    </row>
    <row r="4598" spans="1:17" x14ac:dyDescent="0.3">
      <c r="A4598" t="s">
        <v>17</v>
      </c>
      <c r="B4598" t="str">
        <f>"600766"</f>
        <v>600766</v>
      </c>
      <c r="C4598" t="s">
        <v>9540</v>
      </c>
      <c r="D4598" t="s">
        <v>390</v>
      </c>
      <c r="E4598">
        <v>8349897</v>
      </c>
      <c r="F4598">
        <v>61348107</v>
      </c>
      <c r="G4598">
        <v>298497</v>
      </c>
      <c r="H4598">
        <v>1590994</v>
      </c>
      <c r="I4598">
        <v>2802630</v>
      </c>
      <c r="J4598">
        <v>2831929</v>
      </c>
      <c r="K4598">
        <v>2837900</v>
      </c>
      <c r="L4598">
        <v>3167900</v>
      </c>
      <c r="M4598">
        <v>9037256</v>
      </c>
      <c r="N4598">
        <v>6759410</v>
      </c>
      <c r="O4598">
        <v>19037106</v>
      </c>
      <c r="P4598">
        <v>79</v>
      </c>
      <c r="Q4598" t="s">
        <v>9541</v>
      </c>
    </row>
    <row r="4599" spans="1:17" x14ac:dyDescent="0.3">
      <c r="A4599" t="s">
        <v>17</v>
      </c>
      <c r="B4599" t="str">
        <f>"603261"</f>
        <v>603261</v>
      </c>
      <c r="C4599" t="s">
        <v>9542</v>
      </c>
      <c r="E4599">
        <v>8130228</v>
      </c>
      <c r="P4599">
        <v>7</v>
      </c>
      <c r="Q4599" t="s">
        <v>9543</v>
      </c>
    </row>
    <row r="4600" spans="1:17" x14ac:dyDescent="0.3">
      <c r="A4600" t="s">
        <v>75</v>
      </c>
      <c r="B4600" t="str">
        <f>"300777"</f>
        <v>300777</v>
      </c>
      <c r="C4600" t="s">
        <v>9544</v>
      </c>
      <c r="D4600" t="s">
        <v>1551</v>
      </c>
      <c r="E4600">
        <v>7836575</v>
      </c>
      <c r="F4600">
        <v>87479047</v>
      </c>
      <c r="G4600">
        <v>104686632</v>
      </c>
      <c r="H4600">
        <v>17225155</v>
      </c>
      <c r="I4600">
        <v>35876870</v>
      </c>
      <c r="P4600">
        <v>371</v>
      </c>
      <c r="Q4600" t="s">
        <v>9545</v>
      </c>
    </row>
    <row r="4601" spans="1:17" x14ac:dyDescent="0.3">
      <c r="A4601" t="s">
        <v>17</v>
      </c>
      <c r="B4601" t="str">
        <f>"688192"</f>
        <v>688192</v>
      </c>
      <c r="C4601" t="s">
        <v>9546</v>
      </c>
      <c r="D4601" t="s">
        <v>543</v>
      </c>
      <c r="E4601">
        <v>7569231</v>
      </c>
      <c r="P4601">
        <v>11</v>
      </c>
      <c r="Q4601" t="s">
        <v>9547</v>
      </c>
    </row>
    <row r="4602" spans="1:17" x14ac:dyDescent="0.3">
      <c r="A4602" t="s">
        <v>75</v>
      </c>
      <c r="B4602" t="str">
        <f>"002679"</f>
        <v>002679</v>
      </c>
      <c r="C4602" t="s">
        <v>9548</v>
      </c>
      <c r="D4602" t="s">
        <v>5749</v>
      </c>
      <c r="E4602">
        <v>7425735</v>
      </c>
      <c r="F4602">
        <v>6543964</v>
      </c>
      <c r="G4602">
        <v>9548956</v>
      </c>
      <c r="H4602">
        <v>3977401</v>
      </c>
      <c r="I4602">
        <v>36644464</v>
      </c>
      <c r="J4602">
        <v>2374479</v>
      </c>
      <c r="K4602">
        <v>3088148</v>
      </c>
      <c r="L4602">
        <v>33492138</v>
      </c>
      <c r="M4602">
        <v>20841814</v>
      </c>
      <c r="N4602">
        <v>14408576</v>
      </c>
      <c r="O4602">
        <v>9820604</v>
      </c>
      <c r="P4602">
        <v>95</v>
      </c>
      <c r="Q4602" t="s">
        <v>9549</v>
      </c>
    </row>
    <row r="4603" spans="1:17" x14ac:dyDescent="0.3">
      <c r="A4603" t="s">
        <v>17</v>
      </c>
      <c r="B4603" t="str">
        <f>"600749"</f>
        <v>600749</v>
      </c>
      <c r="C4603" t="s">
        <v>9550</v>
      </c>
      <c r="D4603" t="s">
        <v>7744</v>
      </c>
      <c r="E4603">
        <v>7330026</v>
      </c>
      <c r="F4603">
        <v>14159874</v>
      </c>
      <c r="G4603">
        <v>10015690</v>
      </c>
      <c r="H4603">
        <v>25942396</v>
      </c>
      <c r="I4603">
        <v>16590438</v>
      </c>
      <c r="J4603">
        <v>8116469</v>
      </c>
      <c r="K4603">
        <v>4630190</v>
      </c>
      <c r="L4603">
        <v>16594611</v>
      </c>
      <c r="M4603">
        <v>17801050</v>
      </c>
      <c r="N4603">
        <v>15289831</v>
      </c>
      <c r="O4603">
        <v>7973374</v>
      </c>
      <c r="P4603">
        <v>106</v>
      </c>
      <c r="Q4603" t="s">
        <v>9551</v>
      </c>
    </row>
    <row r="4604" spans="1:17" x14ac:dyDescent="0.3">
      <c r="A4604" t="s">
        <v>75</v>
      </c>
      <c r="B4604" t="str">
        <f>"000430"</f>
        <v>000430</v>
      </c>
      <c r="C4604" t="s">
        <v>9552</v>
      </c>
      <c r="D4604" t="s">
        <v>7744</v>
      </c>
      <c r="E4604">
        <v>7003572</v>
      </c>
      <c r="F4604">
        <v>25279146</v>
      </c>
      <c r="G4604">
        <v>12616724</v>
      </c>
      <c r="H4604">
        <v>53807644</v>
      </c>
      <c r="I4604">
        <v>57041547</v>
      </c>
      <c r="J4604">
        <v>68724731</v>
      </c>
      <c r="K4604">
        <v>90714797</v>
      </c>
      <c r="L4604">
        <v>69333076</v>
      </c>
      <c r="M4604">
        <v>48515854</v>
      </c>
      <c r="N4604">
        <v>72863304</v>
      </c>
      <c r="O4604">
        <v>54955082</v>
      </c>
      <c r="P4604">
        <v>109</v>
      </c>
      <c r="Q4604" t="s">
        <v>9553</v>
      </c>
    </row>
    <row r="4605" spans="1:17" x14ac:dyDescent="0.3">
      <c r="A4605" t="s">
        <v>17</v>
      </c>
      <c r="B4605" t="str">
        <f>"900929"</f>
        <v>900929</v>
      </c>
      <c r="C4605" t="s">
        <v>9554</v>
      </c>
      <c r="E4605">
        <v>6788329.7707000002</v>
      </c>
      <c r="F4605">
        <v>7385064.1223999998</v>
      </c>
      <c r="G4605">
        <v>17015105.972100001</v>
      </c>
      <c r="H4605">
        <v>43753938.505999997</v>
      </c>
      <c r="I4605">
        <v>54944463.178199999</v>
      </c>
      <c r="J4605">
        <v>49678837.190399997</v>
      </c>
      <c r="K4605">
        <v>58597118.056900002</v>
      </c>
      <c r="L4605">
        <v>65602755.284000002</v>
      </c>
      <c r="M4605">
        <v>64427954.527199998</v>
      </c>
      <c r="N4605">
        <v>63303170.112000003</v>
      </c>
      <c r="O4605">
        <v>56951987.694799997</v>
      </c>
      <c r="P4605">
        <v>11</v>
      </c>
      <c r="Q4605" t="s">
        <v>9555</v>
      </c>
    </row>
    <row r="4606" spans="1:17" x14ac:dyDescent="0.3">
      <c r="A4606" t="s">
        <v>75</v>
      </c>
      <c r="B4606" t="str">
        <f>"002618"</f>
        <v>002618</v>
      </c>
      <c r="C4606" t="s">
        <v>9556</v>
      </c>
      <c r="D4606" t="s">
        <v>567</v>
      </c>
      <c r="E4606">
        <v>6775333</v>
      </c>
      <c r="F4606">
        <v>12784935</v>
      </c>
      <c r="G4606">
        <v>27861096</v>
      </c>
      <c r="H4606">
        <v>29713915</v>
      </c>
      <c r="I4606">
        <v>63863950</v>
      </c>
      <c r="J4606">
        <v>31666871</v>
      </c>
      <c r="K4606">
        <v>58568281</v>
      </c>
      <c r="L4606">
        <v>97584434</v>
      </c>
      <c r="M4606">
        <v>61210748</v>
      </c>
      <c r="N4606">
        <v>57997274</v>
      </c>
      <c r="O4606">
        <v>51953680</v>
      </c>
      <c r="P4606">
        <v>135</v>
      </c>
      <c r="Q4606" t="s">
        <v>9557</v>
      </c>
    </row>
    <row r="4607" spans="1:17" x14ac:dyDescent="0.3">
      <c r="A4607" t="s">
        <v>75</v>
      </c>
      <c r="B4607" t="str">
        <f>"301213"</f>
        <v>301213</v>
      </c>
      <c r="C4607" t="s">
        <v>9558</v>
      </c>
      <c r="D4607" t="s">
        <v>1572</v>
      </c>
      <c r="E4607">
        <v>6397862</v>
      </c>
      <c r="G4607">
        <v>44651695</v>
      </c>
      <c r="P4607">
        <v>16</v>
      </c>
      <c r="Q4607" t="s">
        <v>9559</v>
      </c>
    </row>
    <row r="4608" spans="1:17" x14ac:dyDescent="0.3">
      <c r="A4608" t="s">
        <v>75</v>
      </c>
      <c r="B4608" t="str">
        <f>"300859"</f>
        <v>300859</v>
      </c>
      <c r="C4608" t="s">
        <v>9560</v>
      </c>
      <c r="D4608" t="s">
        <v>7744</v>
      </c>
      <c r="E4608">
        <v>6056077</v>
      </c>
      <c r="F4608">
        <v>10127876</v>
      </c>
      <c r="G4608">
        <v>1889559</v>
      </c>
      <c r="H4608">
        <v>7767675</v>
      </c>
      <c r="P4608">
        <v>69</v>
      </c>
      <c r="Q4608" t="s">
        <v>9561</v>
      </c>
    </row>
    <row r="4609" spans="1:17" x14ac:dyDescent="0.3">
      <c r="A4609" t="s">
        <v>75</v>
      </c>
      <c r="B4609" t="str">
        <f>"300526"</f>
        <v>300526</v>
      </c>
      <c r="C4609" t="s">
        <v>9562</v>
      </c>
      <c r="D4609" t="s">
        <v>2921</v>
      </c>
      <c r="E4609">
        <v>6037270</v>
      </c>
      <c r="F4609">
        <v>26192011</v>
      </c>
      <c r="G4609">
        <v>79580355</v>
      </c>
      <c r="H4609">
        <v>95881448</v>
      </c>
      <c r="I4609">
        <v>89551245</v>
      </c>
      <c r="J4609">
        <v>111224647</v>
      </c>
      <c r="K4609">
        <v>71331200</v>
      </c>
      <c r="P4609">
        <v>104</v>
      </c>
      <c r="Q4609" t="s">
        <v>9563</v>
      </c>
    </row>
    <row r="4610" spans="1:17" x14ac:dyDescent="0.3">
      <c r="A4610" t="s">
        <v>75</v>
      </c>
      <c r="B4610" t="str">
        <f>"000687"</f>
        <v>000687</v>
      </c>
      <c r="C4610" t="s">
        <v>9564</v>
      </c>
      <c r="D4610" t="s">
        <v>1551</v>
      </c>
      <c r="E4610">
        <v>4963131</v>
      </c>
      <c r="F4610">
        <v>8393759</v>
      </c>
      <c r="G4610">
        <v>133178259</v>
      </c>
      <c r="H4610">
        <v>103076332</v>
      </c>
      <c r="I4610">
        <v>489730153</v>
      </c>
      <c r="J4610">
        <v>151436467</v>
      </c>
      <c r="K4610">
        <v>376890089</v>
      </c>
      <c r="L4610">
        <v>102144866</v>
      </c>
      <c r="M4610">
        <v>109489109</v>
      </c>
      <c r="N4610">
        <v>129074790</v>
      </c>
      <c r="O4610">
        <v>155061899</v>
      </c>
      <c r="P4610">
        <v>86</v>
      </c>
      <c r="Q4610" t="s">
        <v>9565</v>
      </c>
    </row>
    <row r="4611" spans="1:17" x14ac:dyDescent="0.3">
      <c r="A4611" t="s">
        <v>75</v>
      </c>
      <c r="B4611" t="str">
        <f>"300810"</f>
        <v>300810</v>
      </c>
      <c r="C4611" t="s">
        <v>9566</v>
      </c>
      <c r="D4611" t="s">
        <v>465</v>
      </c>
      <c r="E4611">
        <v>4835105</v>
      </c>
      <c r="F4611">
        <v>42883741</v>
      </c>
      <c r="G4611">
        <v>5030750</v>
      </c>
      <c r="H4611">
        <v>4277733</v>
      </c>
      <c r="P4611">
        <v>57</v>
      </c>
      <c r="Q4611" t="s">
        <v>9567</v>
      </c>
    </row>
    <row r="4612" spans="1:17" x14ac:dyDescent="0.3">
      <c r="A4612" t="s">
        <v>17</v>
      </c>
      <c r="B4612" t="str">
        <f>"600155"</f>
        <v>600155</v>
      </c>
      <c r="C4612" t="s">
        <v>9568</v>
      </c>
      <c r="D4612" t="s">
        <v>2823</v>
      </c>
      <c r="E4612">
        <v>4634806</v>
      </c>
      <c r="F4612">
        <v>6937285</v>
      </c>
      <c r="G4612">
        <v>5673776</v>
      </c>
      <c r="H4612">
        <v>14377321</v>
      </c>
      <c r="I4612">
        <v>32808718</v>
      </c>
      <c r="J4612">
        <v>57595161</v>
      </c>
      <c r="K4612">
        <v>75806234</v>
      </c>
      <c r="L4612">
        <v>69437793</v>
      </c>
      <c r="M4612">
        <v>58799102</v>
      </c>
      <c r="N4612">
        <v>7108547</v>
      </c>
      <c r="O4612">
        <v>255499898</v>
      </c>
      <c r="P4612">
        <v>630</v>
      </c>
      <c r="Q4612" t="s">
        <v>9569</v>
      </c>
    </row>
    <row r="4613" spans="1:17" x14ac:dyDescent="0.3">
      <c r="A4613" t="s">
        <v>17</v>
      </c>
      <c r="B4613" t="str">
        <f>"600652"</f>
        <v>600652</v>
      </c>
      <c r="C4613" t="s">
        <v>9570</v>
      </c>
      <c r="D4613" t="s">
        <v>1165</v>
      </c>
      <c r="E4613">
        <v>4188961</v>
      </c>
      <c r="F4613">
        <v>3502470</v>
      </c>
      <c r="G4613">
        <v>2021281</v>
      </c>
      <c r="H4613">
        <v>5658937</v>
      </c>
      <c r="I4613">
        <v>31365967</v>
      </c>
      <c r="J4613">
        <v>31926387</v>
      </c>
      <c r="K4613">
        <v>73950669</v>
      </c>
      <c r="L4613">
        <v>343481931</v>
      </c>
      <c r="M4613">
        <v>357767100</v>
      </c>
      <c r="N4613">
        <v>261132737</v>
      </c>
      <c r="O4613">
        <v>488395047</v>
      </c>
      <c r="P4613">
        <v>79</v>
      </c>
      <c r="Q4613" t="s">
        <v>9571</v>
      </c>
    </row>
    <row r="4614" spans="1:17" x14ac:dyDescent="0.3">
      <c r="A4614" t="s">
        <v>17</v>
      </c>
      <c r="B4614" t="str">
        <f>"600883"</f>
        <v>600883</v>
      </c>
      <c r="C4614" t="s">
        <v>9572</v>
      </c>
      <c r="D4614" t="s">
        <v>191</v>
      </c>
      <c r="E4614">
        <v>4042185</v>
      </c>
      <c r="F4614">
        <v>3510754</v>
      </c>
      <c r="G4614">
        <v>4421986</v>
      </c>
      <c r="H4614">
        <v>4788952</v>
      </c>
      <c r="I4614">
        <v>15098470</v>
      </c>
      <c r="J4614">
        <v>8079543</v>
      </c>
      <c r="K4614">
        <v>7359489</v>
      </c>
      <c r="L4614">
        <v>6257939</v>
      </c>
      <c r="M4614">
        <v>8730184</v>
      </c>
      <c r="N4614">
        <v>11135765</v>
      </c>
      <c r="O4614">
        <v>18885783</v>
      </c>
      <c r="P4614">
        <v>78</v>
      </c>
      <c r="Q4614" t="s">
        <v>9573</v>
      </c>
    </row>
    <row r="4615" spans="1:17" x14ac:dyDescent="0.3">
      <c r="A4615" t="s">
        <v>75</v>
      </c>
      <c r="B4615" t="str">
        <f>"300799"</f>
        <v>300799</v>
      </c>
      <c r="C4615" t="s">
        <v>9574</v>
      </c>
      <c r="D4615" t="s">
        <v>989</v>
      </c>
      <c r="E4615">
        <v>3897967</v>
      </c>
      <c r="F4615">
        <v>30464511</v>
      </c>
      <c r="G4615">
        <v>23574751</v>
      </c>
      <c r="H4615">
        <v>10807857</v>
      </c>
      <c r="P4615">
        <v>140</v>
      </c>
      <c r="Q4615" t="s">
        <v>9575</v>
      </c>
    </row>
    <row r="4616" spans="1:17" x14ac:dyDescent="0.3">
      <c r="A4616" t="s">
        <v>75</v>
      </c>
      <c r="B4616" t="str">
        <f>"002575"</f>
        <v>002575</v>
      </c>
      <c r="C4616" t="s">
        <v>9576</v>
      </c>
      <c r="D4616" t="s">
        <v>5484</v>
      </c>
      <c r="E4616">
        <v>3269215</v>
      </c>
      <c r="F4616">
        <v>5111328</v>
      </c>
      <c r="G4616">
        <v>38740875</v>
      </c>
      <c r="H4616">
        <v>3613992</v>
      </c>
      <c r="I4616">
        <v>5555552</v>
      </c>
      <c r="J4616">
        <v>25663179</v>
      </c>
      <c r="K4616">
        <v>87866409</v>
      </c>
      <c r="L4616">
        <v>81255959</v>
      </c>
      <c r="M4616">
        <v>93326490</v>
      </c>
      <c r="N4616">
        <v>121102310</v>
      </c>
      <c r="O4616">
        <v>94098758</v>
      </c>
      <c r="P4616">
        <v>57</v>
      </c>
      <c r="Q4616" t="s">
        <v>9577</v>
      </c>
    </row>
    <row r="4617" spans="1:17" x14ac:dyDescent="0.3">
      <c r="A4617" t="s">
        <v>75</v>
      </c>
      <c r="B4617" t="str">
        <f>"002977"</f>
        <v>002977</v>
      </c>
      <c r="C4617" t="s">
        <v>9578</v>
      </c>
      <c r="D4617" t="s">
        <v>1572</v>
      </c>
      <c r="E4617">
        <v>3136500</v>
      </c>
      <c r="F4617">
        <v>14896000</v>
      </c>
      <c r="G4617">
        <v>23896492</v>
      </c>
      <c r="H4617">
        <v>639800</v>
      </c>
      <c r="P4617">
        <v>126</v>
      </c>
      <c r="Q4617" t="s">
        <v>9579</v>
      </c>
    </row>
    <row r="4618" spans="1:17" x14ac:dyDescent="0.3">
      <c r="A4618" t="s">
        <v>17</v>
      </c>
      <c r="B4618" t="str">
        <f>"600620"</f>
        <v>600620</v>
      </c>
      <c r="C4618" t="s">
        <v>9580</v>
      </c>
      <c r="D4618" t="s">
        <v>1284</v>
      </c>
      <c r="E4618">
        <v>3117551</v>
      </c>
      <c r="F4618">
        <v>11443303</v>
      </c>
      <c r="G4618">
        <v>9907366</v>
      </c>
      <c r="H4618">
        <v>13971941</v>
      </c>
      <c r="I4618">
        <v>14535943</v>
      </c>
      <c r="J4618">
        <v>10151943</v>
      </c>
      <c r="K4618">
        <v>10682307</v>
      </c>
      <c r="L4618">
        <v>16556302</v>
      </c>
      <c r="M4618">
        <v>12200529</v>
      </c>
      <c r="N4618">
        <v>13370086</v>
      </c>
      <c r="O4618">
        <v>11117213</v>
      </c>
      <c r="P4618">
        <v>66</v>
      </c>
      <c r="Q4618" t="s">
        <v>9581</v>
      </c>
    </row>
    <row r="4619" spans="1:17" x14ac:dyDescent="0.3">
      <c r="A4619" t="s">
        <v>17</v>
      </c>
      <c r="B4619" t="str">
        <f>"600734"</f>
        <v>600734</v>
      </c>
      <c r="C4619" t="s">
        <v>9582</v>
      </c>
      <c r="D4619" t="s">
        <v>556</v>
      </c>
      <c r="E4619">
        <v>2043494</v>
      </c>
      <c r="F4619">
        <v>224716050</v>
      </c>
      <c r="G4619">
        <v>171975933</v>
      </c>
      <c r="H4619">
        <v>923618203</v>
      </c>
      <c r="I4619">
        <v>1475969954</v>
      </c>
      <c r="J4619">
        <v>2065797922</v>
      </c>
      <c r="K4619">
        <v>2037339</v>
      </c>
      <c r="L4619">
        <v>43157933</v>
      </c>
      <c r="M4619">
        <v>20632088</v>
      </c>
      <c r="N4619">
        <v>7667025</v>
      </c>
      <c r="O4619">
        <v>17928927</v>
      </c>
      <c r="P4619">
        <v>175</v>
      </c>
      <c r="Q4619" t="s">
        <v>9583</v>
      </c>
    </row>
    <row r="4620" spans="1:17" x14ac:dyDescent="0.3">
      <c r="A4620" t="s">
        <v>17</v>
      </c>
      <c r="B4620" t="str">
        <f>"688197"</f>
        <v>688197</v>
      </c>
      <c r="C4620" t="s">
        <v>9584</v>
      </c>
      <c r="E4620">
        <v>2000000</v>
      </c>
      <c r="P4620">
        <v>3</v>
      </c>
      <c r="Q4620" t="s">
        <v>9585</v>
      </c>
    </row>
    <row r="4621" spans="1:17" x14ac:dyDescent="0.3">
      <c r="A4621" t="s">
        <v>17</v>
      </c>
      <c r="B4621" t="str">
        <f>"600455"</f>
        <v>600455</v>
      </c>
      <c r="C4621" t="s">
        <v>9586</v>
      </c>
      <c r="D4621" t="s">
        <v>116</v>
      </c>
      <c r="E4621">
        <v>1501330</v>
      </c>
      <c r="F4621">
        <v>1193885</v>
      </c>
      <c r="G4621">
        <v>81332</v>
      </c>
      <c r="H4621">
        <v>5600167</v>
      </c>
      <c r="I4621">
        <v>5223694</v>
      </c>
      <c r="J4621">
        <v>6974246</v>
      </c>
      <c r="K4621">
        <v>4728950</v>
      </c>
      <c r="L4621">
        <v>7469523</v>
      </c>
      <c r="M4621">
        <v>16758860</v>
      </c>
      <c r="N4621">
        <v>27108571</v>
      </c>
      <c r="O4621">
        <v>24643032</v>
      </c>
      <c r="P4621">
        <v>103</v>
      </c>
      <c r="Q4621" t="s">
        <v>9587</v>
      </c>
    </row>
    <row r="4622" spans="1:17" x14ac:dyDescent="0.3">
      <c r="A4622" t="s">
        <v>17</v>
      </c>
      <c r="B4622" t="str">
        <f>"900957"</f>
        <v>900957</v>
      </c>
      <c r="C4622" t="s">
        <v>9588</v>
      </c>
      <c r="E4622">
        <v>1167252.5456999999</v>
      </c>
      <c r="F4622">
        <v>946499.09759999998</v>
      </c>
      <c r="G4622">
        <v>2006222.3962999999</v>
      </c>
      <c r="H4622">
        <v>607507.86600000004</v>
      </c>
      <c r="I4622">
        <v>600200.29680000001</v>
      </c>
      <c r="J4622">
        <v>434884.30920000002</v>
      </c>
      <c r="K4622">
        <v>853737.85580000002</v>
      </c>
      <c r="L4622">
        <v>13805.0218</v>
      </c>
      <c r="M4622">
        <v>174950.39999999999</v>
      </c>
      <c r="N4622">
        <v>93380</v>
      </c>
      <c r="O4622">
        <v>0</v>
      </c>
      <c r="P4622">
        <v>2</v>
      </c>
      <c r="Q4622" t="s">
        <v>9589</v>
      </c>
    </row>
    <row r="4623" spans="1:17" x14ac:dyDescent="0.3">
      <c r="A4623" t="s">
        <v>17</v>
      </c>
      <c r="B4623" t="str">
        <f>"600091"</f>
        <v>600091</v>
      </c>
      <c r="C4623" t="s">
        <v>9590</v>
      </c>
      <c r="D4623" t="s">
        <v>311</v>
      </c>
      <c r="E4623">
        <v>920311</v>
      </c>
      <c r="F4623">
        <v>3355332</v>
      </c>
      <c r="G4623">
        <v>4837874</v>
      </c>
      <c r="H4623">
        <v>2287196</v>
      </c>
      <c r="I4623">
        <v>527169</v>
      </c>
      <c r="J4623">
        <v>204358</v>
      </c>
      <c r="K4623">
        <v>334865</v>
      </c>
      <c r="L4623">
        <v>1368086</v>
      </c>
      <c r="M4623">
        <v>2906412</v>
      </c>
      <c r="N4623">
        <v>9854030</v>
      </c>
      <c r="O4623">
        <v>378894</v>
      </c>
      <c r="P4623">
        <v>58</v>
      </c>
      <c r="Q4623" t="s">
        <v>9591</v>
      </c>
    </row>
    <row r="4624" spans="1:17" x14ac:dyDescent="0.3">
      <c r="A4624" t="s">
        <v>17</v>
      </c>
      <c r="B4624" t="str">
        <f>"600555"</f>
        <v>600555</v>
      </c>
      <c r="C4624" t="s">
        <v>9592</v>
      </c>
      <c r="D4624" t="s">
        <v>6342</v>
      </c>
      <c r="E4624">
        <v>906528</v>
      </c>
      <c r="F4624">
        <v>808164</v>
      </c>
      <c r="G4624">
        <v>173336</v>
      </c>
      <c r="H4624">
        <v>43780</v>
      </c>
      <c r="I4624">
        <v>708353</v>
      </c>
      <c r="J4624">
        <v>5874571</v>
      </c>
      <c r="K4624">
        <v>3603740</v>
      </c>
      <c r="L4624">
        <v>7871237</v>
      </c>
      <c r="M4624">
        <v>22039134</v>
      </c>
      <c r="N4624">
        <v>7690592</v>
      </c>
      <c r="O4624">
        <v>3551199</v>
      </c>
      <c r="P4624">
        <v>76</v>
      </c>
      <c r="Q4624" t="s">
        <v>9593</v>
      </c>
    </row>
    <row r="4625" spans="1:17" x14ac:dyDescent="0.3">
      <c r="A4625" t="s">
        <v>75</v>
      </c>
      <c r="B4625" t="str">
        <f>"000416"</f>
        <v>000416</v>
      </c>
      <c r="C4625" t="s">
        <v>9594</v>
      </c>
      <c r="D4625" t="s">
        <v>370</v>
      </c>
      <c r="E4625">
        <v>700749</v>
      </c>
      <c r="F4625">
        <v>5552017</v>
      </c>
      <c r="G4625">
        <v>1511512</v>
      </c>
      <c r="H4625">
        <v>1540601</v>
      </c>
      <c r="I4625">
        <v>2546361</v>
      </c>
      <c r="J4625">
        <v>1101535</v>
      </c>
      <c r="K4625">
        <v>33536187</v>
      </c>
      <c r="L4625">
        <v>256190</v>
      </c>
      <c r="M4625">
        <v>147875054</v>
      </c>
      <c r="N4625">
        <v>154291360</v>
      </c>
      <c r="O4625">
        <v>153061184</v>
      </c>
      <c r="P4625">
        <v>119</v>
      </c>
      <c r="Q4625" t="s">
        <v>9595</v>
      </c>
    </row>
    <row r="4626" spans="1:17" x14ac:dyDescent="0.3">
      <c r="A4626" t="s">
        <v>17</v>
      </c>
      <c r="B4626" t="str">
        <f>"688062"</f>
        <v>688062</v>
      </c>
      <c r="C4626" t="s">
        <v>9596</v>
      </c>
      <c r="D4626" t="s">
        <v>543</v>
      </c>
      <c r="E4626">
        <v>625553</v>
      </c>
      <c r="P4626">
        <v>14</v>
      </c>
      <c r="Q4626" t="s">
        <v>9597</v>
      </c>
    </row>
    <row r="4627" spans="1:17" x14ac:dyDescent="0.3">
      <c r="A4627" t="s">
        <v>17</v>
      </c>
      <c r="B4627" t="str">
        <f>"688282"</f>
        <v>688282</v>
      </c>
      <c r="C4627" t="s">
        <v>9598</v>
      </c>
      <c r="E4627">
        <v>420000</v>
      </c>
      <c r="P4627">
        <v>3</v>
      </c>
      <c r="Q4627" t="s">
        <v>9599</v>
      </c>
    </row>
    <row r="4628" spans="1:17" x14ac:dyDescent="0.3">
      <c r="A4628" t="s">
        <v>17</v>
      </c>
      <c r="B4628" t="str">
        <f>"900939"</f>
        <v>900939</v>
      </c>
      <c r="C4628" t="s">
        <v>9600</v>
      </c>
      <c r="E4628">
        <v>394896.41940000001</v>
      </c>
      <c r="F4628">
        <v>748385.80319999997</v>
      </c>
      <c r="G4628">
        <v>673835.15460000001</v>
      </c>
      <c r="H4628">
        <v>377043.15899999999</v>
      </c>
      <c r="I4628">
        <v>768653.89800000004</v>
      </c>
      <c r="J4628">
        <v>614160.71640000003</v>
      </c>
      <c r="K4628">
        <v>327519.47570000001</v>
      </c>
      <c r="L4628">
        <v>267777.19469999999</v>
      </c>
      <c r="M4628">
        <v>321845.38079999998</v>
      </c>
      <c r="N4628">
        <v>373835.88199999998</v>
      </c>
      <c r="O4628">
        <v>358342.522</v>
      </c>
      <c r="P4628">
        <v>7</v>
      </c>
      <c r="Q4628" t="s">
        <v>9601</v>
      </c>
    </row>
    <row r="4629" spans="1:17" x14ac:dyDescent="0.3">
      <c r="A4629" t="s">
        <v>17</v>
      </c>
      <c r="B4629" t="str">
        <f>"600890"</f>
        <v>600890</v>
      </c>
      <c r="C4629" t="s">
        <v>9602</v>
      </c>
      <c r="D4629" t="s">
        <v>179</v>
      </c>
      <c r="E4629">
        <v>387243</v>
      </c>
      <c r="F4629">
        <v>88290</v>
      </c>
      <c r="G4629">
        <v>88290</v>
      </c>
      <c r="H4629">
        <v>141666</v>
      </c>
      <c r="I4629">
        <v>224462</v>
      </c>
      <c r="J4629">
        <v>782539</v>
      </c>
      <c r="K4629">
        <v>694596</v>
      </c>
      <c r="L4629">
        <v>647484</v>
      </c>
      <c r="M4629">
        <v>789139</v>
      </c>
      <c r="N4629">
        <v>2244738</v>
      </c>
      <c r="O4629">
        <v>1735377</v>
      </c>
      <c r="P4629">
        <v>73</v>
      </c>
      <c r="Q4629" t="s">
        <v>9603</v>
      </c>
    </row>
    <row r="4630" spans="1:17" x14ac:dyDescent="0.3">
      <c r="A4630" t="s">
        <v>17</v>
      </c>
      <c r="B4630" t="str">
        <f>"603996"</f>
        <v>603996</v>
      </c>
      <c r="C4630" t="s">
        <v>9604</v>
      </c>
      <c r="D4630" t="s">
        <v>505</v>
      </c>
      <c r="E4630">
        <v>177500</v>
      </c>
      <c r="F4630">
        <v>1096300</v>
      </c>
      <c r="G4630">
        <v>33483804</v>
      </c>
      <c r="H4630">
        <v>888566845</v>
      </c>
      <c r="I4630">
        <v>1765941565</v>
      </c>
      <c r="J4630">
        <v>777681406</v>
      </c>
      <c r="K4630">
        <v>458000215</v>
      </c>
      <c r="L4630">
        <v>0</v>
      </c>
      <c r="M4630">
        <v>0</v>
      </c>
      <c r="P4630">
        <v>71</v>
      </c>
      <c r="Q4630" t="s">
        <v>9605</v>
      </c>
    </row>
    <row r="4631" spans="1:17" x14ac:dyDescent="0.3">
      <c r="A4631" t="s">
        <v>75</v>
      </c>
      <c r="B4631" t="str">
        <f>"000835"</f>
        <v>000835</v>
      </c>
      <c r="C4631" t="s">
        <v>9606</v>
      </c>
      <c r="D4631" t="s">
        <v>1165</v>
      </c>
      <c r="E4631">
        <v>44256</v>
      </c>
      <c r="F4631">
        <v>0</v>
      </c>
      <c r="G4631">
        <v>7642800</v>
      </c>
      <c r="H4631">
        <v>13694053</v>
      </c>
      <c r="I4631">
        <v>43827105</v>
      </c>
      <c r="J4631">
        <v>65935825</v>
      </c>
      <c r="K4631">
        <v>28200767</v>
      </c>
      <c r="L4631">
        <v>23170645</v>
      </c>
      <c r="M4631">
        <v>79479268</v>
      </c>
      <c r="N4631">
        <v>179806565</v>
      </c>
      <c r="O4631">
        <v>311353107</v>
      </c>
      <c r="P4631">
        <v>69</v>
      </c>
      <c r="Q4631" t="s">
        <v>9607</v>
      </c>
    </row>
    <row r="4632" spans="1:17" x14ac:dyDescent="0.3">
      <c r="A4632" t="s">
        <v>75</v>
      </c>
      <c r="B4632" t="str">
        <f>"000996"</f>
        <v>000996</v>
      </c>
      <c r="C4632" t="s">
        <v>9608</v>
      </c>
      <c r="D4632" t="s">
        <v>150</v>
      </c>
      <c r="E4632">
        <v>102</v>
      </c>
      <c r="F4632">
        <v>10392147</v>
      </c>
      <c r="G4632">
        <v>9388795</v>
      </c>
      <c r="H4632">
        <v>22360759</v>
      </c>
      <c r="I4632">
        <v>9954057</v>
      </c>
      <c r="J4632">
        <v>34063979</v>
      </c>
      <c r="K4632">
        <v>22834455</v>
      </c>
      <c r="L4632">
        <v>26445690</v>
      </c>
      <c r="M4632">
        <v>177291574</v>
      </c>
      <c r="N4632">
        <v>22898911</v>
      </c>
      <c r="O4632">
        <v>15125293</v>
      </c>
      <c r="P4632">
        <v>70</v>
      </c>
      <c r="Q4632" t="s">
        <v>9609</v>
      </c>
    </row>
    <row r="4633" spans="1:17" x14ac:dyDescent="0.3">
      <c r="A4633" t="s">
        <v>17</v>
      </c>
      <c r="B4633" t="str">
        <f>"600139"</f>
        <v>600139</v>
      </c>
      <c r="C4633" t="s">
        <v>9610</v>
      </c>
      <c r="D4633" t="s">
        <v>897</v>
      </c>
      <c r="E4633">
        <v>0</v>
      </c>
      <c r="F4633">
        <v>0</v>
      </c>
      <c r="G4633">
        <v>163168</v>
      </c>
      <c r="H4633">
        <v>163168</v>
      </c>
      <c r="I4633">
        <v>28777473</v>
      </c>
      <c r="J4633">
        <v>70789598</v>
      </c>
      <c r="K4633">
        <v>413334553</v>
      </c>
      <c r="L4633">
        <v>555324017</v>
      </c>
      <c r="M4633">
        <v>74772153</v>
      </c>
      <c r="N4633">
        <v>142075364</v>
      </c>
      <c r="O4633">
        <v>165838443</v>
      </c>
      <c r="P4633">
        <v>90</v>
      </c>
      <c r="Q4633" t="s">
        <v>9611</v>
      </c>
    </row>
    <row r="4634" spans="1:17" x14ac:dyDescent="0.3">
      <c r="A4634" t="s">
        <v>17</v>
      </c>
      <c r="B4634" t="str">
        <f>"600816"</f>
        <v>600816</v>
      </c>
      <c r="C4634" t="s">
        <v>9612</v>
      </c>
      <c r="D4634" t="s">
        <v>2657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9070665</v>
      </c>
      <c r="P4634">
        <v>6688</v>
      </c>
      <c r="Q4634" t="s">
        <v>9613</v>
      </c>
    </row>
    <row r="4635" spans="1:17" x14ac:dyDescent="0.3">
      <c r="A4635" t="s">
        <v>17</v>
      </c>
      <c r="B4635" t="str">
        <f>"600901"</f>
        <v>600901</v>
      </c>
      <c r="C4635" t="s">
        <v>9614</v>
      </c>
      <c r="D4635" t="s">
        <v>897</v>
      </c>
      <c r="E4635">
        <v>0</v>
      </c>
      <c r="F4635">
        <v>0</v>
      </c>
      <c r="G4635">
        <v>1154224657</v>
      </c>
      <c r="H4635">
        <v>1000175012</v>
      </c>
      <c r="I4635">
        <v>0</v>
      </c>
      <c r="J4635">
        <v>0</v>
      </c>
      <c r="P4635">
        <v>475</v>
      </c>
      <c r="Q4635" t="s">
        <v>9615</v>
      </c>
    </row>
    <row r="4636" spans="1:17" x14ac:dyDescent="0.3">
      <c r="A4636" t="s">
        <v>17</v>
      </c>
      <c r="B4636" t="str">
        <f>"600906"</f>
        <v>600906</v>
      </c>
      <c r="C4636" t="s">
        <v>9616</v>
      </c>
      <c r="D4636" t="s">
        <v>2823</v>
      </c>
      <c r="E4636">
        <v>0</v>
      </c>
      <c r="F4636">
        <v>0</v>
      </c>
      <c r="G4636">
        <v>0</v>
      </c>
      <c r="P4636">
        <v>131</v>
      </c>
      <c r="Q4636" t="s">
        <v>9617</v>
      </c>
    </row>
    <row r="4637" spans="1:17" x14ac:dyDescent="0.3">
      <c r="A4637" t="s">
        <v>17</v>
      </c>
      <c r="B4637" t="str">
        <f>"603860"</f>
        <v>603860</v>
      </c>
      <c r="C4637" t="s">
        <v>9618</v>
      </c>
      <c r="D4637" t="s">
        <v>2118</v>
      </c>
      <c r="E4637">
        <v>0</v>
      </c>
      <c r="F4637">
        <v>28802298</v>
      </c>
      <c r="G4637">
        <v>20786402</v>
      </c>
      <c r="H4637">
        <v>31111134</v>
      </c>
      <c r="I4637">
        <v>25434622</v>
      </c>
      <c r="J4637">
        <v>22733937</v>
      </c>
      <c r="K4637">
        <v>21522116</v>
      </c>
      <c r="P4637">
        <v>58</v>
      </c>
      <c r="Q4637" t="s">
        <v>9619</v>
      </c>
    </row>
    <row r="4638" spans="1:17" x14ac:dyDescent="0.3">
      <c r="A4638" t="s">
        <v>17</v>
      </c>
      <c r="B4638" t="str">
        <f>"605088"</f>
        <v>605088</v>
      </c>
      <c r="C4638" t="s">
        <v>9620</v>
      </c>
      <c r="D4638" t="s">
        <v>172</v>
      </c>
      <c r="E4638">
        <v>0</v>
      </c>
      <c r="F4638">
        <v>499084047</v>
      </c>
      <c r="G4638">
        <v>404647632</v>
      </c>
      <c r="H4638">
        <v>358460027</v>
      </c>
      <c r="P4638">
        <v>47</v>
      </c>
      <c r="Q4638" t="s">
        <v>9621</v>
      </c>
    </row>
    <row r="4639" spans="1:17" x14ac:dyDescent="0.3">
      <c r="A4639" t="s">
        <v>17</v>
      </c>
      <c r="B4639" t="str">
        <f>"688176"</f>
        <v>688176</v>
      </c>
      <c r="C4639" t="s">
        <v>9622</v>
      </c>
      <c r="D4639" t="s">
        <v>543</v>
      </c>
      <c r="E4639">
        <v>0</v>
      </c>
      <c r="P4639">
        <v>9</v>
      </c>
      <c r="Q4639" t="s">
        <v>9623</v>
      </c>
    </row>
    <row r="4640" spans="1:17" x14ac:dyDescent="0.3">
      <c r="A4640" t="s">
        <v>17</v>
      </c>
      <c r="B4640" t="str">
        <f>"688302"</f>
        <v>688302</v>
      </c>
      <c r="C4640" t="s">
        <v>9624</v>
      </c>
      <c r="E4640">
        <v>0</v>
      </c>
      <c r="F4640">
        <v>0</v>
      </c>
      <c r="P4640">
        <v>2</v>
      </c>
      <c r="Q4640" t="s">
        <v>9625</v>
      </c>
    </row>
    <row r="4641" spans="1:17" x14ac:dyDescent="0.3">
      <c r="A4641" t="s">
        <v>75</v>
      </c>
      <c r="B4641" t="str">
        <f>"000627"</f>
        <v>000627</v>
      </c>
      <c r="C4641" t="s">
        <v>9626</v>
      </c>
      <c r="D4641" t="s">
        <v>9627</v>
      </c>
      <c r="E4641">
        <v>0</v>
      </c>
      <c r="F4641">
        <v>0</v>
      </c>
      <c r="G4641">
        <v>0</v>
      </c>
      <c r="H4641">
        <v>153819219</v>
      </c>
      <c r="I4641">
        <v>620986002</v>
      </c>
      <c r="J4641">
        <v>139408114</v>
      </c>
      <c r="K4641">
        <v>133070311</v>
      </c>
      <c r="L4641">
        <v>143595736</v>
      </c>
      <c r="M4641">
        <v>269274316</v>
      </c>
      <c r="N4641">
        <v>201786397</v>
      </c>
      <c r="O4641">
        <v>282002504</v>
      </c>
      <c r="P4641">
        <v>288</v>
      </c>
      <c r="Q4641" t="s">
        <v>9628</v>
      </c>
    </row>
    <row r="4642" spans="1:17" x14ac:dyDescent="0.3">
      <c r="A4642" t="s">
        <v>75</v>
      </c>
      <c r="B4642" t="str">
        <f>"001227"</f>
        <v>001227</v>
      </c>
      <c r="C4642" t="s">
        <v>9629</v>
      </c>
      <c r="D4642" t="s">
        <v>9630</v>
      </c>
      <c r="E4642">
        <v>0</v>
      </c>
      <c r="F4642">
        <v>0</v>
      </c>
      <c r="P4642">
        <v>31</v>
      </c>
      <c r="Q4642" t="s">
        <v>9631</v>
      </c>
    </row>
    <row r="4643" spans="1:17" x14ac:dyDescent="0.3">
      <c r="A4643" t="s">
        <v>75</v>
      </c>
      <c r="B4643" t="str">
        <f>"002670"</f>
        <v>002670</v>
      </c>
      <c r="C4643" t="s">
        <v>9632</v>
      </c>
      <c r="D4643" t="s">
        <v>2823</v>
      </c>
      <c r="E4643">
        <v>0</v>
      </c>
      <c r="F4643">
        <v>0</v>
      </c>
      <c r="G4643">
        <v>0</v>
      </c>
      <c r="H4643">
        <v>0</v>
      </c>
      <c r="I4643">
        <v>1371822</v>
      </c>
      <c r="J4643">
        <v>225607006</v>
      </c>
      <c r="K4643">
        <v>220431921</v>
      </c>
      <c r="L4643">
        <v>303931713</v>
      </c>
      <c r="M4643">
        <v>358151046</v>
      </c>
      <c r="N4643">
        <v>373123930</v>
      </c>
      <c r="O4643">
        <v>296301958</v>
      </c>
      <c r="P4643">
        <v>580</v>
      </c>
      <c r="Q4643" t="s">
        <v>9633</v>
      </c>
    </row>
    <row r="4644" spans="1:17" x14ac:dyDescent="0.3">
      <c r="A4644" t="s">
        <v>17</v>
      </c>
      <c r="B4644" t="str">
        <f>"600000"</f>
        <v>600000</v>
      </c>
      <c r="C4644" t="s">
        <v>9634</v>
      </c>
      <c r="D4644" t="s">
        <v>9635</v>
      </c>
      <c r="P4644">
        <v>17547</v>
      </c>
      <c r="Q4644" t="s">
        <v>9636</v>
      </c>
    </row>
    <row r="4645" spans="1:17" x14ac:dyDescent="0.3">
      <c r="A4645" t="s">
        <v>17</v>
      </c>
      <c r="B4645" t="str">
        <f>"600005"</f>
        <v>600005</v>
      </c>
      <c r="C4645" t="s">
        <v>9637</v>
      </c>
      <c r="K4645">
        <v>12414966480.690001</v>
      </c>
      <c r="L4645">
        <v>18160244953.580002</v>
      </c>
      <c r="M4645">
        <v>8490836019.9399996</v>
      </c>
      <c r="N4645">
        <v>9374513414.5799999</v>
      </c>
      <c r="O4645">
        <v>6813729299.79</v>
      </c>
      <c r="P4645">
        <v>25</v>
      </c>
      <c r="Q4645" t="s">
        <v>9638</v>
      </c>
    </row>
    <row r="4646" spans="1:17" x14ac:dyDescent="0.3">
      <c r="A4646" t="s">
        <v>17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17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17</v>
      </c>
      <c r="B4648" t="str">
        <f>"600030"</f>
        <v>600030</v>
      </c>
      <c r="C4648" t="s">
        <v>9643</v>
      </c>
      <c r="D4648" t="s">
        <v>2823</v>
      </c>
      <c r="P4648">
        <v>5754</v>
      </c>
      <c r="Q4648" t="s">
        <v>9644</v>
      </c>
    </row>
    <row r="4649" spans="1:17" x14ac:dyDescent="0.3">
      <c r="A4649" t="s">
        <v>17</v>
      </c>
      <c r="B4649" t="str">
        <f>"600036"</f>
        <v>600036</v>
      </c>
      <c r="C4649" t="s">
        <v>9645</v>
      </c>
      <c r="D4649" t="s">
        <v>9635</v>
      </c>
      <c r="P4649">
        <v>68589</v>
      </c>
      <c r="Q4649" t="s">
        <v>9646</v>
      </c>
    </row>
    <row r="4650" spans="1:17" x14ac:dyDescent="0.3">
      <c r="A4650" t="s">
        <v>17</v>
      </c>
      <c r="B4650" t="str">
        <f>"600065"</f>
        <v>600065</v>
      </c>
      <c r="C4650" t="s">
        <v>9647</v>
      </c>
      <c r="J4650">
        <v>305312414.77999997</v>
      </c>
      <c r="K4650">
        <v>93566025.629999995</v>
      </c>
      <c r="L4650">
        <v>382472600.95999998</v>
      </c>
      <c r="M4650">
        <v>763422685.38</v>
      </c>
      <c r="N4650">
        <v>1173920036.8099999</v>
      </c>
      <c r="O4650">
        <v>656094103.80999994</v>
      </c>
      <c r="P4650">
        <v>4</v>
      </c>
      <c r="Q4650" t="s">
        <v>9648</v>
      </c>
    </row>
    <row r="4651" spans="1:17" x14ac:dyDescent="0.3">
      <c r="A4651" t="s">
        <v>17</v>
      </c>
      <c r="B4651" t="str">
        <f>"600068"</f>
        <v>600068</v>
      </c>
      <c r="C4651" t="s">
        <v>9649</v>
      </c>
      <c r="F4651">
        <v>26707146701</v>
      </c>
      <c r="G4651">
        <v>19457831747</v>
      </c>
      <c r="H4651">
        <v>26039152972</v>
      </c>
      <c r="I4651">
        <v>22730447560</v>
      </c>
      <c r="J4651">
        <v>25090976252</v>
      </c>
      <c r="K4651">
        <v>16829367067</v>
      </c>
      <c r="L4651">
        <v>15507442845</v>
      </c>
      <c r="M4651">
        <v>14382834764</v>
      </c>
      <c r="N4651">
        <v>13326770943</v>
      </c>
      <c r="O4651">
        <v>11975092275</v>
      </c>
      <c r="P4651">
        <v>843</v>
      </c>
      <c r="Q4651" t="s">
        <v>9650</v>
      </c>
    </row>
    <row r="4652" spans="1:17" x14ac:dyDescent="0.3">
      <c r="A4652" t="s">
        <v>17</v>
      </c>
      <c r="B4652" t="str">
        <f>"600069"</f>
        <v>600069</v>
      </c>
      <c r="C4652" t="s">
        <v>9651</v>
      </c>
      <c r="G4652">
        <v>170976022</v>
      </c>
      <c r="H4652">
        <v>594802563</v>
      </c>
      <c r="I4652">
        <v>475659387</v>
      </c>
      <c r="J4652">
        <v>308107929</v>
      </c>
      <c r="K4652">
        <v>437249009</v>
      </c>
      <c r="L4652">
        <v>352848470</v>
      </c>
      <c r="M4652">
        <v>327764546</v>
      </c>
      <c r="N4652">
        <v>277630540</v>
      </c>
      <c r="O4652">
        <v>578588903</v>
      </c>
      <c r="P4652">
        <v>48</v>
      </c>
      <c r="Q4652" t="s">
        <v>9652</v>
      </c>
    </row>
    <row r="4653" spans="1:17" x14ac:dyDescent="0.3">
      <c r="A4653" t="s">
        <v>17</v>
      </c>
      <c r="B4653" t="str">
        <f>"600074"</f>
        <v>600074</v>
      </c>
      <c r="C4653" t="s">
        <v>9653</v>
      </c>
      <c r="G4653">
        <v>39837498</v>
      </c>
      <c r="H4653">
        <v>16057046</v>
      </c>
      <c r="I4653">
        <v>54171364</v>
      </c>
      <c r="J4653">
        <v>868805488</v>
      </c>
      <c r="K4653">
        <v>780624634</v>
      </c>
      <c r="L4653">
        <v>278448451</v>
      </c>
      <c r="M4653">
        <v>137910236</v>
      </c>
      <c r="N4653">
        <v>285720345</v>
      </c>
      <c r="O4653">
        <v>402104756</v>
      </c>
      <c r="P4653">
        <v>61</v>
      </c>
      <c r="Q4653" t="s">
        <v>9654</v>
      </c>
    </row>
    <row r="4654" spans="1:17" x14ac:dyDescent="0.3">
      <c r="A4654" t="s">
        <v>17</v>
      </c>
      <c r="B4654" t="str">
        <f>"600086"</f>
        <v>600086</v>
      </c>
      <c r="C4654" t="s">
        <v>9655</v>
      </c>
      <c r="G4654">
        <v>902049</v>
      </c>
      <c r="H4654">
        <v>11033364</v>
      </c>
      <c r="I4654">
        <v>1320851792</v>
      </c>
      <c r="J4654">
        <v>1962531510</v>
      </c>
      <c r="K4654">
        <v>2441496572</v>
      </c>
      <c r="L4654">
        <v>1701738114</v>
      </c>
      <c r="M4654">
        <v>2007636908</v>
      </c>
      <c r="N4654">
        <v>3100666146</v>
      </c>
      <c r="O4654">
        <v>1114972689</v>
      </c>
      <c r="P4654">
        <v>73</v>
      </c>
      <c r="Q4654" t="s">
        <v>9656</v>
      </c>
    </row>
    <row r="4655" spans="1:17" x14ac:dyDescent="0.3">
      <c r="A4655" t="s">
        <v>17</v>
      </c>
      <c r="B4655" t="str">
        <f>"600087"</f>
        <v>600087</v>
      </c>
      <c r="C4655" t="s">
        <v>9657</v>
      </c>
      <c r="J4655">
        <v>852309491.54999995</v>
      </c>
      <c r="K4655">
        <v>1300800950</v>
      </c>
      <c r="L4655">
        <v>1059922083.72</v>
      </c>
      <c r="M4655">
        <v>1800836751.9100001</v>
      </c>
      <c r="N4655">
        <v>2132125594.52</v>
      </c>
      <c r="O4655">
        <v>1304110104.24</v>
      </c>
      <c r="P4655">
        <v>7</v>
      </c>
      <c r="Q4655" t="s">
        <v>9658</v>
      </c>
    </row>
    <row r="4656" spans="1:17" x14ac:dyDescent="0.3">
      <c r="A4656" t="s">
        <v>17</v>
      </c>
      <c r="B4656" t="str">
        <f>"600090"</f>
        <v>600090</v>
      </c>
      <c r="C4656" t="s">
        <v>9659</v>
      </c>
      <c r="D4656" t="s">
        <v>123</v>
      </c>
      <c r="F4656">
        <v>156082115</v>
      </c>
      <c r="G4656">
        <v>2063255740</v>
      </c>
      <c r="H4656">
        <v>2817592108</v>
      </c>
      <c r="I4656">
        <v>2426134892</v>
      </c>
      <c r="J4656">
        <v>3200102815</v>
      </c>
      <c r="K4656">
        <v>282890685</v>
      </c>
      <c r="L4656">
        <v>328628289</v>
      </c>
      <c r="M4656">
        <v>267795827</v>
      </c>
      <c r="N4656">
        <v>329378326</v>
      </c>
      <c r="O4656">
        <v>258520619</v>
      </c>
      <c r="P4656">
        <v>214</v>
      </c>
      <c r="Q4656" t="s">
        <v>9660</v>
      </c>
    </row>
    <row r="4657" spans="1:17" x14ac:dyDescent="0.3">
      <c r="A4657" t="s">
        <v>17</v>
      </c>
      <c r="B4657" t="str">
        <f>"600092"</f>
        <v>600092</v>
      </c>
      <c r="C4657" t="s">
        <v>9661</v>
      </c>
      <c r="J4657">
        <v>24035</v>
      </c>
      <c r="K4657">
        <v>438229</v>
      </c>
      <c r="L4657">
        <v>197050</v>
      </c>
      <c r="M4657">
        <v>44483.77</v>
      </c>
      <c r="N4657">
        <v>217674.34</v>
      </c>
      <c r="O4657">
        <v>232124.17</v>
      </c>
      <c r="P4657">
        <v>3</v>
      </c>
      <c r="Q4657" t="s">
        <v>9662</v>
      </c>
    </row>
    <row r="4658" spans="1:17" x14ac:dyDescent="0.3">
      <c r="A4658" t="s">
        <v>17</v>
      </c>
      <c r="B4658" t="str">
        <f>"600102"</f>
        <v>600102</v>
      </c>
      <c r="C4658" t="s">
        <v>9663</v>
      </c>
      <c r="M4658">
        <v>7722815844.21</v>
      </c>
      <c r="N4658">
        <v>10502653512.629999</v>
      </c>
      <c r="O4658">
        <v>14961665277.639999</v>
      </c>
      <c r="P4658">
        <v>12</v>
      </c>
      <c r="Q4658" t="s">
        <v>9664</v>
      </c>
    </row>
    <row r="4659" spans="1:17" x14ac:dyDescent="0.3">
      <c r="A4659" t="s">
        <v>17</v>
      </c>
      <c r="B4659" t="str">
        <f>"600109"</f>
        <v>600109</v>
      </c>
      <c r="C4659" t="s">
        <v>9665</v>
      </c>
      <c r="D4659" t="s">
        <v>2823</v>
      </c>
      <c r="P4659">
        <v>1128</v>
      </c>
      <c r="Q4659" t="s">
        <v>9666</v>
      </c>
    </row>
    <row r="4660" spans="1:17" x14ac:dyDescent="0.3">
      <c r="A4660" t="s">
        <v>17</v>
      </c>
      <c r="B4660" t="str">
        <f>"600145"</f>
        <v>600145</v>
      </c>
      <c r="C4660" t="s">
        <v>9667</v>
      </c>
      <c r="D4660" t="s">
        <v>142</v>
      </c>
      <c r="F4660">
        <v>127528</v>
      </c>
      <c r="G4660">
        <v>740860</v>
      </c>
      <c r="H4660">
        <v>0</v>
      </c>
      <c r="I4660">
        <v>0</v>
      </c>
      <c r="J4660">
        <v>0</v>
      </c>
      <c r="K4660">
        <v>2796843</v>
      </c>
      <c r="L4660">
        <v>3312285</v>
      </c>
      <c r="M4660">
        <v>7258530</v>
      </c>
      <c r="N4660">
        <v>5626590</v>
      </c>
      <c r="O4660">
        <v>71224548</v>
      </c>
      <c r="P4660">
        <v>46</v>
      </c>
      <c r="Q4660" t="s">
        <v>9668</v>
      </c>
    </row>
    <row r="4661" spans="1:17" x14ac:dyDescent="0.3">
      <c r="A4661" t="s">
        <v>17</v>
      </c>
      <c r="B4661" t="str">
        <f>"600146"</f>
        <v>600146</v>
      </c>
      <c r="C4661" t="s">
        <v>9669</v>
      </c>
      <c r="D4661" t="s">
        <v>814</v>
      </c>
      <c r="F4661">
        <v>34070255</v>
      </c>
      <c r="G4661">
        <v>13186030</v>
      </c>
      <c r="H4661">
        <v>354608395</v>
      </c>
      <c r="I4661">
        <v>569641197</v>
      </c>
      <c r="J4661">
        <v>301699903</v>
      </c>
      <c r="K4661">
        <v>3041904</v>
      </c>
      <c r="L4661">
        <v>2481585</v>
      </c>
      <c r="M4661">
        <v>21275734</v>
      </c>
      <c r="N4661">
        <v>15589222</v>
      </c>
      <c r="O4661">
        <v>7989519</v>
      </c>
      <c r="P4661">
        <v>70</v>
      </c>
      <c r="Q4661" t="s">
        <v>9670</v>
      </c>
    </row>
    <row r="4662" spans="1:17" x14ac:dyDescent="0.3">
      <c r="A4662" t="s">
        <v>17</v>
      </c>
      <c r="B4662" t="str">
        <f>"600175"</f>
        <v>600175</v>
      </c>
      <c r="C4662" t="s">
        <v>9671</v>
      </c>
      <c r="G4662">
        <v>456913736</v>
      </c>
      <c r="H4662">
        <v>730771440</v>
      </c>
      <c r="I4662">
        <v>1506835739</v>
      </c>
      <c r="J4662">
        <v>1132881215</v>
      </c>
      <c r="K4662">
        <v>1181246241</v>
      </c>
      <c r="L4662">
        <v>1572532405</v>
      </c>
      <c r="M4662">
        <v>1275103759</v>
      </c>
      <c r="N4662">
        <v>878291332</v>
      </c>
      <c r="O4662">
        <v>794399228</v>
      </c>
      <c r="P4662">
        <v>58</v>
      </c>
      <c r="Q4662" t="s">
        <v>9672</v>
      </c>
    </row>
    <row r="4663" spans="1:17" x14ac:dyDescent="0.3">
      <c r="A4663" t="s">
        <v>17</v>
      </c>
      <c r="B4663" t="str">
        <f>"600240"</f>
        <v>600240</v>
      </c>
      <c r="C4663" t="s">
        <v>9673</v>
      </c>
      <c r="G4663">
        <v>53802866</v>
      </c>
      <c r="H4663">
        <v>40426398</v>
      </c>
      <c r="I4663">
        <v>542978479</v>
      </c>
      <c r="J4663">
        <v>742447566</v>
      </c>
      <c r="K4663">
        <v>464045656</v>
      </c>
      <c r="L4663">
        <v>880036082</v>
      </c>
      <c r="M4663">
        <v>661408038</v>
      </c>
      <c r="N4663">
        <v>837347204</v>
      </c>
      <c r="O4663">
        <v>173182928</v>
      </c>
      <c r="P4663">
        <v>94</v>
      </c>
      <c r="Q4663" t="s">
        <v>9674</v>
      </c>
    </row>
    <row r="4664" spans="1:17" x14ac:dyDescent="0.3">
      <c r="A4664" t="s">
        <v>17</v>
      </c>
      <c r="B4664" t="str">
        <f>"600247"</f>
        <v>600247</v>
      </c>
      <c r="C4664" t="s">
        <v>9675</v>
      </c>
      <c r="G4664">
        <v>841520</v>
      </c>
      <c r="H4664">
        <v>1922312</v>
      </c>
      <c r="I4664">
        <v>13517422</v>
      </c>
      <c r="J4664">
        <v>323037632</v>
      </c>
      <c r="K4664">
        <v>7551426</v>
      </c>
      <c r="L4664">
        <v>1711243</v>
      </c>
      <c r="M4664">
        <v>1358228</v>
      </c>
      <c r="N4664">
        <v>59046545</v>
      </c>
      <c r="O4664">
        <v>2499219</v>
      </c>
      <c r="P4664">
        <v>29</v>
      </c>
      <c r="Q4664" t="s">
        <v>9676</v>
      </c>
    </row>
    <row r="4665" spans="1:17" x14ac:dyDescent="0.3">
      <c r="A4665" t="s">
        <v>17</v>
      </c>
      <c r="B4665" t="str">
        <f>"600253"</f>
        <v>600253</v>
      </c>
      <c r="C4665" t="s">
        <v>9677</v>
      </c>
      <c r="N4665">
        <v>410445728.00999999</v>
      </c>
      <c r="O4665">
        <v>382667572.72000003</v>
      </c>
      <c r="P4665">
        <v>3</v>
      </c>
      <c r="Q4665" t="s">
        <v>9678</v>
      </c>
    </row>
    <row r="4666" spans="1:17" x14ac:dyDescent="0.3">
      <c r="A4666" t="s">
        <v>17</v>
      </c>
      <c r="B4666" t="str">
        <f>"600270"</f>
        <v>600270</v>
      </c>
      <c r="C4666" t="s">
        <v>9679</v>
      </c>
      <c r="I4666">
        <v>1290386400</v>
      </c>
      <c r="J4666">
        <v>1231800541</v>
      </c>
      <c r="K4666">
        <v>915145548.07000005</v>
      </c>
      <c r="L4666">
        <v>917039535.37</v>
      </c>
      <c r="M4666">
        <v>892558829.73000002</v>
      </c>
      <c r="N4666">
        <v>953267835.49000001</v>
      </c>
      <c r="O4666">
        <v>804356432.97000003</v>
      </c>
      <c r="P4666">
        <v>101</v>
      </c>
      <c r="Q4666" t="s">
        <v>9680</v>
      </c>
    </row>
    <row r="4667" spans="1:17" x14ac:dyDescent="0.3">
      <c r="A4667" t="s">
        <v>17</v>
      </c>
      <c r="B4667" t="str">
        <f>"600286"</f>
        <v>600286</v>
      </c>
      <c r="C4667" t="s">
        <v>9681</v>
      </c>
      <c r="J4667">
        <v>17033018.420000002</v>
      </c>
      <c r="K4667">
        <v>30340269.710000001</v>
      </c>
      <c r="P4667">
        <v>18</v>
      </c>
      <c r="Q4667" t="s">
        <v>9682</v>
      </c>
    </row>
    <row r="4668" spans="1:17" x14ac:dyDescent="0.3">
      <c r="A4668" t="s">
        <v>17</v>
      </c>
      <c r="B4668" t="str">
        <f>"600291"</f>
        <v>600291</v>
      </c>
      <c r="C4668" t="s">
        <v>9683</v>
      </c>
      <c r="D4668" t="s">
        <v>9627</v>
      </c>
      <c r="P4668">
        <v>276</v>
      </c>
      <c r="Q4668" t="s">
        <v>9684</v>
      </c>
    </row>
    <row r="4669" spans="1:17" x14ac:dyDescent="0.3">
      <c r="A4669" t="s">
        <v>17</v>
      </c>
      <c r="B4669" t="str">
        <f>"600317"</f>
        <v>600317</v>
      </c>
      <c r="C4669" t="s">
        <v>9685</v>
      </c>
      <c r="G4669">
        <v>974069431</v>
      </c>
      <c r="H4669">
        <v>901640719</v>
      </c>
      <c r="I4669">
        <v>997600912</v>
      </c>
      <c r="J4669">
        <v>1015621546</v>
      </c>
      <c r="K4669">
        <v>602091450.65999997</v>
      </c>
      <c r="L4669">
        <v>978987271.04999995</v>
      </c>
      <c r="M4669">
        <v>856393388.54999995</v>
      </c>
      <c r="N4669">
        <v>804351436.59000003</v>
      </c>
      <c r="O4669">
        <v>520821635.11000001</v>
      </c>
      <c r="P4669">
        <v>92</v>
      </c>
      <c r="Q4669" t="s">
        <v>9686</v>
      </c>
    </row>
    <row r="4670" spans="1:17" x14ac:dyDescent="0.3">
      <c r="A4670" t="s">
        <v>17</v>
      </c>
      <c r="B4670" t="str">
        <f>"600369"</f>
        <v>600369</v>
      </c>
      <c r="C4670" t="s">
        <v>9687</v>
      </c>
      <c r="D4670" t="s">
        <v>2823</v>
      </c>
      <c r="P4670">
        <v>930</v>
      </c>
      <c r="Q4670" t="s">
        <v>9688</v>
      </c>
    </row>
    <row r="4671" spans="1:17" x14ac:dyDescent="0.3">
      <c r="A4671" t="s">
        <v>17</v>
      </c>
      <c r="B4671" t="str">
        <f>"600401"</f>
        <v>600401</v>
      </c>
      <c r="C4671" t="s">
        <v>9689</v>
      </c>
      <c r="H4671">
        <v>102521633</v>
      </c>
      <c r="I4671">
        <v>128770759</v>
      </c>
      <c r="J4671">
        <v>1201557716</v>
      </c>
      <c r="K4671">
        <v>870956255.37</v>
      </c>
      <c r="L4671">
        <v>1741995325.3</v>
      </c>
      <c r="M4671">
        <v>2132822329.3900001</v>
      </c>
      <c r="N4671">
        <v>2224496886.0700002</v>
      </c>
      <c r="O4671">
        <v>2214951569.0500002</v>
      </c>
      <c r="P4671">
        <v>22</v>
      </c>
      <c r="Q4671" t="s">
        <v>9690</v>
      </c>
    </row>
    <row r="4672" spans="1:17" x14ac:dyDescent="0.3">
      <c r="A4672" t="s">
        <v>17</v>
      </c>
      <c r="B4672" t="str">
        <f>"600432"</f>
        <v>600432</v>
      </c>
      <c r="C4672" t="s">
        <v>9691</v>
      </c>
      <c r="I4672">
        <v>728450050</v>
      </c>
      <c r="J4672">
        <v>596424950</v>
      </c>
      <c r="K4672">
        <v>630114065.13999999</v>
      </c>
      <c r="L4672">
        <v>1133571617.4100001</v>
      </c>
      <c r="M4672">
        <v>407789641.81</v>
      </c>
      <c r="N4672">
        <v>251430880.50999999</v>
      </c>
      <c r="O4672">
        <v>489820753.99000001</v>
      </c>
      <c r="P4672">
        <v>14</v>
      </c>
      <c r="Q4672" t="s">
        <v>9692</v>
      </c>
    </row>
    <row r="4673" spans="1:17" x14ac:dyDescent="0.3">
      <c r="A4673" t="s">
        <v>17</v>
      </c>
      <c r="B4673" t="str">
        <f>"600485"</f>
        <v>600485</v>
      </c>
      <c r="C4673" t="s">
        <v>9693</v>
      </c>
      <c r="F4673">
        <v>36987525</v>
      </c>
      <c r="G4673">
        <v>21656858</v>
      </c>
      <c r="H4673">
        <v>111240650</v>
      </c>
      <c r="I4673">
        <v>60514712</v>
      </c>
      <c r="J4673">
        <v>250524882</v>
      </c>
      <c r="K4673">
        <v>105092644</v>
      </c>
      <c r="L4673">
        <v>41392703</v>
      </c>
      <c r="M4673">
        <v>39226753</v>
      </c>
      <c r="N4673">
        <v>33244264</v>
      </c>
      <c r="O4673">
        <v>50357120</v>
      </c>
      <c r="P4673">
        <v>124</v>
      </c>
      <c r="Q4673" t="s">
        <v>9694</v>
      </c>
    </row>
    <row r="4674" spans="1:17" x14ac:dyDescent="0.3">
      <c r="A4674" t="s">
        <v>17</v>
      </c>
      <c r="B4674" t="str">
        <f>"600532"</f>
        <v>600532</v>
      </c>
      <c r="C4674" t="s">
        <v>9695</v>
      </c>
      <c r="D4674" t="s">
        <v>71</v>
      </c>
      <c r="F4674">
        <v>560201362</v>
      </c>
      <c r="G4674">
        <v>1175975225</v>
      </c>
      <c r="H4674">
        <v>951036602</v>
      </c>
      <c r="I4674">
        <v>296929795</v>
      </c>
      <c r="J4674">
        <v>66026891</v>
      </c>
      <c r="K4674">
        <v>160350240</v>
      </c>
      <c r="L4674">
        <v>60624899</v>
      </c>
      <c r="M4674">
        <v>134539503</v>
      </c>
      <c r="N4674">
        <v>90663560</v>
      </c>
      <c r="O4674">
        <v>145327353</v>
      </c>
      <c r="P4674">
        <v>91</v>
      </c>
      <c r="Q4674" t="s">
        <v>9696</v>
      </c>
    </row>
    <row r="4675" spans="1:17" x14ac:dyDescent="0.3">
      <c r="A4675" t="s">
        <v>17</v>
      </c>
      <c r="B4675" t="str">
        <f>"600614"</f>
        <v>600614</v>
      </c>
      <c r="C4675" t="s">
        <v>9697</v>
      </c>
      <c r="F4675">
        <v>20076301</v>
      </c>
      <c r="G4675">
        <v>369817873</v>
      </c>
      <c r="H4675">
        <v>481271162</v>
      </c>
      <c r="I4675">
        <v>554771729</v>
      </c>
      <c r="J4675">
        <v>513119101</v>
      </c>
      <c r="K4675">
        <v>492925842</v>
      </c>
      <c r="L4675">
        <v>420160288</v>
      </c>
      <c r="M4675">
        <v>188297352</v>
      </c>
      <c r="N4675">
        <v>246981562</v>
      </c>
      <c r="O4675">
        <v>237852596</v>
      </c>
      <c r="P4675">
        <v>55</v>
      </c>
      <c r="Q4675" t="s">
        <v>9698</v>
      </c>
    </row>
    <row r="4676" spans="1:17" x14ac:dyDescent="0.3">
      <c r="A4676" t="s">
        <v>17</v>
      </c>
      <c r="B4676" t="str">
        <f>"600625"</f>
        <v>600625</v>
      </c>
      <c r="C4676" t="s">
        <v>9699</v>
      </c>
      <c r="J4676">
        <v>9570840.1500000004</v>
      </c>
      <c r="K4676">
        <v>10253668.25</v>
      </c>
      <c r="L4676">
        <v>6309252.5099999998</v>
      </c>
      <c r="M4676">
        <v>10687523.83</v>
      </c>
      <c r="N4676">
        <v>2347011.98</v>
      </c>
      <c r="O4676">
        <v>1878111.35</v>
      </c>
      <c r="P4676">
        <v>5</v>
      </c>
      <c r="Q4676" t="s">
        <v>9700</v>
      </c>
    </row>
    <row r="4677" spans="1:17" x14ac:dyDescent="0.3">
      <c r="A4677" t="s">
        <v>17</v>
      </c>
      <c r="B4677" t="str">
        <f>"600631"</f>
        <v>600631</v>
      </c>
      <c r="C4677" t="s">
        <v>358</v>
      </c>
      <c r="M4677">
        <v>16915133991.07</v>
      </c>
      <c r="N4677">
        <v>17415325239.240002</v>
      </c>
      <c r="O4677">
        <v>16430358691.860001</v>
      </c>
      <c r="P4677">
        <v>18</v>
      </c>
      <c r="Q4677" t="s">
        <v>9701</v>
      </c>
    </row>
    <row r="4678" spans="1:17" x14ac:dyDescent="0.3">
      <c r="A4678" t="s">
        <v>17</v>
      </c>
      <c r="B4678" t="str">
        <f>"600634"</f>
        <v>600634</v>
      </c>
      <c r="C4678" t="s">
        <v>9702</v>
      </c>
      <c r="F4678">
        <v>337115</v>
      </c>
      <c r="G4678">
        <v>260196087</v>
      </c>
      <c r="H4678">
        <v>274983011</v>
      </c>
      <c r="I4678">
        <v>279720320</v>
      </c>
      <c r="J4678">
        <v>245427762</v>
      </c>
      <c r="K4678">
        <v>199228866</v>
      </c>
      <c r="L4678">
        <v>464006860</v>
      </c>
      <c r="M4678">
        <v>862050172</v>
      </c>
      <c r="N4678">
        <v>460809</v>
      </c>
      <c r="O4678">
        <v>10318337</v>
      </c>
      <c r="P4678">
        <v>48</v>
      </c>
      <c r="Q4678" t="s">
        <v>9703</v>
      </c>
    </row>
    <row r="4679" spans="1:17" x14ac:dyDescent="0.3">
      <c r="A4679" t="s">
        <v>17</v>
      </c>
      <c r="B4679" t="str">
        <f>"600646"</f>
        <v>600646</v>
      </c>
      <c r="C4679" t="s">
        <v>9704</v>
      </c>
      <c r="K4679">
        <v>0</v>
      </c>
      <c r="P4679">
        <v>2</v>
      </c>
      <c r="Q4679" t="s">
        <v>9705</v>
      </c>
    </row>
    <row r="4680" spans="1:17" x14ac:dyDescent="0.3">
      <c r="A4680" t="s">
        <v>17</v>
      </c>
      <c r="B4680" t="str">
        <f>"600656"</f>
        <v>600656</v>
      </c>
      <c r="C4680" t="s">
        <v>9706</v>
      </c>
      <c r="K4680">
        <v>0</v>
      </c>
      <c r="L4680">
        <v>0</v>
      </c>
      <c r="M4680">
        <v>24509832.280000001</v>
      </c>
      <c r="N4680">
        <v>62963500.729999997</v>
      </c>
      <c r="O4680">
        <v>0</v>
      </c>
      <c r="P4680">
        <v>3</v>
      </c>
      <c r="Q4680" t="s">
        <v>9707</v>
      </c>
    </row>
    <row r="4681" spans="1:17" x14ac:dyDescent="0.3">
      <c r="A4681" t="s">
        <v>17</v>
      </c>
      <c r="B4681" t="str">
        <f>"600669"</f>
        <v>600669</v>
      </c>
      <c r="C4681" t="s">
        <v>9708</v>
      </c>
      <c r="J4681">
        <v>0</v>
      </c>
      <c r="K4681">
        <v>0</v>
      </c>
      <c r="P4681">
        <v>2</v>
      </c>
      <c r="Q4681" t="s">
        <v>9709</v>
      </c>
    </row>
    <row r="4682" spans="1:17" x14ac:dyDescent="0.3">
      <c r="A4682" t="s">
        <v>17</v>
      </c>
      <c r="B4682" t="str">
        <f>"600670"</f>
        <v>600670</v>
      </c>
      <c r="C4682" t="s">
        <v>9710</v>
      </c>
      <c r="J4682">
        <v>18275700</v>
      </c>
      <c r="K4682">
        <v>2892000</v>
      </c>
      <c r="N4682">
        <v>0</v>
      </c>
      <c r="O4682">
        <v>0</v>
      </c>
      <c r="P4682">
        <v>2</v>
      </c>
      <c r="Q4682" t="s">
        <v>9711</v>
      </c>
    </row>
    <row r="4683" spans="1:17" x14ac:dyDescent="0.3">
      <c r="A4683" t="s">
        <v>17</v>
      </c>
      <c r="B4683" t="str">
        <f>"600672"</f>
        <v>600672</v>
      </c>
      <c r="C4683" t="s">
        <v>9712</v>
      </c>
      <c r="J4683">
        <v>79762499.230000004</v>
      </c>
      <c r="K4683">
        <v>49301478.950000003</v>
      </c>
      <c r="P4683">
        <v>2</v>
      </c>
      <c r="Q4683" t="s">
        <v>9713</v>
      </c>
    </row>
    <row r="4684" spans="1:17" x14ac:dyDescent="0.3">
      <c r="A4684" t="s">
        <v>17</v>
      </c>
      <c r="B4684" t="str">
        <f>"600677"</f>
        <v>600677</v>
      </c>
      <c r="C4684" t="s">
        <v>9714</v>
      </c>
      <c r="G4684">
        <v>980331311</v>
      </c>
      <c r="H4684">
        <v>1758570933</v>
      </c>
      <c r="I4684">
        <v>2598604427</v>
      </c>
      <c r="J4684">
        <v>3023980766</v>
      </c>
      <c r="K4684">
        <v>2429545571</v>
      </c>
      <c r="L4684">
        <v>1017919414</v>
      </c>
      <c r="M4684">
        <v>1631054134</v>
      </c>
      <c r="N4684">
        <v>2245459859</v>
      </c>
      <c r="O4684">
        <v>1914149206</v>
      </c>
      <c r="P4684">
        <v>77</v>
      </c>
      <c r="Q4684" t="s">
        <v>9715</v>
      </c>
    </row>
    <row r="4685" spans="1:17" x14ac:dyDescent="0.3">
      <c r="A4685" t="s">
        <v>17</v>
      </c>
      <c r="B4685" t="str">
        <f>"600679"</f>
        <v>600679</v>
      </c>
      <c r="C4685" t="s">
        <v>9716</v>
      </c>
      <c r="D4685" t="s">
        <v>917</v>
      </c>
      <c r="F4685">
        <v>440907576</v>
      </c>
      <c r="G4685">
        <v>201991897</v>
      </c>
      <c r="H4685">
        <v>288823213</v>
      </c>
      <c r="I4685">
        <v>186718613</v>
      </c>
      <c r="J4685">
        <v>236562250</v>
      </c>
      <c r="K4685">
        <v>123673016</v>
      </c>
      <c r="L4685">
        <v>88673246</v>
      </c>
      <c r="M4685">
        <v>137018607</v>
      </c>
      <c r="N4685">
        <v>169727651</v>
      </c>
      <c r="O4685">
        <v>203755334</v>
      </c>
      <c r="P4685">
        <v>77</v>
      </c>
      <c r="Q4685" t="s">
        <v>9717</v>
      </c>
    </row>
    <row r="4686" spans="1:17" x14ac:dyDescent="0.3">
      <c r="A4686" t="s">
        <v>17</v>
      </c>
      <c r="B4686" t="str">
        <f>"600680"</f>
        <v>600680</v>
      </c>
      <c r="C4686" t="s">
        <v>9718</v>
      </c>
      <c r="G4686">
        <v>25012687</v>
      </c>
      <c r="H4686">
        <v>65741251</v>
      </c>
      <c r="I4686">
        <v>67896830</v>
      </c>
      <c r="J4686">
        <v>137877746</v>
      </c>
      <c r="K4686">
        <v>245649653.63999999</v>
      </c>
      <c r="L4686">
        <v>274113465.69</v>
      </c>
      <c r="M4686">
        <v>377532147.45999998</v>
      </c>
      <c r="N4686">
        <v>390796001.98000002</v>
      </c>
      <c r="O4686">
        <v>242868672.05000001</v>
      </c>
      <c r="P4686">
        <v>20</v>
      </c>
      <c r="Q4686" t="s">
        <v>9719</v>
      </c>
    </row>
    <row r="4687" spans="1:17" x14ac:dyDescent="0.3">
      <c r="A4687" t="s">
        <v>17</v>
      </c>
      <c r="B4687" t="str">
        <f>"600687"</f>
        <v>600687</v>
      </c>
      <c r="C4687" t="s">
        <v>9720</v>
      </c>
      <c r="G4687">
        <v>122850241</v>
      </c>
      <c r="H4687">
        <v>700310968</v>
      </c>
      <c r="I4687">
        <v>2863319786</v>
      </c>
      <c r="J4687">
        <v>2227277259</v>
      </c>
      <c r="K4687">
        <v>1760827601</v>
      </c>
      <c r="L4687">
        <v>2712646335</v>
      </c>
      <c r="M4687">
        <v>689817915</v>
      </c>
      <c r="N4687">
        <v>167391000</v>
      </c>
      <c r="O4687">
        <v>180045969</v>
      </c>
      <c r="P4687">
        <v>58</v>
      </c>
      <c r="Q4687" t="s">
        <v>9721</v>
      </c>
    </row>
    <row r="4688" spans="1:17" x14ac:dyDescent="0.3">
      <c r="A4688" t="s">
        <v>17</v>
      </c>
      <c r="B4688" t="str">
        <f>"600700"</f>
        <v>600700</v>
      </c>
      <c r="C4688" t="s">
        <v>9722</v>
      </c>
      <c r="J4688">
        <v>858835</v>
      </c>
      <c r="K4688">
        <v>939835</v>
      </c>
      <c r="L4688">
        <v>719975</v>
      </c>
      <c r="M4688">
        <v>875218</v>
      </c>
      <c r="N4688">
        <v>947760</v>
      </c>
      <c r="O4688">
        <v>936235</v>
      </c>
      <c r="P4688">
        <v>5</v>
      </c>
      <c r="Q4688" t="s">
        <v>9723</v>
      </c>
    </row>
    <row r="4689" spans="1:17" x14ac:dyDescent="0.3">
      <c r="A4689" t="s">
        <v>17</v>
      </c>
      <c r="B4689" t="str">
        <f>"600701"</f>
        <v>600701</v>
      </c>
      <c r="C4689" t="s">
        <v>9724</v>
      </c>
      <c r="F4689">
        <v>92043307</v>
      </c>
      <c r="G4689">
        <v>85525768</v>
      </c>
      <c r="H4689">
        <v>178769534</v>
      </c>
      <c r="I4689">
        <v>464658223</v>
      </c>
      <c r="J4689">
        <v>586544144</v>
      </c>
      <c r="K4689">
        <v>218557258</v>
      </c>
      <c r="L4689">
        <v>158346500</v>
      </c>
      <c r="M4689">
        <v>188341559</v>
      </c>
      <c r="N4689">
        <v>182273689</v>
      </c>
      <c r="O4689">
        <v>155306122</v>
      </c>
      <c r="P4689">
        <v>55</v>
      </c>
      <c r="Q4689" t="s">
        <v>9725</v>
      </c>
    </row>
    <row r="4690" spans="1:17" x14ac:dyDescent="0.3">
      <c r="A4690" t="s">
        <v>17</v>
      </c>
      <c r="B4690" t="str">
        <f>"600709"</f>
        <v>600709</v>
      </c>
      <c r="C4690" t="s">
        <v>9726</v>
      </c>
      <c r="J4690">
        <v>2966203.92</v>
      </c>
      <c r="K4690">
        <v>1144801.6000000001</v>
      </c>
      <c r="L4690">
        <v>87450.2</v>
      </c>
      <c r="M4690">
        <v>6108283.9800000004</v>
      </c>
      <c r="P4690">
        <v>4</v>
      </c>
      <c r="Q4690" t="s">
        <v>9727</v>
      </c>
    </row>
    <row r="4691" spans="1:17" x14ac:dyDescent="0.3">
      <c r="A4691" t="s">
        <v>17</v>
      </c>
      <c r="B4691" t="str">
        <f>"600723"</f>
        <v>600723</v>
      </c>
      <c r="C4691" t="s">
        <v>9728</v>
      </c>
      <c r="F4691">
        <v>939865055</v>
      </c>
      <c r="G4691">
        <v>612412664</v>
      </c>
      <c r="H4691">
        <v>2977746794</v>
      </c>
      <c r="I4691">
        <v>3069914839</v>
      </c>
      <c r="J4691">
        <v>3053494787</v>
      </c>
      <c r="K4691">
        <v>3067674371</v>
      </c>
      <c r="L4691">
        <v>3524709879</v>
      </c>
      <c r="M4691">
        <v>3654626553</v>
      </c>
      <c r="N4691">
        <v>3772663891</v>
      </c>
      <c r="O4691">
        <v>3819233198</v>
      </c>
      <c r="P4691">
        <v>180</v>
      </c>
      <c r="Q4691" t="s">
        <v>9729</v>
      </c>
    </row>
    <row r="4692" spans="1:17" x14ac:dyDescent="0.3">
      <c r="A4692" t="s">
        <v>17</v>
      </c>
      <c r="B4692" t="str">
        <f>"600747"</f>
        <v>600747</v>
      </c>
      <c r="C4692" t="s">
        <v>9730</v>
      </c>
      <c r="G4692">
        <v>108604455</v>
      </c>
      <c r="H4692">
        <v>239614705</v>
      </c>
      <c r="I4692">
        <v>20104108</v>
      </c>
      <c r="J4692">
        <v>44162125</v>
      </c>
      <c r="K4692">
        <v>510414824</v>
      </c>
      <c r="L4692">
        <v>22283964</v>
      </c>
      <c r="M4692">
        <v>20839860</v>
      </c>
      <c r="N4692">
        <v>52112948</v>
      </c>
      <c r="O4692">
        <v>52853309</v>
      </c>
      <c r="P4692">
        <v>21</v>
      </c>
      <c r="Q4692" t="s">
        <v>9731</v>
      </c>
    </row>
    <row r="4693" spans="1:17" x14ac:dyDescent="0.3">
      <c r="A4693" t="s">
        <v>17</v>
      </c>
      <c r="B4693" t="str">
        <f>"600748"</f>
        <v>600748</v>
      </c>
      <c r="C4693" t="s">
        <v>9732</v>
      </c>
      <c r="D4693" t="s">
        <v>65</v>
      </c>
      <c r="F4693">
        <v>2473663737</v>
      </c>
      <c r="G4693">
        <v>1596352867</v>
      </c>
      <c r="H4693">
        <v>1573009492</v>
      </c>
      <c r="I4693">
        <v>1588519976</v>
      </c>
      <c r="J4693">
        <v>2237534645</v>
      </c>
      <c r="K4693">
        <v>1533658172</v>
      </c>
      <c r="L4693">
        <v>576172358</v>
      </c>
      <c r="M4693">
        <v>526067753</v>
      </c>
      <c r="N4693">
        <v>524602435</v>
      </c>
      <c r="O4693">
        <v>379727585</v>
      </c>
      <c r="P4693">
        <v>188</v>
      </c>
      <c r="Q4693" t="s">
        <v>9733</v>
      </c>
    </row>
    <row r="4694" spans="1:17" x14ac:dyDescent="0.3">
      <c r="A4694" t="s">
        <v>17</v>
      </c>
      <c r="B4694" t="str">
        <f>"600752"</f>
        <v>600752</v>
      </c>
      <c r="C4694" t="s">
        <v>9734</v>
      </c>
      <c r="J4694">
        <v>0</v>
      </c>
      <c r="L4694">
        <v>0</v>
      </c>
      <c r="M4694">
        <v>0</v>
      </c>
      <c r="N4694">
        <v>0</v>
      </c>
      <c r="P4694">
        <v>2</v>
      </c>
      <c r="Q4694" t="s">
        <v>9735</v>
      </c>
    </row>
    <row r="4695" spans="1:17" x14ac:dyDescent="0.3">
      <c r="A4695" t="s">
        <v>17</v>
      </c>
      <c r="B4695" t="str">
        <f>"600781"</f>
        <v>600781</v>
      </c>
      <c r="C4695" t="s">
        <v>9736</v>
      </c>
      <c r="D4695" t="s">
        <v>543</v>
      </c>
      <c r="F4695">
        <v>474218249</v>
      </c>
      <c r="G4695">
        <v>436832745</v>
      </c>
      <c r="H4695">
        <v>1419698881</v>
      </c>
      <c r="I4695">
        <v>1197888313</v>
      </c>
      <c r="J4695">
        <v>143798422</v>
      </c>
      <c r="K4695">
        <v>75874294</v>
      </c>
      <c r="L4695">
        <v>94788098</v>
      </c>
      <c r="M4695">
        <v>75641759</v>
      </c>
      <c r="N4695">
        <v>83504366</v>
      </c>
      <c r="O4695">
        <v>62613059</v>
      </c>
      <c r="P4695">
        <v>194</v>
      </c>
      <c r="Q4695" t="s">
        <v>9737</v>
      </c>
    </row>
    <row r="4696" spans="1:17" x14ac:dyDescent="0.3">
      <c r="A4696" t="s">
        <v>17</v>
      </c>
      <c r="B4696" t="str">
        <f>"600806"</f>
        <v>600806</v>
      </c>
      <c r="C4696" t="s">
        <v>9738</v>
      </c>
      <c r="I4696">
        <v>54490896</v>
      </c>
      <c r="J4696">
        <v>121160382</v>
      </c>
      <c r="K4696">
        <v>166329348.33000001</v>
      </c>
      <c r="L4696">
        <v>179433810.22</v>
      </c>
      <c r="M4696">
        <v>263159171.69999999</v>
      </c>
      <c r="N4696">
        <v>193592966.55000001</v>
      </c>
      <c r="O4696">
        <v>336138349.79000002</v>
      </c>
      <c r="P4696">
        <v>11</v>
      </c>
      <c r="Q4696" t="s">
        <v>9739</v>
      </c>
    </row>
    <row r="4697" spans="1:17" x14ac:dyDescent="0.3">
      <c r="A4697" t="s">
        <v>17</v>
      </c>
      <c r="B4697" t="str">
        <f>"600813"</f>
        <v>600813</v>
      </c>
      <c r="C4697" t="s">
        <v>9740</v>
      </c>
      <c r="J4697">
        <v>153425</v>
      </c>
      <c r="K4697">
        <v>67500</v>
      </c>
      <c r="L4697">
        <v>0</v>
      </c>
      <c r="M4697">
        <v>1503419.55</v>
      </c>
      <c r="N4697">
        <v>106026</v>
      </c>
      <c r="O4697">
        <v>946462.43</v>
      </c>
      <c r="P4697">
        <v>2</v>
      </c>
      <c r="Q4697" t="s">
        <v>9741</v>
      </c>
    </row>
    <row r="4698" spans="1:17" x14ac:dyDescent="0.3">
      <c r="A4698" t="s">
        <v>17</v>
      </c>
      <c r="B4698" t="str">
        <f>"600832"</f>
        <v>600832</v>
      </c>
      <c r="C4698" t="s">
        <v>2031</v>
      </c>
      <c r="L4698">
        <v>1182082871.6500001</v>
      </c>
      <c r="M4698">
        <v>581313141.00999999</v>
      </c>
      <c r="N4698">
        <v>767555935.94000006</v>
      </c>
      <c r="O4698">
        <v>428366603.89999998</v>
      </c>
      <c r="P4698">
        <v>15</v>
      </c>
      <c r="Q4698" t="s">
        <v>9742</v>
      </c>
    </row>
    <row r="4699" spans="1:17" x14ac:dyDescent="0.3">
      <c r="A4699" t="s">
        <v>17</v>
      </c>
      <c r="B4699" t="str">
        <f>"600837"</f>
        <v>600837</v>
      </c>
      <c r="C4699" t="s">
        <v>9743</v>
      </c>
      <c r="D4699" t="s">
        <v>2823</v>
      </c>
      <c r="P4699">
        <v>4976</v>
      </c>
      <c r="Q4699" t="s">
        <v>9744</v>
      </c>
    </row>
    <row r="4700" spans="1:17" x14ac:dyDescent="0.3">
      <c r="A4700" t="s">
        <v>17</v>
      </c>
      <c r="B4700" t="str">
        <f>"600849"</f>
        <v>600849</v>
      </c>
      <c r="C4700" t="s">
        <v>122</v>
      </c>
      <c r="J4700">
        <v>34868793700</v>
      </c>
      <c r="K4700">
        <v>31216259735.32</v>
      </c>
      <c r="L4700">
        <v>24368617316.73</v>
      </c>
      <c r="M4700">
        <v>22882115310.919998</v>
      </c>
      <c r="N4700">
        <v>19948027866.34</v>
      </c>
      <c r="O4700">
        <v>16625698591.1</v>
      </c>
      <c r="P4700">
        <v>3</v>
      </c>
      <c r="Q4700" t="s">
        <v>9745</v>
      </c>
    </row>
    <row r="4701" spans="1:17" x14ac:dyDescent="0.3">
      <c r="A4701" t="s">
        <v>17</v>
      </c>
      <c r="B4701" t="str">
        <f>"600878"</f>
        <v>600878</v>
      </c>
      <c r="C4701" t="s">
        <v>9746</v>
      </c>
      <c r="J4701">
        <v>0</v>
      </c>
      <c r="P4701">
        <v>2</v>
      </c>
      <c r="Q4701" t="s">
        <v>9747</v>
      </c>
    </row>
    <row r="4702" spans="1:17" x14ac:dyDescent="0.3">
      <c r="A4702" t="s">
        <v>17</v>
      </c>
      <c r="B4702" t="str">
        <f>"600891"</f>
        <v>600891</v>
      </c>
      <c r="C4702" t="s">
        <v>9748</v>
      </c>
      <c r="F4702">
        <v>36407728</v>
      </c>
      <c r="G4702">
        <v>56535787</v>
      </c>
      <c r="H4702">
        <v>127853565</v>
      </c>
      <c r="I4702">
        <v>2846257756</v>
      </c>
      <c r="J4702">
        <v>1501965844</v>
      </c>
      <c r="K4702">
        <v>1916954484</v>
      </c>
      <c r="L4702">
        <v>131285711</v>
      </c>
      <c r="M4702">
        <v>131802604</v>
      </c>
      <c r="N4702">
        <v>118011768</v>
      </c>
      <c r="O4702">
        <v>125154950</v>
      </c>
      <c r="P4702">
        <v>45</v>
      </c>
      <c r="Q4702" t="s">
        <v>9749</v>
      </c>
    </row>
    <row r="4703" spans="1:17" x14ac:dyDescent="0.3">
      <c r="A4703" t="s">
        <v>17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17</v>
      </c>
      <c r="B4704" t="str">
        <f>"600909"</f>
        <v>600909</v>
      </c>
      <c r="C4704" t="s">
        <v>9753</v>
      </c>
      <c r="D4704" t="s">
        <v>2823</v>
      </c>
      <c r="P4704">
        <v>832</v>
      </c>
      <c r="Q4704" t="s">
        <v>9754</v>
      </c>
    </row>
    <row r="4705" spans="1:17" x14ac:dyDescent="0.3">
      <c r="A4705" t="s">
        <v>17</v>
      </c>
      <c r="B4705" t="str">
        <f>"600918"</f>
        <v>600918</v>
      </c>
      <c r="C4705" t="s">
        <v>9755</v>
      </c>
      <c r="D4705" t="s">
        <v>2823</v>
      </c>
      <c r="P4705">
        <v>568</v>
      </c>
      <c r="Q4705" t="s">
        <v>9756</v>
      </c>
    </row>
    <row r="4706" spans="1:17" x14ac:dyDescent="0.3">
      <c r="A4706" t="s">
        <v>17</v>
      </c>
      <c r="B4706" t="str">
        <f>"600919"</f>
        <v>600919</v>
      </c>
      <c r="C4706" t="s">
        <v>9757</v>
      </c>
      <c r="D4706" t="s">
        <v>9630</v>
      </c>
      <c r="P4706">
        <v>1465</v>
      </c>
      <c r="Q4706" t="s">
        <v>9758</v>
      </c>
    </row>
    <row r="4707" spans="1:17" x14ac:dyDescent="0.3">
      <c r="A4707" t="s">
        <v>17</v>
      </c>
      <c r="B4707" t="str">
        <f>"600926"</f>
        <v>600926</v>
      </c>
      <c r="C4707" t="s">
        <v>9759</v>
      </c>
      <c r="D4707" t="s">
        <v>9630</v>
      </c>
      <c r="P4707">
        <v>1141</v>
      </c>
      <c r="Q4707" t="s">
        <v>9760</v>
      </c>
    </row>
    <row r="4708" spans="1:17" x14ac:dyDescent="0.3">
      <c r="A4708" t="s">
        <v>17</v>
      </c>
      <c r="B4708" t="str">
        <f>"600928"</f>
        <v>600928</v>
      </c>
      <c r="C4708" t="s">
        <v>9761</v>
      </c>
      <c r="D4708" t="s">
        <v>9630</v>
      </c>
      <c r="P4708">
        <v>409</v>
      </c>
      <c r="Q4708" t="s">
        <v>9762</v>
      </c>
    </row>
    <row r="4709" spans="1:17" x14ac:dyDescent="0.3">
      <c r="A4709" t="s">
        <v>17</v>
      </c>
      <c r="B4709" t="str">
        <f>"600958"</f>
        <v>600958</v>
      </c>
      <c r="C4709" t="s">
        <v>9763</v>
      </c>
      <c r="D4709" t="s">
        <v>2823</v>
      </c>
      <c r="P4709">
        <v>1248</v>
      </c>
      <c r="Q4709" t="s">
        <v>9764</v>
      </c>
    </row>
    <row r="4710" spans="1:17" x14ac:dyDescent="0.3">
      <c r="A4710" t="s">
        <v>17</v>
      </c>
      <c r="B4710" t="str">
        <f>"600978"</f>
        <v>600978</v>
      </c>
      <c r="C4710" t="s">
        <v>9765</v>
      </c>
      <c r="G4710">
        <v>817327772</v>
      </c>
      <c r="H4710">
        <v>1362631701</v>
      </c>
      <c r="I4710">
        <v>1614589838</v>
      </c>
      <c r="J4710">
        <v>973907913</v>
      </c>
      <c r="K4710">
        <v>720645102</v>
      </c>
      <c r="L4710">
        <v>850137717</v>
      </c>
      <c r="M4710">
        <v>885023616</v>
      </c>
      <c r="N4710">
        <v>864455976</v>
      </c>
      <c r="O4710">
        <v>715746442</v>
      </c>
      <c r="P4710">
        <v>167</v>
      </c>
      <c r="Q4710" t="s">
        <v>9766</v>
      </c>
    </row>
    <row r="4711" spans="1:17" x14ac:dyDescent="0.3">
      <c r="A4711" t="s">
        <v>17</v>
      </c>
      <c r="B4711" t="str">
        <f>"600999"</f>
        <v>600999</v>
      </c>
      <c r="C4711" t="s">
        <v>9767</v>
      </c>
      <c r="D4711" t="s">
        <v>2823</v>
      </c>
      <c r="P4711">
        <v>2820</v>
      </c>
      <c r="Q4711" t="s">
        <v>9768</v>
      </c>
    </row>
    <row r="4712" spans="1:17" x14ac:dyDescent="0.3">
      <c r="A4712" t="s">
        <v>17</v>
      </c>
      <c r="B4712" t="str">
        <f>"601009"</f>
        <v>601009</v>
      </c>
      <c r="C4712" t="s">
        <v>9769</v>
      </c>
      <c r="D4712" t="s">
        <v>9630</v>
      </c>
      <c r="P4712">
        <v>44247</v>
      </c>
      <c r="Q4712" t="s">
        <v>9770</v>
      </c>
    </row>
    <row r="4713" spans="1:17" x14ac:dyDescent="0.3">
      <c r="A4713" t="s">
        <v>17</v>
      </c>
      <c r="B4713" t="str">
        <f>"601066"</f>
        <v>601066</v>
      </c>
      <c r="C4713" t="s">
        <v>9771</v>
      </c>
      <c r="D4713" t="s">
        <v>2823</v>
      </c>
      <c r="P4713">
        <v>1825</v>
      </c>
      <c r="Q4713" t="s">
        <v>9772</v>
      </c>
    </row>
    <row r="4714" spans="1:17" x14ac:dyDescent="0.3">
      <c r="A4714" t="s">
        <v>17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17</v>
      </c>
      <c r="B4715" t="str">
        <f>"601099"</f>
        <v>601099</v>
      </c>
      <c r="C4715" t="s">
        <v>9775</v>
      </c>
      <c r="D4715" t="s">
        <v>2823</v>
      </c>
      <c r="P4715">
        <v>738</v>
      </c>
      <c r="Q4715" t="s">
        <v>9776</v>
      </c>
    </row>
    <row r="4716" spans="1:17" x14ac:dyDescent="0.3">
      <c r="A4716" t="s">
        <v>17</v>
      </c>
      <c r="B4716" t="str">
        <f>"601108"</f>
        <v>601108</v>
      </c>
      <c r="C4716" t="s">
        <v>9777</v>
      </c>
      <c r="D4716" t="s">
        <v>2823</v>
      </c>
      <c r="P4716">
        <v>980</v>
      </c>
      <c r="Q4716" t="s">
        <v>9778</v>
      </c>
    </row>
    <row r="4717" spans="1:17" x14ac:dyDescent="0.3">
      <c r="A4717" t="s">
        <v>17</v>
      </c>
      <c r="B4717" t="str">
        <f>"601128"</f>
        <v>601128</v>
      </c>
      <c r="C4717" t="s">
        <v>9779</v>
      </c>
      <c r="D4717" t="s">
        <v>9751</v>
      </c>
      <c r="P4717">
        <v>940</v>
      </c>
      <c r="Q4717" t="s">
        <v>9780</v>
      </c>
    </row>
    <row r="4718" spans="1:17" x14ac:dyDescent="0.3">
      <c r="A4718" t="s">
        <v>17</v>
      </c>
      <c r="B4718" t="str">
        <f>"601162"</f>
        <v>601162</v>
      </c>
      <c r="C4718" t="s">
        <v>9781</v>
      </c>
      <c r="D4718" t="s">
        <v>2823</v>
      </c>
      <c r="P4718">
        <v>897</v>
      </c>
      <c r="Q4718" t="s">
        <v>9782</v>
      </c>
    </row>
    <row r="4719" spans="1:17" x14ac:dyDescent="0.3">
      <c r="A4719" t="s">
        <v>17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17</v>
      </c>
      <c r="B4720" t="str">
        <f>"601169"</f>
        <v>601169</v>
      </c>
      <c r="C4720" t="s">
        <v>9785</v>
      </c>
      <c r="D4720" t="s">
        <v>9630</v>
      </c>
      <c r="P4720">
        <v>16385</v>
      </c>
      <c r="Q4720" t="s">
        <v>9786</v>
      </c>
    </row>
    <row r="4721" spans="1:17" x14ac:dyDescent="0.3">
      <c r="A4721" t="s">
        <v>17</v>
      </c>
      <c r="B4721" t="str">
        <f>"601187"</f>
        <v>601187</v>
      </c>
      <c r="C4721" t="s">
        <v>9787</v>
      </c>
      <c r="D4721" t="s">
        <v>9630</v>
      </c>
      <c r="P4721">
        <v>177</v>
      </c>
      <c r="Q4721" t="s">
        <v>9788</v>
      </c>
    </row>
    <row r="4722" spans="1:17" x14ac:dyDescent="0.3">
      <c r="A4722" t="s">
        <v>17</v>
      </c>
      <c r="B4722" t="str">
        <f>"601198"</f>
        <v>601198</v>
      </c>
      <c r="C4722" t="s">
        <v>9789</v>
      </c>
      <c r="D4722" t="s">
        <v>2823</v>
      </c>
      <c r="P4722">
        <v>814</v>
      </c>
      <c r="Q4722" t="s">
        <v>9790</v>
      </c>
    </row>
    <row r="4723" spans="1:17" x14ac:dyDescent="0.3">
      <c r="A4723" t="s">
        <v>17</v>
      </c>
      <c r="B4723" t="str">
        <f>"601211"</f>
        <v>601211</v>
      </c>
      <c r="C4723" t="s">
        <v>9791</v>
      </c>
      <c r="D4723" t="s">
        <v>2823</v>
      </c>
      <c r="P4723">
        <v>3571</v>
      </c>
      <c r="Q4723" t="s">
        <v>9792</v>
      </c>
    </row>
    <row r="4724" spans="1:17" x14ac:dyDescent="0.3">
      <c r="A4724" t="s">
        <v>17</v>
      </c>
      <c r="B4724" t="str">
        <f>"601229"</f>
        <v>601229</v>
      </c>
      <c r="C4724" t="s">
        <v>9793</v>
      </c>
      <c r="D4724" t="s">
        <v>9630</v>
      </c>
      <c r="P4724">
        <v>1546</v>
      </c>
      <c r="Q4724" t="s">
        <v>9794</v>
      </c>
    </row>
    <row r="4725" spans="1:17" x14ac:dyDescent="0.3">
      <c r="A4725" t="s">
        <v>17</v>
      </c>
      <c r="B4725" t="str">
        <f>"601236"</f>
        <v>601236</v>
      </c>
      <c r="C4725" t="s">
        <v>9795</v>
      </c>
      <c r="D4725" t="s">
        <v>2823</v>
      </c>
      <c r="P4725">
        <v>879</v>
      </c>
      <c r="Q4725" t="s">
        <v>9796</v>
      </c>
    </row>
    <row r="4726" spans="1:17" x14ac:dyDescent="0.3">
      <c r="A4726" t="s">
        <v>17</v>
      </c>
      <c r="B4726" t="str">
        <f>"601268"</f>
        <v>601268</v>
      </c>
      <c r="C4726" t="s">
        <v>9797</v>
      </c>
      <c r="J4726">
        <v>660514900.53999996</v>
      </c>
      <c r="K4726">
        <v>647579247.45000005</v>
      </c>
      <c r="L4726">
        <v>295191525.17000002</v>
      </c>
      <c r="M4726">
        <v>1143141643.8299999</v>
      </c>
      <c r="N4726">
        <v>1003273923.62</v>
      </c>
      <c r="O4726">
        <v>1001114936.4</v>
      </c>
      <c r="P4726">
        <v>2</v>
      </c>
      <c r="Q4726" t="s">
        <v>9798</v>
      </c>
    </row>
    <row r="4727" spans="1:17" x14ac:dyDescent="0.3">
      <c r="A4727" t="s">
        <v>17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17</v>
      </c>
      <c r="B4728" t="str">
        <f>"601299"</f>
        <v>601299</v>
      </c>
      <c r="C4728" t="s">
        <v>9802</v>
      </c>
      <c r="L4728">
        <v>18263455000</v>
      </c>
      <c r="M4728">
        <v>15305526000</v>
      </c>
      <c r="N4728">
        <v>13497409000</v>
      </c>
      <c r="O4728">
        <v>17365081000</v>
      </c>
      <c r="P4728">
        <v>12</v>
      </c>
      <c r="Q4728" t="s">
        <v>9803</v>
      </c>
    </row>
    <row r="4729" spans="1:17" x14ac:dyDescent="0.3">
      <c r="A4729" t="s">
        <v>17</v>
      </c>
      <c r="B4729" t="str">
        <f>"601313"</f>
        <v>601313</v>
      </c>
      <c r="C4729" t="s">
        <v>9804</v>
      </c>
      <c r="I4729">
        <v>3744777000</v>
      </c>
      <c r="J4729">
        <v>621079047</v>
      </c>
      <c r="K4729">
        <v>541375375.04999995</v>
      </c>
      <c r="L4729">
        <v>571369410.58000004</v>
      </c>
      <c r="M4729">
        <v>588320514.07000005</v>
      </c>
      <c r="N4729">
        <v>485663954.29000002</v>
      </c>
      <c r="O4729">
        <v>426707994.81999999</v>
      </c>
      <c r="P4729">
        <v>53</v>
      </c>
      <c r="Q4729" t="s">
        <v>9805</v>
      </c>
    </row>
    <row r="4730" spans="1:17" x14ac:dyDescent="0.3">
      <c r="A4730" t="s">
        <v>17</v>
      </c>
      <c r="B4730" t="str">
        <f>"601318"</f>
        <v>601318</v>
      </c>
      <c r="C4730" t="s">
        <v>9806</v>
      </c>
      <c r="D4730" t="s">
        <v>9627</v>
      </c>
      <c r="P4730">
        <v>27845</v>
      </c>
      <c r="Q4730" t="s">
        <v>9807</v>
      </c>
    </row>
    <row r="4731" spans="1:17" x14ac:dyDescent="0.3">
      <c r="A4731" t="s">
        <v>17</v>
      </c>
      <c r="B4731" t="str">
        <f>"601319"</f>
        <v>601319</v>
      </c>
      <c r="C4731" t="s">
        <v>9808</v>
      </c>
      <c r="D4731" t="s">
        <v>9627</v>
      </c>
      <c r="P4731">
        <v>901</v>
      </c>
      <c r="Q4731" t="s">
        <v>9809</v>
      </c>
    </row>
    <row r="4732" spans="1:17" x14ac:dyDescent="0.3">
      <c r="A4732" t="s">
        <v>17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17</v>
      </c>
      <c r="B4733" t="str">
        <f>"601336"</f>
        <v>601336</v>
      </c>
      <c r="C4733" t="s">
        <v>9812</v>
      </c>
      <c r="D4733" t="s">
        <v>9627</v>
      </c>
      <c r="P4733">
        <v>1856</v>
      </c>
      <c r="Q4733" t="s">
        <v>9813</v>
      </c>
    </row>
    <row r="4734" spans="1:17" x14ac:dyDescent="0.3">
      <c r="A4734" t="s">
        <v>17</v>
      </c>
      <c r="B4734" t="str">
        <f>"601375"</f>
        <v>601375</v>
      </c>
      <c r="C4734" t="s">
        <v>9814</v>
      </c>
      <c r="D4734" t="s">
        <v>2823</v>
      </c>
      <c r="P4734">
        <v>690</v>
      </c>
      <c r="Q4734" t="s">
        <v>9815</v>
      </c>
    </row>
    <row r="4735" spans="1:17" x14ac:dyDescent="0.3">
      <c r="A4735" t="s">
        <v>17</v>
      </c>
      <c r="B4735" t="str">
        <f>"601377"</f>
        <v>601377</v>
      </c>
      <c r="C4735" t="s">
        <v>9816</v>
      </c>
      <c r="D4735" t="s">
        <v>2823</v>
      </c>
      <c r="P4735">
        <v>1731</v>
      </c>
      <c r="Q4735" t="s">
        <v>9817</v>
      </c>
    </row>
    <row r="4736" spans="1:17" x14ac:dyDescent="0.3">
      <c r="A4736" t="s">
        <v>17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17</v>
      </c>
      <c r="B4737" t="str">
        <f>"601456"</f>
        <v>601456</v>
      </c>
      <c r="C4737" t="s">
        <v>9820</v>
      </c>
      <c r="D4737" t="s">
        <v>2823</v>
      </c>
      <c r="P4737">
        <v>310</v>
      </c>
      <c r="Q4737" t="s">
        <v>9821</v>
      </c>
    </row>
    <row r="4738" spans="1:17" x14ac:dyDescent="0.3">
      <c r="A4738" t="s">
        <v>17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17</v>
      </c>
      <c r="B4739" t="str">
        <f>"601555"</f>
        <v>601555</v>
      </c>
      <c r="C4739" t="s">
        <v>9824</v>
      </c>
      <c r="D4739" t="s">
        <v>2823</v>
      </c>
      <c r="P4739">
        <v>937</v>
      </c>
      <c r="Q4739" t="s">
        <v>9825</v>
      </c>
    </row>
    <row r="4740" spans="1:17" x14ac:dyDescent="0.3">
      <c r="A4740" t="s">
        <v>17</v>
      </c>
      <c r="B4740" t="str">
        <f>"601558"</f>
        <v>601558</v>
      </c>
      <c r="C4740" t="s">
        <v>9826</v>
      </c>
      <c r="G4740">
        <v>182812864</v>
      </c>
      <c r="H4740">
        <v>123569353</v>
      </c>
      <c r="I4740">
        <v>222681222</v>
      </c>
      <c r="J4740">
        <v>126237148</v>
      </c>
      <c r="K4740">
        <v>178477767</v>
      </c>
      <c r="L4740">
        <v>231244447</v>
      </c>
      <c r="M4740">
        <v>621794860</v>
      </c>
      <c r="N4740">
        <v>850705114</v>
      </c>
      <c r="O4740">
        <v>1390491272</v>
      </c>
      <c r="P4740">
        <v>47</v>
      </c>
      <c r="Q4740" t="s">
        <v>9827</v>
      </c>
    </row>
    <row r="4741" spans="1:17" x14ac:dyDescent="0.3">
      <c r="A4741" t="s">
        <v>17</v>
      </c>
      <c r="B4741" t="str">
        <f>"601577"</f>
        <v>601577</v>
      </c>
      <c r="C4741" t="s">
        <v>9828</v>
      </c>
      <c r="D4741" t="s">
        <v>9630</v>
      </c>
      <c r="P4741">
        <v>927</v>
      </c>
      <c r="Q4741" t="s">
        <v>9829</v>
      </c>
    </row>
    <row r="4742" spans="1:17" x14ac:dyDescent="0.3">
      <c r="A4742" t="s">
        <v>17</v>
      </c>
      <c r="B4742" t="str">
        <f>"601601"</f>
        <v>601601</v>
      </c>
      <c r="C4742" t="s">
        <v>9830</v>
      </c>
      <c r="D4742" t="s">
        <v>9627</v>
      </c>
      <c r="P4742">
        <v>2648</v>
      </c>
      <c r="Q4742" t="s">
        <v>9831</v>
      </c>
    </row>
    <row r="4743" spans="1:17" x14ac:dyDescent="0.3">
      <c r="A4743" t="s">
        <v>17</v>
      </c>
      <c r="B4743" t="str">
        <f>"601628"</f>
        <v>601628</v>
      </c>
      <c r="C4743" t="s">
        <v>9832</v>
      </c>
      <c r="D4743" t="s">
        <v>9627</v>
      </c>
      <c r="P4743">
        <v>1729</v>
      </c>
      <c r="Q4743" t="s">
        <v>9833</v>
      </c>
    </row>
    <row r="4744" spans="1:17" x14ac:dyDescent="0.3">
      <c r="A4744" t="s">
        <v>17</v>
      </c>
      <c r="B4744" t="str">
        <f>"601658"</f>
        <v>601658</v>
      </c>
      <c r="C4744" t="s">
        <v>9834</v>
      </c>
      <c r="D4744" t="s">
        <v>9800</v>
      </c>
      <c r="P4744">
        <v>1193</v>
      </c>
      <c r="Q4744" t="s">
        <v>9835</v>
      </c>
    </row>
    <row r="4745" spans="1:17" x14ac:dyDescent="0.3">
      <c r="A4745" t="s">
        <v>17</v>
      </c>
      <c r="B4745" t="str">
        <f>"601665"</f>
        <v>601665</v>
      </c>
      <c r="C4745" t="s">
        <v>9836</v>
      </c>
      <c r="D4745" t="s">
        <v>9630</v>
      </c>
      <c r="P4745">
        <v>52</v>
      </c>
      <c r="Q4745" t="s">
        <v>9837</v>
      </c>
    </row>
    <row r="4746" spans="1:17" x14ac:dyDescent="0.3">
      <c r="A4746" t="s">
        <v>17</v>
      </c>
      <c r="B4746" t="str">
        <f>"601688"</f>
        <v>601688</v>
      </c>
      <c r="C4746" t="s">
        <v>9838</v>
      </c>
      <c r="D4746" t="s">
        <v>2823</v>
      </c>
      <c r="P4746">
        <v>6874</v>
      </c>
      <c r="Q4746" t="s">
        <v>9839</v>
      </c>
    </row>
    <row r="4747" spans="1:17" x14ac:dyDescent="0.3">
      <c r="A4747" t="s">
        <v>17</v>
      </c>
      <c r="B4747" t="str">
        <f>"601696"</f>
        <v>601696</v>
      </c>
      <c r="C4747" t="s">
        <v>9840</v>
      </c>
      <c r="D4747" t="s">
        <v>2823</v>
      </c>
      <c r="P4747">
        <v>516</v>
      </c>
      <c r="Q4747" t="s">
        <v>9841</v>
      </c>
    </row>
    <row r="4748" spans="1:17" x14ac:dyDescent="0.3">
      <c r="A4748" t="s">
        <v>17</v>
      </c>
      <c r="B4748" t="str">
        <f>"601788"</f>
        <v>601788</v>
      </c>
      <c r="C4748" t="s">
        <v>9842</v>
      </c>
      <c r="D4748" t="s">
        <v>2823</v>
      </c>
      <c r="P4748">
        <v>1149</v>
      </c>
      <c r="Q4748" t="s">
        <v>9843</v>
      </c>
    </row>
    <row r="4749" spans="1:17" x14ac:dyDescent="0.3">
      <c r="A4749" t="s">
        <v>17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17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17</v>
      </c>
      <c r="B4751" t="str">
        <f>"601838"</f>
        <v>601838</v>
      </c>
      <c r="C4751" t="s">
        <v>9848</v>
      </c>
      <c r="D4751" t="s">
        <v>9630</v>
      </c>
      <c r="P4751">
        <v>1326</v>
      </c>
      <c r="Q4751" t="s">
        <v>9849</v>
      </c>
    </row>
    <row r="4752" spans="1:17" x14ac:dyDescent="0.3">
      <c r="A4752" t="s">
        <v>17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17</v>
      </c>
      <c r="B4753" t="str">
        <f>"601878"</f>
        <v>601878</v>
      </c>
      <c r="C4753" t="s">
        <v>9852</v>
      </c>
      <c r="D4753" t="s">
        <v>2823</v>
      </c>
      <c r="P4753">
        <v>842</v>
      </c>
      <c r="Q4753" t="s">
        <v>9853</v>
      </c>
    </row>
    <row r="4754" spans="1:17" x14ac:dyDescent="0.3">
      <c r="A4754" t="s">
        <v>17</v>
      </c>
      <c r="B4754" t="str">
        <f>"601881"</f>
        <v>601881</v>
      </c>
      <c r="C4754" t="s">
        <v>9854</v>
      </c>
      <c r="D4754" t="s">
        <v>2823</v>
      </c>
      <c r="P4754">
        <v>1598</v>
      </c>
      <c r="Q4754" t="s">
        <v>9855</v>
      </c>
    </row>
    <row r="4755" spans="1:17" x14ac:dyDescent="0.3">
      <c r="A4755" t="s">
        <v>17</v>
      </c>
      <c r="B4755" t="str">
        <f>"601901"</f>
        <v>601901</v>
      </c>
      <c r="C4755" t="s">
        <v>9856</v>
      </c>
      <c r="D4755" t="s">
        <v>2823</v>
      </c>
      <c r="P4755">
        <v>931</v>
      </c>
      <c r="Q4755" t="s">
        <v>9857</v>
      </c>
    </row>
    <row r="4756" spans="1:17" x14ac:dyDescent="0.3">
      <c r="A4756" t="s">
        <v>17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17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17</v>
      </c>
      <c r="B4758" t="str">
        <f>"601963"</f>
        <v>601963</v>
      </c>
      <c r="C4758" t="s">
        <v>9862</v>
      </c>
      <c r="D4758" t="s">
        <v>9630</v>
      </c>
      <c r="P4758">
        <v>149</v>
      </c>
      <c r="Q4758" t="s">
        <v>9863</v>
      </c>
    </row>
    <row r="4759" spans="1:17" x14ac:dyDescent="0.3">
      <c r="A4759" t="s">
        <v>17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17</v>
      </c>
      <c r="B4760" t="str">
        <f>"601990"</f>
        <v>601990</v>
      </c>
      <c r="C4760" t="s">
        <v>9866</v>
      </c>
      <c r="D4760" t="s">
        <v>2823</v>
      </c>
      <c r="P4760">
        <v>722</v>
      </c>
      <c r="Q4760" t="s">
        <v>9867</v>
      </c>
    </row>
    <row r="4761" spans="1:17" x14ac:dyDescent="0.3">
      <c r="A4761" t="s">
        <v>17</v>
      </c>
      <c r="B4761" t="str">
        <f>"601995"</f>
        <v>601995</v>
      </c>
      <c r="C4761" t="s">
        <v>9868</v>
      </c>
      <c r="D4761" t="s">
        <v>2823</v>
      </c>
      <c r="P4761">
        <v>986</v>
      </c>
      <c r="Q4761" t="s">
        <v>9869</v>
      </c>
    </row>
    <row r="4762" spans="1:17" x14ac:dyDescent="0.3">
      <c r="A4762" t="s">
        <v>17</v>
      </c>
      <c r="B4762" t="str">
        <f>"601997"</f>
        <v>601997</v>
      </c>
      <c r="C4762" t="s">
        <v>9870</v>
      </c>
      <c r="D4762" t="s">
        <v>9630</v>
      </c>
      <c r="P4762">
        <v>2050</v>
      </c>
      <c r="Q4762" t="s">
        <v>9871</v>
      </c>
    </row>
    <row r="4763" spans="1:17" x14ac:dyDescent="0.3">
      <c r="A4763" t="s">
        <v>17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17</v>
      </c>
      <c r="B4764" t="str">
        <f>"603093"</f>
        <v>603093</v>
      </c>
      <c r="C4764" t="s">
        <v>9874</v>
      </c>
      <c r="D4764" t="s">
        <v>600</v>
      </c>
      <c r="P4764">
        <v>84</v>
      </c>
      <c r="Q4764" t="s">
        <v>9875</v>
      </c>
    </row>
    <row r="4765" spans="1:17" x14ac:dyDescent="0.3">
      <c r="A4765" t="s">
        <v>17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17</v>
      </c>
      <c r="B4766" t="str">
        <f>"603393"</f>
        <v>603393</v>
      </c>
      <c r="C4766" t="s">
        <v>9878</v>
      </c>
      <c r="D4766" t="s">
        <v>147</v>
      </c>
      <c r="F4766">
        <v>627724490</v>
      </c>
      <c r="G4766">
        <v>293341318</v>
      </c>
      <c r="H4766">
        <v>636968183</v>
      </c>
      <c r="I4766">
        <v>323537555</v>
      </c>
      <c r="J4766">
        <v>287054686</v>
      </c>
      <c r="K4766">
        <v>244159541</v>
      </c>
      <c r="P4766">
        <v>498</v>
      </c>
      <c r="Q4766" t="s">
        <v>9879</v>
      </c>
    </row>
    <row r="4767" spans="1:17" x14ac:dyDescent="0.3">
      <c r="A4767" t="s">
        <v>17</v>
      </c>
      <c r="B4767" t="str">
        <f>"688213"</f>
        <v>688213</v>
      </c>
      <c r="C4767" t="s">
        <v>9880</v>
      </c>
      <c r="F4767">
        <v>550711077</v>
      </c>
      <c r="Q4767" t="s">
        <v>9881</v>
      </c>
    </row>
    <row r="4768" spans="1:17" x14ac:dyDescent="0.3">
      <c r="A4768" t="s">
        <v>17</v>
      </c>
      <c r="B4768" t="str">
        <f>"688981"</f>
        <v>688981</v>
      </c>
      <c r="C4768" t="s">
        <v>9882</v>
      </c>
      <c r="D4768" t="s">
        <v>1629</v>
      </c>
      <c r="F4768">
        <v>8051761000</v>
      </c>
      <c r="G4768">
        <v>7386733428</v>
      </c>
      <c r="H4768">
        <v>608293500</v>
      </c>
      <c r="P4768">
        <v>1041</v>
      </c>
      <c r="Q4768" t="s">
        <v>9883</v>
      </c>
    </row>
    <row r="4769" spans="1:17" x14ac:dyDescent="0.3">
      <c r="A4769" t="s">
        <v>17</v>
      </c>
      <c r="B4769" t="str">
        <f>"900901"</f>
        <v>900901</v>
      </c>
      <c r="C4769" t="s">
        <v>9884</v>
      </c>
      <c r="F4769">
        <v>168687502.04519999</v>
      </c>
      <c r="G4769">
        <v>126277783.8152</v>
      </c>
      <c r="H4769">
        <v>148115285.829</v>
      </c>
      <c r="I4769">
        <v>137720047.1252</v>
      </c>
      <c r="J4769">
        <v>109952600.2476</v>
      </c>
      <c r="K4769">
        <v>105734048.5264</v>
      </c>
      <c r="L4769">
        <v>36203500.789399996</v>
      </c>
      <c r="M4769">
        <v>34796192.987999998</v>
      </c>
      <c r="N4769">
        <v>37410428.509999998</v>
      </c>
      <c r="O4769">
        <v>34053792.952</v>
      </c>
      <c r="P4769">
        <v>7</v>
      </c>
      <c r="Q4769" t="s">
        <v>9885</v>
      </c>
    </row>
    <row r="4770" spans="1:17" x14ac:dyDescent="0.3">
      <c r="A4770" t="s">
        <v>17</v>
      </c>
      <c r="B4770" t="str">
        <f>"900902"</f>
        <v>900902</v>
      </c>
      <c r="C4770" t="s">
        <v>9886</v>
      </c>
      <c r="F4770">
        <v>26034815.850000001</v>
      </c>
      <c r="G4770">
        <v>75089237.724099994</v>
      </c>
      <c r="H4770">
        <v>17809910.846999999</v>
      </c>
      <c r="I4770">
        <v>21484320.138999999</v>
      </c>
      <c r="J4770">
        <v>31826646.601199999</v>
      </c>
      <c r="K4770">
        <v>64948037.729199998</v>
      </c>
      <c r="L4770">
        <v>5830611.1059999997</v>
      </c>
      <c r="M4770">
        <v>21261956.076000001</v>
      </c>
      <c r="N4770">
        <v>12475700.342</v>
      </c>
      <c r="O4770">
        <v>7743012.7287999997</v>
      </c>
      <c r="P4770">
        <v>10</v>
      </c>
      <c r="Q4770" t="s">
        <v>9887</v>
      </c>
    </row>
    <row r="4771" spans="1:17" x14ac:dyDescent="0.3">
      <c r="A4771" t="s">
        <v>17</v>
      </c>
      <c r="B4771" t="str">
        <f>"900903"</f>
        <v>900903</v>
      </c>
      <c r="C4771" t="s">
        <v>9888</v>
      </c>
      <c r="F4771">
        <v>162207021.6864</v>
      </c>
      <c r="G4771">
        <v>92641197.297999993</v>
      </c>
      <c r="H4771">
        <v>112570309.66599999</v>
      </c>
      <c r="I4771">
        <v>135792928.70140001</v>
      </c>
      <c r="J4771">
        <v>81245174.313600004</v>
      </c>
      <c r="K4771">
        <v>116656214.6635</v>
      </c>
      <c r="L4771">
        <v>128494464.044</v>
      </c>
      <c r="M4771">
        <v>132879243.4032</v>
      </c>
      <c r="N4771">
        <v>118779715.971</v>
      </c>
      <c r="O4771">
        <v>108154169.4448</v>
      </c>
      <c r="P4771">
        <v>32</v>
      </c>
      <c r="Q4771" t="s">
        <v>9889</v>
      </c>
    </row>
    <row r="4772" spans="1:17" x14ac:dyDescent="0.3">
      <c r="A4772" t="s">
        <v>17</v>
      </c>
      <c r="B4772" t="str">
        <f>"900904"</f>
        <v>900904</v>
      </c>
      <c r="C4772" t="s">
        <v>9890</v>
      </c>
      <c r="F4772">
        <v>74058800.574000001</v>
      </c>
      <c r="G4772">
        <v>50678645.371100001</v>
      </c>
      <c r="H4772">
        <v>63587819.759000003</v>
      </c>
      <c r="I4772">
        <v>61385338.978200004</v>
      </c>
      <c r="J4772">
        <v>50786459.6712</v>
      </c>
      <c r="K4772">
        <v>58527914.777999997</v>
      </c>
      <c r="L4772">
        <v>40675356.181400001</v>
      </c>
      <c r="M4772">
        <v>32548225.068</v>
      </c>
      <c r="N4772">
        <v>7215969.6069999998</v>
      </c>
      <c r="O4772">
        <v>10409538.6588</v>
      </c>
      <c r="P4772">
        <v>8</v>
      </c>
      <c r="Q4772" t="s">
        <v>9891</v>
      </c>
    </row>
    <row r="4773" spans="1:17" x14ac:dyDescent="0.3">
      <c r="A4773" t="s">
        <v>17</v>
      </c>
      <c r="B4773" t="str">
        <f>"900905"</f>
        <v>900905</v>
      </c>
      <c r="C4773" t="s">
        <v>9892</v>
      </c>
      <c r="F4773">
        <v>2770139243.2512002</v>
      </c>
      <c r="G4773">
        <v>2085964094.5191</v>
      </c>
      <c r="H4773">
        <v>2459538856.6079998</v>
      </c>
      <c r="I4773">
        <v>2572573495.4436002</v>
      </c>
      <c r="J4773">
        <v>2045644361.9435999</v>
      </c>
      <c r="K4773">
        <v>1878922523.046</v>
      </c>
      <c r="L4773">
        <v>2026830373.0100999</v>
      </c>
      <c r="M4773">
        <v>1851846424.3704</v>
      </c>
      <c r="N4773">
        <v>1730938846.882</v>
      </c>
      <c r="O4773">
        <v>1347634459.6447999</v>
      </c>
      <c r="P4773">
        <v>473</v>
      </c>
      <c r="Q4773" t="s">
        <v>9893</v>
      </c>
    </row>
    <row r="4774" spans="1:17" x14ac:dyDescent="0.3">
      <c r="A4774" t="s">
        <v>17</v>
      </c>
      <c r="B4774" t="str">
        <f>"900906"</f>
        <v>900906</v>
      </c>
      <c r="C4774" t="s">
        <v>9894</v>
      </c>
      <c r="F4774">
        <v>47520842.067599997</v>
      </c>
      <c r="G4774">
        <v>31988559.3693</v>
      </c>
      <c r="H4774">
        <v>0</v>
      </c>
      <c r="I4774">
        <v>0</v>
      </c>
      <c r="J4774">
        <v>38590488.7632</v>
      </c>
      <c r="K4774">
        <v>1504648.1026000001</v>
      </c>
      <c r="L4774">
        <v>6938677.1020999998</v>
      </c>
      <c r="M4774">
        <v>2504573.5247999998</v>
      </c>
      <c r="N4774">
        <v>2362687.719</v>
      </c>
      <c r="O4774">
        <v>2571226.3975999998</v>
      </c>
      <c r="P4774">
        <v>4</v>
      </c>
      <c r="Q4774" t="s">
        <v>9895</v>
      </c>
    </row>
    <row r="4775" spans="1:17" x14ac:dyDescent="0.3">
      <c r="A4775" t="s">
        <v>17</v>
      </c>
      <c r="B4775" t="str">
        <f>"900907"</f>
        <v>900907</v>
      </c>
      <c r="C4775" t="s">
        <v>9896</v>
      </c>
      <c r="F4775">
        <v>3059628.2724000001</v>
      </c>
      <c r="G4775">
        <v>52125829.1994</v>
      </c>
      <c r="H4775">
        <v>71709403.137999997</v>
      </c>
      <c r="I4775">
        <v>88430613.602599993</v>
      </c>
      <c r="J4775">
        <v>74504893.465200007</v>
      </c>
      <c r="K4775">
        <v>76354212.925799996</v>
      </c>
      <c r="L4775">
        <v>67771854.454400003</v>
      </c>
      <c r="M4775">
        <v>30278214.2016</v>
      </c>
      <c r="N4775">
        <v>39764031.482000001</v>
      </c>
      <c r="O4775">
        <v>37770992.244800001</v>
      </c>
      <c r="P4775">
        <v>4</v>
      </c>
      <c r="Q4775" t="s">
        <v>9897</v>
      </c>
    </row>
    <row r="4776" spans="1:17" x14ac:dyDescent="0.3">
      <c r="A4776" t="s">
        <v>17</v>
      </c>
      <c r="B4776" t="str">
        <f>"900908"</f>
        <v>900908</v>
      </c>
      <c r="C4776" t="s">
        <v>9898</v>
      </c>
      <c r="F4776">
        <v>179144879.91119999</v>
      </c>
      <c r="G4776">
        <v>146915949.9154</v>
      </c>
      <c r="H4776">
        <v>186402339.23899999</v>
      </c>
      <c r="I4776">
        <v>227794194.9154</v>
      </c>
      <c r="J4776">
        <v>214695660.4452</v>
      </c>
      <c r="K4776">
        <v>188367816.68079999</v>
      </c>
      <c r="L4776">
        <v>262140960.5785</v>
      </c>
      <c r="M4776">
        <v>245679864.68399999</v>
      </c>
      <c r="N4776">
        <v>244082071.47099999</v>
      </c>
      <c r="O4776">
        <v>247536935.49239999</v>
      </c>
      <c r="P4776">
        <v>50</v>
      </c>
      <c r="Q4776" t="s">
        <v>9899</v>
      </c>
    </row>
    <row r="4777" spans="1:17" x14ac:dyDescent="0.3">
      <c r="A4777" t="s">
        <v>17</v>
      </c>
      <c r="B4777" t="str">
        <f>"900909"</f>
        <v>900909</v>
      </c>
      <c r="C4777" t="s">
        <v>9900</v>
      </c>
      <c r="F4777">
        <v>1397711471.8308001</v>
      </c>
      <c r="G4777">
        <v>975127855.20940006</v>
      </c>
      <c r="H4777">
        <v>1828152642.6270001</v>
      </c>
      <c r="I4777">
        <v>2177677849.9970002</v>
      </c>
      <c r="J4777">
        <v>1900257500.8692</v>
      </c>
      <c r="K4777">
        <v>1546628303.6394999</v>
      </c>
      <c r="L4777">
        <v>541761245.98259997</v>
      </c>
      <c r="M4777">
        <v>541242951.64320004</v>
      </c>
      <c r="N4777">
        <v>446910332.736</v>
      </c>
      <c r="O4777">
        <v>458755933.35839999</v>
      </c>
      <c r="P4777">
        <v>24</v>
      </c>
      <c r="Q4777" t="s">
        <v>9901</v>
      </c>
    </row>
    <row r="4778" spans="1:17" x14ac:dyDescent="0.3">
      <c r="A4778" t="s">
        <v>17</v>
      </c>
      <c r="B4778" t="str">
        <f>"900910"</f>
        <v>900910</v>
      </c>
      <c r="C4778" t="s">
        <v>9902</v>
      </c>
      <c r="F4778">
        <v>438124128.57599998</v>
      </c>
      <c r="G4778">
        <v>281527905.81309998</v>
      </c>
      <c r="H4778">
        <v>313238564.05800003</v>
      </c>
      <c r="I4778">
        <v>360900959.13</v>
      </c>
      <c r="J4778">
        <v>284229970.0812</v>
      </c>
      <c r="K4778">
        <v>269863367.55299997</v>
      </c>
      <c r="L4778">
        <v>293222732.79229999</v>
      </c>
      <c r="M4778">
        <v>242718877.2432</v>
      </c>
      <c r="N4778">
        <v>252534723.294</v>
      </c>
      <c r="O4778">
        <v>309755508.67199999</v>
      </c>
      <c r="P4778">
        <v>13</v>
      </c>
      <c r="Q4778" t="s">
        <v>9903</v>
      </c>
    </row>
    <row r="4779" spans="1:17" x14ac:dyDescent="0.3">
      <c r="A4779" t="s">
        <v>17</v>
      </c>
      <c r="B4779" t="str">
        <f>"900911"</f>
        <v>900911</v>
      </c>
      <c r="C4779" t="s">
        <v>9904</v>
      </c>
      <c r="F4779">
        <v>65825311.021200001</v>
      </c>
      <c r="G4779">
        <v>55695768.514399998</v>
      </c>
      <c r="H4779">
        <v>76372139.107999995</v>
      </c>
      <c r="I4779">
        <v>68646503.755799994</v>
      </c>
      <c r="J4779">
        <v>94635595.560000002</v>
      </c>
      <c r="K4779">
        <v>50583604.173500001</v>
      </c>
      <c r="L4779">
        <v>45113965.223899998</v>
      </c>
      <c r="M4779">
        <v>68651025.470400006</v>
      </c>
      <c r="N4779">
        <v>38376154.005000003</v>
      </c>
      <c r="O4779">
        <v>37443917.284000002</v>
      </c>
      <c r="P4779">
        <v>73</v>
      </c>
      <c r="Q4779" t="s">
        <v>9905</v>
      </c>
    </row>
    <row r="4780" spans="1:17" x14ac:dyDescent="0.3">
      <c r="A4780" t="s">
        <v>17</v>
      </c>
      <c r="B4780" t="str">
        <f>"900912"</f>
        <v>900912</v>
      </c>
      <c r="C4780" t="s">
        <v>9906</v>
      </c>
      <c r="F4780">
        <v>361180322.088</v>
      </c>
      <c r="G4780">
        <v>261996346.05599999</v>
      </c>
      <c r="H4780">
        <v>225952473.84400001</v>
      </c>
      <c r="I4780">
        <v>260758859.15400001</v>
      </c>
      <c r="J4780">
        <v>229238423.88479999</v>
      </c>
      <c r="K4780">
        <v>255770737.49200001</v>
      </c>
      <c r="L4780">
        <v>244518688.9508</v>
      </c>
      <c r="M4780">
        <v>217537022.38319999</v>
      </c>
      <c r="N4780">
        <v>242384807.21700001</v>
      </c>
      <c r="O4780">
        <v>250270844.2324</v>
      </c>
      <c r="P4780">
        <v>18</v>
      </c>
      <c r="Q4780" t="s">
        <v>9907</v>
      </c>
    </row>
    <row r="4781" spans="1:17" x14ac:dyDescent="0.3">
      <c r="A4781" t="s">
        <v>17</v>
      </c>
      <c r="B4781" t="str">
        <f>"900913"</f>
        <v>900913</v>
      </c>
      <c r="C4781" t="s">
        <v>9908</v>
      </c>
      <c r="F4781">
        <v>346805730.82200003</v>
      </c>
      <c r="G4781">
        <v>291373129.26969999</v>
      </c>
      <c r="H4781">
        <v>496088074.88300002</v>
      </c>
      <c r="I4781">
        <v>427813021.76239997</v>
      </c>
      <c r="J4781">
        <v>460095312.74519998</v>
      </c>
      <c r="K4781">
        <v>318027397.63480002</v>
      </c>
      <c r="L4781">
        <v>359850970.5693</v>
      </c>
      <c r="M4781">
        <v>240057605.56560001</v>
      </c>
      <c r="N4781">
        <v>0</v>
      </c>
      <c r="O4781">
        <v>1688663.1612</v>
      </c>
      <c r="P4781">
        <v>7</v>
      </c>
      <c r="Q4781" t="s">
        <v>9909</v>
      </c>
    </row>
    <row r="4782" spans="1:17" x14ac:dyDescent="0.3">
      <c r="A4782" t="s">
        <v>17</v>
      </c>
      <c r="B4782" t="str">
        <f>"900914"</f>
        <v>900914</v>
      </c>
      <c r="C4782" t="s">
        <v>9910</v>
      </c>
      <c r="F4782">
        <v>80738035.831200004</v>
      </c>
      <c r="G4782">
        <v>66129348.702799998</v>
      </c>
      <c r="H4782">
        <v>89170135.613999993</v>
      </c>
      <c r="I4782">
        <v>89271293.665800005</v>
      </c>
      <c r="J4782">
        <v>86310239.202000007</v>
      </c>
      <c r="K4782">
        <v>97804510.579999998</v>
      </c>
      <c r="L4782">
        <v>85745170.369299993</v>
      </c>
      <c r="M4782">
        <v>83629857.100799993</v>
      </c>
      <c r="N4782">
        <v>81774111.818000004</v>
      </c>
      <c r="O4782">
        <v>75540997.706400007</v>
      </c>
      <c r="P4782">
        <v>20</v>
      </c>
      <c r="Q4782" t="s">
        <v>9911</v>
      </c>
    </row>
    <row r="4783" spans="1:17" x14ac:dyDescent="0.3">
      <c r="A4783" t="s">
        <v>17</v>
      </c>
      <c r="B4783" t="str">
        <f>"900915"</f>
        <v>900915</v>
      </c>
      <c r="C4783" t="s">
        <v>9912</v>
      </c>
      <c r="F4783">
        <v>20780809.238400001</v>
      </c>
      <c r="G4783">
        <v>14146945.4311</v>
      </c>
      <c r="H4783">
        <v>18823259.697999999</v>
      </c>
      <c r="I4783">
        <v>16519249.876599999</v>
      </c>
      <c r="J4783">
        <v>16743828.4596</v>
      </c>
      <c r="K4783">
        <v>19527874.028200001</v>
      </c>
      <c r="L4783">
        <v>20501649.541299999</v>
      </c>
      <c r="M4783">
        <v>22879681.4208</v>
      </c>
      <c r="N4783">
        <v>19907750.302999999</v>
      </c>
      <c r="O4783">
        <v>19550945.299199998</v>
      </c>
      <c r="P4783">
        <v>6</v>
      </c>
      <c r="Q4783" t="s">
        <v>9913</v>
      </c>
    </row>
    <row r="4784" spans="1:17" x14ac:dyDescent="0.3">
      <c r="A4784" t="s">
        <v>17</v>
      </c>
      <c r="B4784" t="str">
        <f>"900916"</f>
        <v>900916</v>
      </c>
      <c r="C4784" t="s">
        <v>9914</v>
      </c>
      <c r="F4784">
        <v>67194314.582399994</v>
      </c>
      <c r="G4784">
        <v>28470757.882199999</v>
      </c>
      <c r="H4784">
        <v>43034658.737000003</v>
      </c>
      <c r="I4784">
        <v>29762946.9122</v>
      </c>
      <c r="J4784">
        <v>34348838.700000003</v>
      </c>
      <c r="K4784">
        <v>19156950.178399999</v>
      </c>
      <c r="L4784">
        <v>14302994.5798</v>
      </c>
      <c r="M4784">
        <v>22032592.005600002</v>
      </c>
      <c r="N4784">
        <v>27326151.811000001</v>
      </c>
      <c r="O4784">
        <v>32356347.0392</v>
      </c>
      <c r="P4784">
        <v>7</v>
      </c>
      <c r="Q4784" t="s">
        <v>9915</v>
      </c>
    </row>
    <row r="4785" spans="1:17" x14ac:dyDescent="0.3">
      <c r="A4785" t="s">
        <v>17</v>
      </c>
      <c r="B4785" t="str">
        <f>"900917"</f>
        <v>900917</v>
      </c>
      <c r="C4785" t="s">
        <v>9916</v>
      </c>
      <c r="F4785">
        <v>49566263.579999998</v>
      </c>
      <c r="G4785">
        <v>32240466.055</v>
      </c>
      <c r="H4785">
        <v>34801378.104000002</v>
      </c>
      <c r="I4785">
        <v>38620933.866800003</v>
      </c>
      <c r="J4785">
        <v>37907230.851599999</v>
      </c>
      <c r="K4785">
        <v>37075705.657799996</v>
      </c>
      <c r="L4785">
        <v>37355862.346299998</v>
      </c>
      <c r="M4785">
        <v>45774352.456799999</v>
      </c>
      <c r="N4785">
        <v>47355257.313000001</v>
      </c>
      <c r="O4785">
        <v>42538167.768399999</v>
      </c>
      <c r="P4785">
        <v>12</v>
      </c>
      <c r="Q4785" t="s">
        <v>9917</v>
      </c>
    </row>
    <row r="4786" spans="1:17" x14ac:dyDescent="0.3">
      <c r="A4786" t="s">
        <v>17</v>
      </c>
      <c r="B4786" t="str">
        <f>"900918"</f>
        <v>900918</v>
      </c>
      <c r="C4786" t="s">
        <v>9918</v>
      </c>
      <c r="F4786">
        <v>161318630.57519999</v>
      </c>
      <c r="G4786">
        <v>124750805.6549</v>
      </c>
      <c r="H4786">
        <v>171232753.241</v>
      </c>
      <c r="I4786">
        <v>150370261.45820001</v>
      </c>
      <c r="J4786">
        <v>113551701.8328</v>
      </c>
      <c r="K4786">
        <v>125852406.93099999</v>
      </c>
      <c r="L4786">
        <v>129698787.7507</v>
      </c>
      <c r="M4786">
        <v>108022703.98800001</v>
      </c>
      <c r="N4786">
        <v>80399691.687000006</v>
      </c>
      <c r="O4786">
        <v>94977341.809599996</v>
      </c>
      <c r="P4786">
        <v>10</v>
      </c>
      <c r="Q4786" t="s">
        <v>9919</v>
      </c>
    </row>
    <row r="4787" spans="1:17" x14ac:dyDescent="0.3">
      <c r="A4787" t="s">
        <v>17</v>
      </c>
      <c r="B4787" t="str">
        <f>"900919"</f>
        <v>900919</v>
      </c>
      <c r="C4787" t="s">
        <v>9920</v>
      </c>
      <c r="F4787">
        <v>15372.588</v>
      </c>
      <c r="G4787">
        <v>91610.311600000001</v>
      </c>
      <c r="H4787">
        <v>599525.63800000004</v>
      </c>
      <c r="I4787">
        <v>1316562.0684</v>
      </c>
      <c r="J4787">
        <v>1008793.8432</v>
      </c>
      <c r="K4787">
        <v>3012197.0175000001</v>
      </c>
      <c r="L4787">
        <v>9798425.6121999994</v>
      </c>
      <c r="M4787">
        <v>9424728.8783999998</v>
      </c>
      <c r="N4787">
        <v>8685631.2200000007</v>
      </c>
      <c r="O4787">
        <v>12885000.398800001</v>
      </c>
      <c r="P4787">
        <v>5</v>
      </c>
      <c r="Q4787" t="s">
        <v>9921</v>
      </c>
    </row>
    <row r="4788" spans="1:17" x14ac:dyDescent="0.3">
      <c r="A4788" t="s">
        <v>17</v>
      </c>
      <c r="B4788" t="str">
        <f>"900920"</f>
        <v>900920</v>
      </c>
      <c r="C4788" t="s">
        <v>9922</v>
      </c>
      <c r="F4788">
        <v>234588625.20840001</v>
      </c>
      <c r="G4788">
        <v>114193298.139</v>
      </c>
      <c r="H4788">
        <v>124776892.69</v>
      </c>
      <c r="I4788">
        <v>160829636.7622</v>
      </c>
      <c r="J4788">
        <v>84392060.372400001</v>
      </c>
      <c r="K4788">
        <v>66344821.991300002</v>
      </c>
      <c r="L4788">
        <v>109661606.0758</v>
      </c>
      <c r="M4788">
        <v>101550142.0272</v>
      </c>
      <c r="N4788">
        <v>70356803.901999995</v>
      </c>
      <c r="O4788">
        <v>119161423.20479999</v>
      </c>
      <c r="P4788">
        <v>12</v>
      </c>
      <c r="Q4788" t="s">
        <v>9923</v>
      </c>
    </row>
    <row r="4789" spans="1:17" x14ac:dyDescent="0.3">
      <c r="A4789" t="s">
        <v>17</v>
      </c>
      <c r="B4789" t="str">
        <f>"900921"</f>
        <v>900921</v>
      </c>
      <c r="C4789" t="s">
        <v>9924</v>
      </c>
      <c r="F4789">
        <v>45914162.019599997</v>
      </c>
      <c r="G4789">
        <v>34234082.869900003</v>
      </c>
      <c r="H4789">
        <v>47318495.156999998</v>
      </c>
      <c r="I4789">
        <v>78839666.235599995</v>
      </c>
      <c r="J4789">
        <v>52213933.213200003</v>
      </c>
      <c r="K4789">
        <v>30288606.947999999</v>
      </c>
      <c r="L4789">
        <v>50597748.424699999</v>
      </c>
      <c r="M4789">
        <v>37212532.015199997</v>
      </c>
      <c r="N4789">
        <v>17510846.059</v>
      </c>
      <c r="O4789">
        <v>53996069.885200001</v>
      </c>
      <c r="P4789">
        <v>6</v>
      </c>
      <c r="Q4789" t="s">
        <v>9925</v>
      </c>
    </row>
    <row r="4790" spans="1:17" x14ac:dyDescent="0.3">
      <c r="A4790" t="s">
        <v>17</v>
      </c>
      <c r="B4790" t="str">
        <f>"900922"</f>
        <v>900922</v>
      </c>
      <c r="C4790" t="s">
        <v>9926</v>
      </c>
      <c r="F4790">
        <v>50447874.415200002</v>
      </c>
      <c r="G4790">
        <v>41365366.509800002</v>
      </c>
      <c r="H4790">
        <v>40826766.754000001</v>
      </c>
      <c r="I4790">
        <v>47196409.666000001</v>
      </c>
      <c r="J4790">
        <v>45220846.532399997</v>
      </c>
      <c r="K4790">
        <v>39947125.218099996</v>
      </c>
      <c r="L4790">
        <v>45172793.753399998</v>
      </c>
      <c r="M4790">
        <v>51606156.326399997</v>
      </c>
      <c r="N4790">
        <v>84640038.525000006</v>
      </c>
      <c r="O4790">
        <v>78028023.579999998</v>
      </c>
      <c r="P4790">
        <v>9</v>
      </c>
      <c r="Q4790" t="s">
        <v>9927</v>
      </c>
    </row>
    <row r="4791" spans="1:17" x14ac:dyDescent="0.3">
      <c r="A4791" t="s">
        <v>17</v>
      </c>
      <c r="B4791" t="str">
        <f>"900923"</f>
        <v>900923</v>
      </c>
      <c r="C4791" t="s">
        <v>9928</v>
      </c>
      <c r="F4791">
        <v>2595943464.1859999</v>
      </c>
      <c r="G4791">
        <v>1900245516.8987999</v>
      </c>
      <c r="H4791">
        <v>2458519285.5170002</v>
      </c>
      <c r="I4791">
        <v>2530894005.5348001</v>
      </c>
      <c r="J4791">
        <v>2350680102.1704001</v>
      </c>
      <c r="K4791">
        <v>2564653035.3109002</v>
      </c>
      <c r="L4791">
        <v>2712933419.7876</v>
      </c>
      <c r="M4791">
        <v>2719953545.7528</v>
      </c>
      <c r="N4791">
        <v>2803867363.4790001</v>
      </c>
      <c r="O4791">
        <v>2609140960.2895999</v>
      </c>
      <c r="P4791">
        <v>26</v>
      </c>
      <c r="Q4791" t="s">
        <v>9929</v>
      </c>
    </row>
    <row r="4792" spans="1:17" x14ac:dyDescent="0.3">
      <c r="A4792" t="s">
        <v>17</v>
      </c>
      <c r="B4792" t="str">
        <f>"900924"</f>
        <v>900924</v>
      </c>
      <c r="C4792" t="s">
        <v>9930</v>
      </c>
      <c r="F4792">
        <v>119516468.20559999</v>
      </c>
      <c r="G4792">
        <v>100371774.2622</v>
      </c>
      <c r="H4792">
        <v>119561100.60600001</v>
      </c>
      <c r="I4792">
        <v>114835676.1392</v>
      </c>
      <c r="J4792">
        <v>106287167.382</v>
      </c>
      <c r="K4792">
        <v>101750161.64030001</v>
      </c>
      <c r="L4792">
        <v>84097135.848000005</v>
      </c>
      <c r="M4792">
        <v>74463767.304000005</v>
      </c>
      <c r="N4792">
        <v>61913399.597000003</v>
      </c>
      <c r="O4792">
        <v>67537496.127200007</v>
      </c>
      <c r="P4792">
        <v>11</v>
      </c>
      <c r="Q4792" t="s">
        <v>9931</v>
      </c>
    </row>
    <row r="4793" spans="1:17" x14ac:dyDescent="0.3">
      <c r="A4793" t="s">
        <v>17</v>
      </c>
      <c r="B4793" t="str">
        <f>"900925"</f>
        <v>900925</v>
      </c>
      <c r="C4793" t="s">
        <v>9932</v>
      </c>
      <c r="F4793">
        <v>863138491.70280004</v>
      </c>
      <c r="G4793">
        <v>584300572.40170002</v>
      </c>
      <c r="H4793">
        <v>755494469.02199996</v>
      </c>
      <c r="I4793">
        <v>820091311.07959998</v>
      </c>
      <c r="J4793">
        <v>755141680.65600002</v>
      </c>
      <c r="K4793">
        <v>752971562.42120004</v>
      </c>
      <c r="L4793">
        <v>842317951.52880001</v>
      </c>
      <c r="M4793">
        <v>925140658.16159999</v>
      </c>
      <c r="N4793">
        <v>875130330.03199995</v>
      </c>
      <c r="O4793">
        <v>640033945.6832</v>
      </c>
      <c r="P4793">
        <v>83</v>
      </c>
      <c r="Q4793" t="s">
        <v>9933</v>
      </c>
    </row>
    <row r="4794" spans="1:17" x14ac:dyDescent="0.3">
      <c r="A4794" t="s">
        <v>17</v>
      </c>
      <c r="B4794" t="str">
        <f>"900926"</f>
        <v>900926</v>
      </c>
      <c r="C4794" t="s">
        <v>9934</v>
      </c>
      <c r="F4794">
        <v>267188251.1952</v>
      </c>
      <c r="G4794">
        <v>135089130.1419</v>
      </c>
      <c r="H4794">
        <v>212296516.266</v>
      </c>
      <c r="I4794">
        <v>150822219.91440001</v>
      </c>
      <c r="J4794">
        <v>168757799.03400001</v>
      </c>
      <c r="K4794">
        <v>139323822.00459999</v>
      </c>
      <c r="L4794">
        <v>129216401.06730001</v>
      </c>
      <c r="M4794">
        <v>98973555.669599995</v>
      </c>
      <c r="N4794">
        <v>76199848.584999993</v>
      </c>
      <c r="O4794">
        <v>86510121.045599997</v>
      </c>
      <c r="P4794">
        <v>63</v>
      </c>
      <c r="Q4794" t="s">
        <v>9935</v>
      </c>
    </row>
    <row r="4795" spans="1:17" x14ac:dyDescent="0.3">
      <c r="A4795" t="s">
        <v>17</v>
      </c>
      <c r="B4795" t="str">
        <f>"900927"</f>
        <v>900927</v>
      </c>
      <c r="C4795" t="s">
        <v>9936</v>
      </c>
      <c r="F4795">
        <v>210771405.83759999</v>
      </c>
      <c r="G4795">
        <v>156749702.57910001</v>
      </c>
      <c r="H4795">
        <v>206463473.95100001</v>
      </c>
      <c r="I4795">
        <v>331474420.97640002</v>
      </c>
      <c r="J4795">
        <v>282070257.00480002</v>
      </c>
      <c r="K4795">
        <v>1555593535.8247001</v>
      </c>
      <c r="L4795">
        <v>2749819789.7725</v>
      </c>
      <c r="M4795">
        <v>3377219599.5599999</v>
      </c>
      <c r="N4795">
        <v>4891685386.5670004</v>
      </c>
      <c r="O4795">
        <v>3797005355.1984</v>
      </c>
      <c r="P4795">
        <v>5</v>
      </c>
      <c r="Q4795" t="s">
        <v>9937</v>
      </c>
    </row>
    <row r="4796" spans="1:17" x14ac:dyDescent="0.3">
      <c r="A4796" t="s">
        <v>17</v>
      </c>
      <c r="B4796" t="str">
        <f>"900928"</f>
        <v>900928</v>
      </c>
      <c r="C4796" t="s">
        <v>9938</v>
      </c>
      <c r="F4796">
        <v>218964881.09400001</v>
      </c>
      <c r="G4796">
        <v>137464743.72690001</v>
      </c>
      <c r="H4796">
        <v>58583190.027999997</v>
      </c>
      <c r="I4796">
        <v>54939587.132200003</v>
      </c>
      <c r="J4796">
        <v>106434434.5944</v>
      </c>
      <c r="K4796">
        <v>24079695.723200001</v>
      </c>
      <c r="L4796">
        <v>22648973.856899999</v>
      </c>
      <c r="M4796">
        <v>30330704.145599999</v>
      </c>
      <c r="N4796">
        <v>28217195.846000001</v>
      </c>
      <c r="O4796">
        <v>22778248.021200001</v>
      </c>
      <c r="P4796">
        <v>14</v>
      </c>
      <c r="Q4796" t="s">
        <v>9939</v>
      </c>
    </row>
    <row r="4797" spans="1:17" x14ac:dyDescent="0.3">
      <c r="A4797" t="s">
        <v>17</v>
      </c>
      <c r="B4797" t="str">
        <f>"900930"</f>
        <v>900930</v>
      </c>
      <c r="C4797" t="s">
        <v>9940</v>
      </c>
      <c r="G4797">
        <v>3525538.2327000001</v>
      </c>
      <c r="H4797">
        <v>9795446.3990000002</v>
      </c>
      <c r="I4797">
        <v>10822754.702</v>
      </c>
      <c r="J4797">
        <v>20019848.7192</v>
      </c>
      <c r="K4797">
        <v>38051131.348800004</v>
      </c>
      <c r="L4797">
        <v>44214502.015799999</v>
      </c>
      <c r="M4797">
        <v>60707169.3116</v>
      </c>
      <c r="N4797">
        <v>62918156.318800002</v>
      </c>
      <c r="O4797">
        <v>38567545.1215</v>
      </c>
      <c r="P4797">
        <v>1</v>
      </c>
      <c r="Q4797" t="s">
        <v>9941</v>
      </c>
    </row>
    <row r="4798" spans="1:17" x14ac:dyDescent="0.3">
      <c r="A4798" t="s">
        <v>17</v>
      </c>
      <c r="B4798" t="str">
        <f>"900931"</f>
        <v>900931</v>
      </c>
      <c r="C4798" t="s">
        <v>9942</v>
      </c>
      <c r="J4798">
        <v>1389685.9898000001</v>
      </c>
      <c r="K4798">
        <v>1588293.2119</v>
      </c>
      <c r="L4798">
        <v>1017682.4299</v>
      </c>
      <c r="M4798">
        <v>1718553.8319000001</v>
      </c>
      <c r="N4798">
        <v>377868.92879999999</v>
      </c>
      <c r="O4798">
        <v>298244.08240000001</v>
      </c>
      <c r="P4798">
        <v>1</v>
      </c>
      <c r="Q4798" t="s">
        <v>9943</v>
      </c>
    </row>
    <row r="4799" spans="1:17" x14ac:dyDescent="0.3">
      <c r="A4799" t="s">
        <v>17</v>
      </c>
      <c r="B4799" t="str">
        <f>"900932"</f>
        <v>900932</v>
      </c>
      <c r="C4799" t="s">
        <v>9944</v>
      </c>
      <c r="F4799">
        <v>554263143.49080002</v>
      </c>
      <c r="G4799">
        <v>171511695.3159</v>
      </c>
      <c r="H4799">
        <v>355502373.52999997</v>
      </c>
      <c r="I4799">
        <v>188233375.68560001</v>
      </c>
      <c r="J4799">
        <v>205797944.12760001</v>
      </c>
      <c r="K4799">
        <v>326618351.14600003</v>
      </c>
      <c r="L4799">
        <v>201567160.7234</v>
      </c>
      <c r="M4799">
        <v>197838440.93040001</v>
      </c>
      <c r="N4799">
        <v>190410622.03099999</v>
      </c>
      <c r="O4799">
        <v>296567936.15240002</v>
      </c>
      <c r="P4799">
        <v>138</v>
      </c>
      <c r="Q4799" t="s">
        <v>9945</v>
      </c>
    </row>
    <row r="4800" spans="1:17" x14ac:dyDescent="0.3">
      <c r="A4800" t="s">
        <v>17</v>
      </c>
      <c r="B4800" t="str">
        <f>"900933"</f>
        <v>900933</v>
      </c>
      <c r="C4800" t="s">
        <v>9946</v>
      </c>
      <c r="F4800">
        <v>910529562.57959998</v>
      </c>
      <c r="G4800">
        <v>681300455.63010001</v>
      </c>
      <c r="H4800">
        <v>1015084096.954</v>
      </c>
      <c r="I4800">
        <v>857366757.35699999</v>
      </c>
      <c r="J4800">
        <v>634903230.16559994</v>
      </c>
      <c r="K4800">
        <v>451911702.75569999</v>
      </c>
      <c r="L4800">
        <v>546724702.32050002</v>
      </c>
      <c r="M4800">
        <v>609857122.55760002</v>
      </c>
      <c r="N4800">
        <v>473233406.40799999</v>
      </c>
      <c r="O4800">
        <v>418227609.85000002</v>
      </c>
      <c r="P4800">
        <v>142</v>
      </c>
      <c r="Q4800" t="s">
        <v>9947</v>
      </c>
    </row>
    <row r="4801" spans="1:17" x14ac:dyDescent="0.3">
      <c r="A4801" t="s">
        <v>17</v>
      </c>
      <c r="B4801" t="str">
        <f>"900934"</f>
        <v>900934</v>
      </c>
      <c r="C4801" t="s">
        <v>9948</v>
      </c>
      <c r="F4801">
        <v>328428059.27160001</v>
      </c>
      <c r="G4801">
        <v>263558473.4817</v>
      </c>
      <c r="H4801">
        <v>506075685.83700001</v>
      </c>
      <c r="I4801">
        <v>535729171.47780001</v>
      </c>
      <c r="J4801">
        <v>425703110.21039999</v>
      </c>
      <c r="K4801">
        <v>272374670.6365</v>
      </c>
      <c r="L4801">
        <v>143760629.1525</v>
      </c>
      <c r="M4801">
        <v>100000608.42479999</v>
      </c>
      <c r="N4801">
        <v>83799368.974999994</v>
      </c>
      <c r="O4801">
        <v>80879696.018000007</v>
      </c>
      <c r="P4801">
        <v>47</v>
      </c>
      <c r="Q4801" t="s">
        <v>9949</v>
      </c>
    </row>
    <row r="4802" spans="1:17" x14ac:dyDescent="0.3">
      <c r="A4802" t="s">
        <v>17</v>
      </c>
      <c r="B4802" t="str">
        <f>"900935"</f>
        <v>900935</v>
      </c>
      <c r="C4802" t="s">
        <v>9950</v>
      </c>
      <c r="K4802">
        <v>12272513.780200001</v>
      </c>
      <c r="L4802">
        <v>12871436.2721</v>
      </c>
      <c r="M4802">
        <v>12264970.782299999</v>
      </c>
      <c r="N4802">
        <v>12405820.983899999</v>
      </c>
      <c r="O4802">
        <v>17219439.2973</v>
      </c>
      <c r="P4802">
        <v>1</v>
      </c>
      <c r="Q4802" t="s">
        <v>9951</v>
      </c>
    </row>
    <row r="4803" spans="1:17" x14ac:dyDescent="0.3">
      <c r="A4803" t="s">
        <v>17</v>
      </c>
      <c r="B4803" t="str">
        <f>"900936"</f>
        <v>900936</v>
      </c>
      <c r="C4803" t="s">
        <v>9952</v>
      </c>
      <c r="F4803">
        <v>959026331.57519996</v>
      </c>
      <c r="G4803">
        <v>377277245.68589997</v>
      </c>
      <c r="H4803">
        <v>626159610.755</v>
      </c>
      <c r="I4803">
        <v>714607831.87160003</v>
      </c>
      <c r="J4803">
        <v>786824292.63240004</v>
      </c>
      <c r="K4803">
        <v>719231340.45920002</v>
      </c>
      <c r="L4803">
        <v>510255140.08450001</v>
      </c>
      <c r="M4803">
        <v>537751167.26160002</v>
      </c>
      <c r="N4803">
        <v>523301369.94800001</v>
      </c>
      <c r="O4803">
        <v>417162533.80360001</v>
      </c>
      <c r="P4803">
        <v>53</v>
      </c>
      <c r="Q4803" t="s">
        <v>9953</v>
      </c>
    </row>
    <row r="4804" spans="1:17" x14ac:dyDescent="0.3">
      <c r="A4804" t="s">
        <v>17</v>
      </c>
      <c r="B4804" t="str">
        <f>"900937"</f>
        <v>900937</v>
      </c>
      <c r="C4804" t="s">
        <v>9954</v>
      </c>
      <c r="F4804">
        <v>475384183.29119998</v>
      </c>
      <c r="G4804">
        <v>475839753.47060001</v>
      </c>
      <c r="H4804">
        <v>425053576.78100002</v>
      </c>
      <c r="I4804">
        <v>479875850.46539998</v>
      </c>
      <c r="J4804">
        <v>391834519.78439999</v>
      </c>
      <c r="K4804">
        <v>374197877.2306</v>
      </c>
      <c r="L4804">
        <v>462348001.1512</v>
      </c>
      <c r="M4804">
        <v>501897058.20959997</v>
      </c>
      <c r="N4804">
        <v>538790445.949</v>
      </c>
      <c r="O4804">
        <v>507610908.02960002</v>
      </c>
      <c r="P4804">
        <v>10</v>
      </c>
      <c r="Q4804" t="s">
        <v>9955</v>
      </c>
    </row>
    <row r="4805" spans="1:17" x14ac:dyDescent="0.3">
      <c r="A4805" t="s">
        <v>17</v>
      </c>
      <c r="B4805" t="str">
        <f>"900938"</f>
        <v>900938</v>
      </c>
      <c r="C4805" t="s">
        <v>9956</v>
      </c>
      <c r="F4805">
        <v>13533704606.4</v>
      </c>
      <c r="G4805">
        <v>11561584433</v>
      </c>
      <c r="H4805">
        <v>12702926460</v>
      </c>
      <c r="I4805">
        <v>12859132102.4</v>
      </c>
      <c r="J4805">
        <v>11359517268</v>
      </c>
      <c r="K4805">
        <v>16093387.2366</v>
      </c>
      <c r="L4805">
        <v>10365608.1895</v>
      </c>
      <c r="M4805">
        <v>13939749.105599999</v>
      </c>
      <c r="N4805">
        <v>6037572.2889999999</v>
      </c>
      <c r="O4805">
        <v>4153835.6140000001</v>
      </c>
      <c r="P4805">
        <v>12</v>
      </c>
      <c r="Q4805" t="s">
        <v>9957</v>
      </c>
    </row>
    <row r="4806" spans="1:17" x14ac:dyDescent="0.3">
      <c r="A4806" t="s">
        <v>17</v>
      </c>
      <c r="B4806" t="str">
        <f>"900940"</f>
        <v>900940</v>
      </c>
      <c r="C4806" t="s">
        <v>9958</v>
      </c>
      <c r="F4806">
        <v>276755049.79079998</v>
      </c>
      <c r="G4806">
        <v>494984235.35089999</v>
      </c>
      <c r="H4806">
        <v>453094277.60799998</v>
      </c>
      <c r="I4806">
        <v>470047834.17320001</v>
      </c>
      <c r="J4806">
        <v>655734667.02479994</v>
      </c>
      <c r="K4806">
        <v>273627737.74919999</v>
      </c>
      <c r="L4806">
        <v>203366171.72209999</v>
      </c>
      <c r="M4806">
        <v>192141857.63999999</v>
      </c>
      <c r="N4806">
        <v>108883311.943</v>
      </c>
      <c r="O4806">
        <v>24528674.854400001</v>
      </c>
      <c r="P4806">
        <v>15</v>
      </c>
      <c r="Q4806" t="s">
        <v>9959</v>
      </c>
    </row>
    <row r="4807" spans="1:17" x14ac:dyDescent="0.3">
      <c r="A4807" t="s">
        <v>17</v>
      </c>
      <c r="B4807" t="str">
        <f>"900941"</f>
        <v>900941</v>
      </c>
      <c r="C4807" t="s">
        <v>9960</v>
      </c>
      <c r="F4807">
        <v>98098851.909600005</v>
      </c>
      <c r="G4807">
        <v>61702338.528399996</v>
      </c>
      <c r="H4807">
        <v>83335845.126000002</v>
      </c>
      <c r="I4807">
        <v>77777272.249200001</v>
      </c>
      <c r="J4807">
        <v>63066915.053999998</v>
      </c>
      <c r="K4807">
        <v>88550408.947500005</v>
      </c>
      <c r="L4807">
        <v>69816562.129500002</v>
      </c>
      <c r="M4807">
        <v>73960340.291999996</v>
      </c>
      <c r="N4807">
        <v>67908800.189999998</v>
      </c>
      <c r="O4807">
        <v>65703435.3684</v>
      </c>
      <c r="P4807">
        <v>8</v>
      </c>
      <c r="Q4807" t="s">
        <v>9961</v>
      </c>
    </row>
    <row r="4808" spans="1:17" x14ac:dyDescent="0.3">
      <c r="A4808" t="s">
        <v>17</v>
      </c>
      <c r="B4808" t="str">
        <f>"900942"</f>
        <v>900942</v>
      </c>
      <c r="C4808" t="s">
        <v>9962</v>
      </c>
      <c r="F4808">
        <v>22583408.325599998</v>
      </c>
      <c r="G4808">
        <v>10006555.6722</v>
      </c>
      <c r="H4808">
        <v>38602802.737000003</v>
      </c>
      <c r="I4808">
        <v>41050687.035400003</v>
      </c>
      <c r="J4808">
        <v>47488906.396799996</v>
      </c>
      <c r="K4808">
        <v>46649070.596000001</v>
      </c>
      <c r="L4808">
        <v>35774409.400300004</v>
      </c>
      <c r="M4808">
        <v>32898175.555199999</v>
      </c>
      <c r="N4808">
        <v>35667563.903999999</v>
      </c>
      <c r="O4808">
        <v>29887896.636799999</v>
      </c>
      <c r="P4808">
        <v>55</v>
      </c>
      <c r="Q4808" t="s">
        <v>9963</v>
      </c>
    </row>
    <row r="4809" spans="1:17" x14ac:dyDescent="0.3">
      <c r="A4809" t="s">
        <v>17</v>
      </c>
      <c r="B4809" t="str">
        <f>"900943"</f>
        <v>900943</v>
      </c>
      <c r="C4809" t="s">
        <v>9964</v>
      </c>
      <c r="F4809">
        <v>28650238.051199999</v>
      </c>
      <c r="G4809">
        <v>28064136.442299999</v>
      </c>
      <c r="H4809">
        <v>31464923.765000001</v>
      </c>
      <c r="I4809">
        <v>35926194.616400003</v>
      </c>
      <c r="J4809">
        <v>33765582.641999997</v>
      </c>
      <c r="K4809">
        <v>36102749.636600003</v>
      </c>
      <c r="L4809">
        <v>38524259.381399997</v>
      </c>
      <c r="M4809">
        <v>38301519.7848</v>
      </c>
      <c r="N4809">
        <v>35201869.633000001</v>
      </c>
      <c r="O4809">
        <v>33619653.125600003</v>
      </c>
      <c r="P4809">
        <v>3</v>
      </c>
      <c r="Q4809" t="s">
        <v>9965</v>
      </c>
    </row>
    <row r="4810" spans="1:17" x14ac:dyDescent="0.3">
      <c r="A4810" t="s">
        <v>17</v>
      </c>
      <c r="B4810" t="str">
        <f>"900945"</f>
        <v>900945</v>
      </c>
      <c r="C4810" t="s">
        <v>9966</v>
      </c>
      <c r="F4810">
        <v>1130478054</v>
      </c>
      <c r="G4810">
        <v>1143113520.8</v>
      </c>
      <c r="H4810">
        <v>2828587839</v>
      </c>
      <c r="I4810">
        <v>2876497969.5999999</v>
      </c>
      <c r="J4810">
        <v>2065739200.8</v>
      </c>
      <c r="K4810">
        <v>1543620168.0999999</v>
      </c>
      <c r="L4810">
        <v>1446620501.7</v>
      </c>
      <c r="M4810">
        <v>1317732040.8</v>
      </c>
      <c r="N4810">
        <v>1222462374</v>
      </c>
      <c r="O4810">
        <v>1156347299.2</v>
      </c>
      <c r="P4810">
        <v>7</v>
      </c>
      <c r="Q4810" t="s">
        <v>9967</v>
      </c>
    </row>
    <row r="4811" spans="1:17" x14ac:dyDescent="0.3">
      <c r="A4811" t="s">
        <v>17</v>
      </c>
      <c r="B4811" t="str">
        <f>"900946"</f>
        <v>900946</v>
      </c>
      <c r="C4811" t="s">
        <v>9968</v>
      </c>
      <c r="F4811">
        <v>11799395.6544</v>
      </c>
      <c r="G4811">
        <v>16076908.6622</v>
      </c>
      <c r="H4811">
        <v>15891616.605</v>
      </c>
      <c r="I4811">
        <v>22153975.957199998</v>
      </c>
      <c r="J4811">
        <v>16792316.983199999</v>
      </c>
      <c r="K4811">
        <v>11295440.129699999</v>
      </c>
      <c r="L4811">
        <v>19011333.676100001</v>
      </c>
      <c r="M4811">
        <v>12466462.3608</v>
      </c>
      <c r="N4811">
        <v>10853952.333000001</v>
      </c>
      <c r="O4811">
        <v>54938650.469999999</v>
      </c>
      <c r="P4811">
        <v>3</v>
      </c>
      <c r="Q4811" t="s">
        <v>9969</v>
      </c>
    </row>
    <row r="4812" spans="1:17" x14ac:dyDescent="0.3">
      <c r="A4812" t="s">
        <v>17</v>
      </c>
      <c r="B4812" t="str">
        <f>"900947"</f>
        <v>900947</v>
      </c>
      <c r="C4812" t="s">
        <v>9970</v>
      </c>
      <c r="F4812">
        <v>797705343.06719995</v>
      </c>
      <c r="G4812">
        <v>600085958.40740001</v>
      </c>
      <c r="H4812">
        <v>792051182.30299997</v>
      </c>
      <c r="I4812">
        <v>867590938.12039995</v>
      </c>
      <c r="J4812">
        <v>857530914.68879998</v>
      </c>
      <c r="K4812">
        <v>982532821.20060003</v>
      </c>
      <c r="L4812">
        <v>768591870.80999994</v>
      </c>
      <c r="M4812">
        <v>716474760.96959996</v>
      </c>
      <c r="N4812">
        <v>681064233.10800004</v>
      </c>
      <c r="O4812">
        <v>634440537.09440005</v>
      </c>
      <c r="P4812">
        <v>18</v>
      </c>
      <c r="Q4812" t="s">
        <v>9971</v>
      </c>
    </row>
    <row r="4813" spans="1:17" x14ac:dyDescent="0.3">
      <c r="A4813" t="s">
        <v>17</v>
      </c>
      <c r="B4813" t="str">
        <f>"900949"</f>
        <v>900949</v>
      </c>
      <c r="C4813" t="s">
        <v>9972</v>
      </c>
      <c r="N4813">
        <v>390685581.78280002</v>
      </c>
      <c r="O4813">
        <v>340649508.75840002</v>
      </c>
      <c r="P4813">
        <v>2</v>
      </c>
      <c r="Q4813" t="s">
        <v>9973</v>
      </c>
    </row>
    <row r="4814" spans="1:17" x14ac:dyDescent="0.3">
      <c r="A4814" t="s">
        <v>17</v>
      </c>
      <c r="B4814" t="str">
        <f>"900950"</f>
        <v>900950</v>
      </c>
      <c r="C4814" t="s">
        <v>9974</v>
      </c>
      <c r="L4814">
        <v>556644919.89619994</v>
      </c>
      <c r="M4814">
        <v>539792219.03760004</v>
      </c>
      <c r="N4814">
        <v>455265296.72549999</v>
      </c>
      <c r="O4814">
        <v>440711951.44099998</v>
      </c>
      <c r="P4814">
        <v>7</v>
      </c>
      <c r="Q4814" t="s">
        <v>9975</v>
      </c>
    </row>
    <row r="4815" spans="1:17" x14ac:dyDescent="0.3">
      <c r="A4815" t="s">
        <v>17</v>
      </c>
      <c r="B4815" t="str">
        <f>"900951"</f>
        <v>900951</v>
      </c>
      <c r="C4815" t="s">
        <v>9976</v>
      </c>
      <c r="G4815">
        <v>1275886.8703999999</v>
      </c>
      <c r="H4815">
        <v>1985718.828</v>
      </c>
      <c r="I4815">
        <v>34540753.417000003</v>
      </c>
      <c r="J4815">
        <v>30615939.380399998</v>
      </c>
      <c r="K4815">
        <v>28644160.388700001</v>
      </c>
      <c r="L4815">
        <v>25391210.763500001</v>
      </c>
      <c r="M4815">
        <v>33038664.349199999</v>
      </c>
      <c r="N4815">
        <v>38869826.674099997</v>
      </c>
      <c r="O4815">
        <v>48368096.758199997</v>
      </c>
      <c r="P4815">
        <v>2</v>
      </c>
      <c r="Q4815" t="s">
        <v>9977</v>
      </c>
    </row>
    <row r="4816" spans="1:17" x14ac:dyDescent="0.3">
      <c r="A4816" t="s">
        <v>17</v>
      </c>
      <c r="B4816" t="str">
        <f>"900952"</f>
        <v>900952</v>
      </c>
      <c r="C4816" t="s">
        <v>9978</v>
      </c>
      <c r="F4816">
        <v>297195471.34320003</v>
      </c>
      <c r="G4816">
        <v>190367463.25049999</v>
      </c>
      <c r="H4816">
        <v>202657180.89199999</v>
      </c>
      <c r="I4816">
        <v>224509503.19420001</v>
      </c>
      <c r="J4816">
        <v>86919885.940799996</v>
      </c>
      <c r="K4816">
        <v>97686354.254099995</v>
      </c>
      <c r="L4816">
        <v>104788734.04359999</v>
      </c>
      <c r="M4816">
        <v>74109439.358400002</v>
      </c>
      <c r="N4816">
        <v>37172504.964000002</v>
      </c>
      <c r="O4816">
        <v>47485105.685999997</v>
      </c>
      <c r="P4816">
        <v>8</v>
      </c>
      <c r="Q4816" t="s">
        <v>9979</v>
      </c>
    </row>
    <row r="4817" spans="1:17" x14ac:dyDescent="0.3">
      <c r="A4817" t="s">
        <v>17</v>
      </c>
      <c r="B4817" t="str">
        <f>"900955"</f>
        <v>900955</v>
      </c>
      <c r="C4817" t="s">
        <v>9980</v>
      </c>
      <c r="F4817">
        <v>123164.1936</v>
      </c>
      <c r="G4817">
        <v>24431.709200000001</v>
      </c>
      <c r="H4817">
        <v>6523.22</v>
      </c>
      <c r="I4817">
        <v>112911.4682</v>
      </c>
      <c r="J4817">
        <v>852987.70920000004</v>
      </c>
      <c r="K4817">
        <v>558219.326</v>
      </c>
      <c r="L4817">
        <v>1269630.5281</v>
      </c>
      <c r="M4817">
        <v>3543892.7472000001</v>
      </c>
      <c r="N4817">
        <v>1238185.3119999999</v>
      </c>
      <c r="O4817">
        <v>563930.40119999996</v>
      </c>
      <c r="P4817">
        <v>4</v>
      </c>
      <c r="Q4817" t="s">
        <v>9981</v>
      </c>
    </row>
    <row r="4818" spans="1:17" x14ac:dyDescent="0.3">
      <c r="A4818" t="s">
        <v>17</v>
      </c>
      <c r="B4818" t="str">
        <f>"900956"</f>
        <v>900956</v>
      </c>
      <c r="C4818" t="s">
        <v>9982</v>
      </c>
      <c r="G4818">
        <v>113332659.41230001</v>
      </c>
      <c r="H4818">
        <v>154063722.088</v>
      </c>
      <c r="I4818">
        <v>103933086.5848</v>
      </c>
      <c r="J4818">
        <v>91656920.216399997</v>
      </c>
      <c r="K4818">
        <v>97438566.323699996</v>
      </c>
      <c r="L4818">
        <v>114564958.77060001</v>
      </c>
      <c r="M4818">
        <v>97289926.010600001</v>
      </c>
      <c r="N4818">
        <v>114481845.2659</v>
      </c>
      <c r="O4818">
        <v>105809294.3027</v>
      </c>
      <c r="P4818">
        <v>10</v>
      </c>
      <c r="Q4818" t="s">
        <v>9983</v>
      </c>
    </row>
    <row r="4819" spans="1:17" x14ac:dyDescent="0.3">
      <c r="A4819" t="s">
        <v>75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75</v>
      </c>
      <c r="B4820" t="str">
        <f>"000015"</f>
        <v>000015</v>
      </c>
      <c r="C4820" t="s">
        <v>9986</v>
      </c>
      <c r="J4820">
        <v>240706568.38</v>
      </c>
      <c r="K4820">
        <v>169617695.25</v>
      </c>
      <c r="P4820">
        <v>13</v>
      </c>
      <c r="Q4820" t="s">
        <v>9987</v>
      </c>
    </row>
    <row r="4821" spans="1:17" x14ac:dyDescent="0.3">
      <c r="A4821" t="s">
        <v>75</v>
      </c>
      <c r="B4821" t="str">
        <f>"000018"</f>
        <v>000018</v>
      </c>
      <c r="C4821" t="s">
        <v>9988</v>
      </c>
      <c r="G4821">
        <v>46347875</v>
      </c>
      <c r="H4821">
        <v>307945763</v>
      </c>
      <c r="I4821">
        <v>1294892260</v>
      </c>
      <c r="J4821">
        <v>726566937</v>
      </c>
      <c r="K4821">
        <v>520278123</v>
      </c>
      <c r="L4821">
        <v>3017384</v>
      </c>
      <c r="M4821">
        <v>2432585</v>
      </c>
      <c r="N4821">
        <v>2917174</v>
      </c>
      <c r="O4821">
        <v>2529969</v>
      </c>
      <c r="P4821">
        <v>99</v>
      </c>
      <c r="Q4821" t="s">
        <v>9989</v>
      </c>
    </row>
    <row r="4822" spans="1:17" x14ac:dyDescent="0.3">
      <c r="A4822" t="s">
        <v>75</v>
      </c>
      <c r="B4822" t="str">
        <f>"000022"</f>
        <v>000022</v>
      </c>
      <c r="C4822" t="s">
        <v>9990</v>
      </c>
      <c r="I4822">
        <v>518662240</v>
      </c>
      <c r="J4822">
        <v>514859753</v>
      </c>
      <c r="K4822">
        <v>382639583.12</v>
      </c>
      <c r="L4822">
        <v>391741607.32999998</v>
      </c>
      <c r="M4822">
        <v>424837358.89999998</v>
      </c>
      <c r="N4822">
        <v>387196499</v>
      </c>
      <c r="O4822">
        <v>394813329</v>
      </c>
      <c r="P4822">
        <v>83</v>
      </c>
      <c r="Q4822" t="s">
        <v>9991</v>
      </c>
    </row>
    <row r="4823" spans="1:17" x14ac:dyDescent="0.3">
      <c r="A4823" t="s">
        <v>75</v>
      </c>
      <c r="B4823" t="str">
        <f>"000024"</f>
        <v>000024</v>
      </c>
      <c r="C4823" t="s">
        <v>9992</v>
      </c>
      <c r="L4823">
        <v>9467176552.6200008</v>
      </c>
      <c r="M4823">
        <v>8712833774.9099998</v>
      </c>
      <c r="N4823">
        <v>8949900347.7600002</v>
      </c>
      <c r="O4823">
        <v>5615868070</v>
      </c>
      <c r="P4823">
        <v>36</v>
      </c>
      <c r="Q4823" t="s">
        <v>9993</v>
      </c>
    </row>
    <row r="4824" spans="1:17" x14ac:dyDescent="0.3">
      <c r="A4824" t="s">
        <v>75</v>
      </c>
      <c r="B4824" t="str">
        <f>"000033"</f>
        <v>000033</v>
      </c>
      <c r="C4824" t="s">
        <v>9994</v>
      </c>
      <c r="J4824">
        <v>18416849.66</v>
      </c>
      <c r="K4824">
        <v>23230521.719999999</v>
      </c>
      <c r="L4824">
        <v>16410053.16</v>
      </c>
      <c r="M4824">
        <v>11461494.23</v>
      </c>
      <c r="N4824">
        <v>15320465.369999999</v>
      </c>
      <c r="O4824">
        <v>18943824.120000001</v>
      </c>
      <c r="P4824">
        <v>7</v>
      </c>
      <c r="Q4824" t="s">
        <v>9995</v>
      </c>
    </row>
    <row r="4825" spans="1:17" x14ac:dyDescent="0.3">
      <c r="A4825" t="s">
        <v>75</v>
      </c>
      <c r="B4825" t="str">
        <f>"000043"</f>
        <v>000043</v>
      </c>
      <c r="C4825" t="s">
        <v>9996</v>
      </c>
      <c r="G4825">
        <v>1323960228</v>
      </c>
      <c r="H4825">
        <v>895375669</v>
      </c>
      <c r="I4825">
        <v>1083619092</v>
      </c>
      <c r="J4825">
        <v>1348891825</v>
      </c>
      <c r="K4825">
        <v>1312995302</v>
      </c>
      <c r="L4825">
        <v>1103726298</v>
      </c>
      <c r="M4825">
        <v>1121516158</v>
      </c>
      <c r="N4825">
        <v>1134823922</v>
      </c>
      <c r="O4825">
        <v>809784388</v>
      </c>
      <c r="P4825">
        <v>73</v>
      </c>
      <c r="Q4825" t="s">
        <v>9997</v>
      </c>
    </row>
    <row r="4826" spans="1:17" x14ac:dyDescent="0.3">
      <c r="A4826" t="s">
        <v>75</v>
      </c>
      <c r="B4826" t="str">
        <f>"000047"</f>
        <v>000047</v>
      </c>
      <c r="C4826" t="s">
        <v>9998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6</v>
      </c>
      <c r="Q4826" t="s">
        <v>9999</v>
      </c>
    </row>
    <row r="4827" spans="1:17" x14ac:dyDescent="0.3">
      <c r="A4827" t="s">
        <v>75</v>
      </c>
      <c r="B4827" t="str">
        <f>"000166"</f>
        <v>000166</v>
      </c>
      <c r="C4827" t="s">
        <v>10000</v>
      </c>
      <c r="D4827" t="s">
        <v>2823</v>
      </c>
      <c r="P4827">
        <v>2819</v>
      </c>
      <c r="Q4827" t="s">
        <v>10001</v>
      </c>
    </row>
    <row r="4828" spans="1:17" x14ac:dyDescent="0.3">
      <c r="A4828" t="s">
        <v>75</v>
      </c>
      <c r="B4828" t="str">
        <f>"000418"</f>
        <v>000418</v>
      </c>
      <c r="C4828" t="s">
        <v>10002</v>
      </c>
      <c r="H4828">
        <v>5095730056</v>
      </c>
      <c r="I4828">
        <v>4265171196</v>
      </c>
      <c r="J4828">
        <v>3956810503</v>
      </c>
      <c r="K4828">
        <v>3078123735.5799999</v>
      </c>
      <c r="L4828">
        <v>2311468394.0799999</v>
      </c>
      <c r="M4828">
        <v>1646521888.52</v>
      </c>
      <c r="N4828">
        <v>1900494571.74</v>
      </c>
      <c r="O4828">
        <v>2005323736.1300001</v>
      </c>
      <c r="P4828">
        <v>653</v>
      </c>
      <c r="Q4828" t="s">
        <v>10003</v>
      </c>
    </row>
    <row r="4829" spans="1:17" x14ac:dyDescent="0.3">
      <c r="A4829" t="s">
        <v>75</v>
      </c>
      <c r="B4829" t="str">
        <f>"000420"</f>
        <v>000420</v>
      </c>
      <c r="C4829" t="s">
        <v>10004</v>
      </c>
      <c r="D4829" t="s">
        <v>1075</v>
      </c>
      <c r="F4829">
        <v>409976749</v>
      </c>
      <c r="G4829">
        <v>309805147</v>
      </c>
      <c r="H4829">
        <v>341463110</v>
      </c>
      <c r="I4829">
        <v>329824015</v>
      </c>
      <c r="J4829">
        <v>220120090</v>
      </c>
      <c r="K4829">
        <v>157247706</v>
      </c>
      <c r="L4829">
        <v>119581966</v>
      </c>
      <c r="M4829">
        <v>190610740</v>
      </c>
      <c r="N4829">
        <v>222182095</v>
      </c>
      <c r="O4829">
        <v>199737213</v>
      </c>
      <c r="P4829">
        <v>101</v>
      </c>
      <c r="Q4829" t="s">
        <v>10005</v>
      </c>
    </row>
    <row r="4830" spans="1:17" x14ac:dyDescent="0.3">
      <c r="A4830" t="s">
        <v>75</v>
      </c>
      <c r="B4830" t="str">
        <f>"000511"</f>
        <v>000511</v>
      </c>
      <c r="C4830" t="s">
        <v>10006</v>
      </c>
      <c r="I4830">
        <v>1105829845</v>
      </c>
      <c r="J4830">
        <v>159139789</v>
      </c>
      <c r="K4830">
        <v>206408327.94</v>
      </c>
      <c r="L4830">
        <v>176774572.43000001</v>
      </c>
      <c r="M4830">
        <v>438464225.07999998</v>
      </c>
      <c r="N4830">
        <v>258156806.94999999</v>
      </c>
      <c r="O4830">
        <v>39113617.009999998</v>
      </c>
      <c r="P4830">
        <v>14</v>
      </c>
      <c r="Q4830" t="s">
        <v>10007</v>
      </c>
    </row>
    <row r="4831" spans="1:17" x14ac:dyDescent="0.3">
      <c r="A4831" t="s">
        <v>75</v>
      </c>
      <c r="B4831" t="str">
        <f>"000522"</f>
        <v>000522</v>
      </c>
      <c r="C4831" t="s">
        <v>10008</v>
      </c>
      <c r="M4831">
        <v>3751898937.0799999</v>
      </c>
      <c r="N4831">
        <v>3649288700.3499999</v>
      </c>
      <c r="O4831">
        <v>999941118.63</v>
      </c>
      <c r="P4831">
        <v>63</v>
      </c>
      <c r="Q4831" t="s">
        <v>10009</v>
      </c>
    </row>
    <row r="4832" spans="1:17" x14ac:dyDescent="0.3">
      <c r="A4832" t="s">
        <v>75</v>
      </c>
      <c r="B4832" t="str">
        <f>"000527"</f>
        <v>000527</v>
      </c>
      <c r="C4832" t="s">
        <v>10010</v>
      </c>
      <c r="N4832">
        <v>15070869040</v>
      </c>
      <c r="O4832">
        <v>11010306550</v>
      </c>
      <c r="P4832">
        <v>296</v>
      </c>
      <c r="Q4832" t="s">
        <v>10011</v>
      </c>
    </row>
    <row r="4833" spans="1:17" x14ac:dyDescent="0.3">
      <c r="A4833" t="s">
        <v>75</v>
      </c>
      <c r="B4833" t="str">
        <f>"000556"</f>
        <v>000556</v>
      </c>
      <c r="C4833" t="s">
        <v>10012</v>
      </c>
      <c r="J4833">
        <v>126242791.7</v>
      </c>
      <c r="K4833">
        <v>15998302.75</v>
      </c>
      <c r="L4833">
        <v>0</v>
      </c>
      <c r="M4833">
        <v>0</v>
      </c>
      <c r="N4833">
        <v>450000</v>
      </c>
      <c r="O4833">
        <v>318000</v>
      </c>
      <c r="P4833">
        <v>4</v>
      </c>
      <c r="Q4833" t="s">
        <v>10013</v>
      </c>
    </row>
    <row r="4834" spans="1:17" x14ac:dyDescent="0.3">
      <c r="A4834" t="s">
        <v>75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75</v>
      </c>
      <c r="B4835" t="str">
        <f>"000563"</f>
        <v>000563</v>
      </c>
      <c r="C4835" t="s">
        <v>10016</v>
      </c>
      <c r="D4835" t="s">
        <v>2657</v>
      </c>
      <c r="P4835">
        <v>205</v>
      </c>
      <c r="Q4835" t="s">
        <v>10017</v>
      </c>
    </row>
    <row r="4836" spans="1:17" x14ac:dyDescent="0.3">
      <c r="A4836" t="s">
        <v>75</v>
      </c>
      <c r="B4836" t="str">
        <f>"000578"</f>
        <v>000578</v>
      </c>
      <c r="C4836" t="s">
        <v>10018</v>
      </c>
      <c r="M4836">
        <v>1427639415.9200001</v>
      </c>
      <c r="N4836">
        <v>1443985288.1300001</v>
      </c>
      <c r="O4836">
        <v>1611187758.8499999</v>
      </c>
      <c r="P4836">
        <v>12</v>
      </c>
      <c r="Q4836" t="s">
        <v>10019</v>
      </c>
    </row>
    <row r="4837" spans="1:17" x14ac:dyDescent="0.3">
      <c r="A4837" t="s">
        <v>75</v>
      </c>
      <c r="B4837" t="str">
        <f>"000583"</f>
        <v>000583</v>
      </c>
      <c r="C4837" t="s">
        <v>10020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3</v>
      </c>
      <c r="Q4837" t="s">
        <v>10021</v>
      </c>
    </row>
    <row r="4838" spans="1:17" x14ac:dyDescent="0.3">
      <c r="A4838" t="s">
        <v>75</v>
      </c>
      <c r="B4838" t="str">
        <f>"000588"</f>
        <v>000588</v>
      </c>
      <c r="C4838" t="s">
        <v>10022</v>
      </c>
      <c r="J4838">
        <v>35846543.579999998</v>
      </c>
      <c r="K4838">
        <v>69824209.930000007</v>
      </c>
      <c r="L4838">
        <v>99356111.120000005</v>
      </c>
      <c r="P4838">
        <v>5</v>
      </c>
      <c r="Q4838" t="s">
        <v>10023</v>
      </c>
    </row>
    <row r="4839" spans="1:17" x14ac:dyDescent="0.3">
      <c r="A4839" t="s">
        <v>75</v>
      </c>
      <c r="B4839" t="str">
        <f>"000594"</f>
        <v>000594</v>
      </c>
      <c r="C4839" t="s">
        <v>10024</v>
      </c>
      <c r="K4839">
        <v>1978707.18</v>
      </c>
      <c r="L4839">
        <v>0</v>
      </c>
      <c r="M4839">
        <v>15840196.52</v>
      </c>
      <c r="N4839">
        <v>13759405.07</v>
      </c>
      <c r="O4839">
        <v>145467975.16</v>
      </c>
      <c r="P4839">
        <v>3</v>
      </c>
      <c r="Q4839" t="s">
        <v>10025</v>
      </c>
    </row>
    <row r="4840" spans="1:17" x14ac:dyDescent="0.3">
      <c r="A4840" t="s">
        <v>75</v>
      </c>
      <c r="B4840" t="str">
        <f>"000602"</f>
        <v>000602</v>
      </c>
      <c r="C4840" t="s">
        <v>10026</v>
      </c>
      <c r="N4840">
        <v>1275691185.1800001</v>
      </c>
      <c r="O4840">
        <v>1397256091.1099999</v>
      </c>
      <c r="P4840">
        <v>5</v>
      </c>
      <c r="Q4840" t="s">
        <v>10027</v>
      </c>
    </row>
    <row r="4841" spans="1:17" x14ac:dyDescent="0.3">
      <c r="A4841" t="s">
        <v>75</v>
      </c>
      <c r="B4841" t="str">
        <f>"000658"</f>
        <v>000658</v>
      </c>
      <c r="C4841" t="s">
        <v>10028</v>
      </c>
      <c r="J4841">
        <v>650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5</v>
      </c>
      <c r="Q4841" t="s">
        <v>10029</v>
      </c>
    </row>
    <row r="4842" spans="1:17" x14ac:dyDescent="0.3">
      <c r="A4842" t="s">
        <v>75</v>
      </c>
      <c r="B4842" t="str">
        <f>"000660"</f>
        <v>000660</v>
      </c>
      <c r="C4842" t="s">
        <v>10030</v>
      </c>
      <c r="M4842">
        <v>1757831.48</v>
      </c>
      <c r="O4842">
        <v>3721678.27</v>
      </c>
      <c r="P4842">
        <v>6</v>
      </c>
      <c r="Q4842" t="s">
        <v>10031</v>
      </c>
    </row>
    <row r="4843" spans="1:17" x14ac:dyDescent="0.3">
      <c r="A4843" t="s">
        <v>75</v>
      </c>
      <c r="B4843" t="str">
        <f>"000662"</f>
        <v>000662</v>
      </c>
      <c r="C4843" t="s">
        <v>10032</v>
      </c>
      <c r="G4843">
        <v>548257</v>
      </c>
      <c r="H4843">
        <v>20105776</v>
      </c>
      <c r="I4843">
        <v>13237038</v>
      </c>
      <c r="J4843">
        <v>76929786</v>
      </c>
      <c r="K4843">
        <v>85358034</v>
      </c>
      <c r="L4843">
        <v>95627489</v>
      </c>
      <c r="M4843">
        <v>124757171</v>
      </c>
      <c r="N4843">
        <v>91764794</v>
      </c>
      <c r="O4843">
        <v>129036696</v>
      </c>
      <c r="P4843">
        <v>146</v>
      </c>
      <c r="Q4843" t="s">
        <v>10033</v>
      </c>
    </row>
    <row r="4844" spans="1:17" x14ac:dyDescent="0.3">
      <c r="A4844" t="s">
        <v>75</v>
      </c>
      <c r="B4844" t="str">
        <f>"000675"</f>
        <v>000675</v>
      </c>
      <c r="C4844" t="s">
        <v>10034</v>
      </c>
      <c r="J4844">
        <v>0</v>
      </c>
      <c r="L4844">
        <v>0</v>
      </c>
      <c r="M4844">
        <v>0</v>
      </c>
      <c r="N4844">
        <v>0</v>
      </c>
      <c r="O4844">
        <v>101200</v>
      </c>
      <c r="P4844">
        <v>5</v>
      </c>
      <c r="Q4844" t="s">
        <v>10035</v>
      </c>
    </row>
    <row r="4845" spans="1:17" x14ac:dyDescent="0.3">
      <c r="A4845" t="s">
        <v>75</v>
      </c>
      <c r="B4845" t="str">
        <f>"000686"</f>
        <v>000686</v>
      </c>
      <c r="C4845" t="s">
        <v>10036</v>
      </c>
      <c r="D4845" t="s">
        <v>2823</v>
      </c>
      <c r="P4845">
        <v>888</v>
      </c>
      <c r="Q4845" t="s">
        <v>10037</v>
      </c>
    </row>
    <row r="4846" spans="1:17" x14ac:dyDescent="0.3">
      <c r="A4846" t="s">
        <v>75</v>
      </c>
      <c r="B4846" t="str">
        <f>"000689"</f>
        <v>000689</v>
      </c>
      <c r="C4846" t="s">
        <v>10038</v>
      </c>
      <c r="P4846">
        <v>5</v>
      </c>
      <c r="Q4846" t="s">
        <v>10039</v>
      </c>
    </row>
    <row r="4847" spans="1:17" x14ac:dyDescent="0.3">
      <c r="A4847" t="s">
        <v>75</v>
      </c>
      <c r="B4847" t="str">
        <f>"000693"</f>
        <v>000693</v>
      </c>
      <c r="C4847" t="s">
        <v>10040</v>
      </c>
      <c r="I4847">
        <v>1049910</v>
      </c>
      <c r="J4847">
        <v>408226458</v>
      </c>
      <c r="K4847">
        <v>222351776.09</v>
      </c>
      <c r="L4847">
        <v>1913399094.4200001</v>
      </c>
      <c r="M4847">
        <v>1206377176.8199999</v>
      </c>
      <c r="N4847">
        <v>51809</v>
      </c>
      <c r="O4847">
        <v>4146844</v>
      </c>
      <c r="P4847">
        <v>17</v>
      </c>
      <c r="Q4847" t="s">
        <v>10041</v>
      </c>
    </row>
    <row r="4848" spans="1:17" x14ac:dyDescent="0.3">
      <c r="A4848" t="s">
        <v>75</v>
      </c>
      <c r="B4848" t="str">
        <f>"000712"</f>
        <v>000712</v>
      </c>
      <c r="C4848" t="s">
        <v>10042</v>
      </c>
      <c r="D4848" t="s">
        <v>2823</v>
      </c>
      <c r="P4848">
        <v>557</v>
      </c>
      <c r="Q4848" t="s">
        <v>10043</v>
      </c>
    </row>
    <row r="4849" spans="1:17" x14ac:dyDescent="0.3">
      <c r="A4849" t="s">
        <v>75</v>
      </c>
      <c r="B4849" t="str">
        <f>"000728"</f>
        <v>000728</v>
      </c>
      <c r="C4849" t="s">
        <v>10044</v>
      </c>
      <c r="D4849" t="s">
        <v>2823</v>
      </c>
      <c r="P4849">
        <v>1900</v>
      </c>
      <c r="Q4849" t="s">
        <v>10045</v>
      </c>
    </row>
    <row r="4850" spans="1:17" x14ac:dyDescent="0.3">
      <c r="A4850" t="s">
        <v>75</v>
      </c>
      <c r="B4850" t="str">
        <f>"000730"</f>
        <v>000730</v>
      </c>
      <c r="C4850" t="s">
        <v>10046</v>
      </c>
      <c r="J4850">
        <v>91652164.659999996</v>
      </c>
      <c r="K4850">
        <v>52312139.670000002</v>
      </c>
      <c r="P4850">
        <v>4</v>
      </c>
      <c r="Q4850" t="s">
        <v>10047</v>
      </c>
    </row>
    <row r="4851" spans="1:17" x14ac:dyDescent="0.3">
      <c r="A4851" t="s">
        <v>75</v>
      </c>
      <c r="B4851" t="str">
        <f>"000748"</f>
        <v>000748</v>
      </c>
      <c r="C4851" t="s">
        <v>10048</v>
      </c>
      <c r="K4851">
        <v>185418860.49000001</v>
      </c>
      <c r="L4851">
        <v>279814355.11000001</v>
      </c>
      <c r="M4851">
        <v>214349283.44999999</v>
      </c>
      <c r="N4851">
        <v>165528883.62</v>
      </c>
      <c r="O4851">
        <v>117676044.81</v>
      </c>
      <c r="P4851">
        <v>8</v>
      </c>
      <c r="Q4851" t="s">
        <v>10049</v>
      </c>
    </row>
    <row r="4852" spans="1:17" x14ac:dyDescent="0.3">
      <c r="A4852" t="s">
        <v>75</v>
      </c>
      <c r="B4852" t="str">
        <f>"000750"</f>
        <v>000750</v>
      </c>
      <c r="C4852" t="s">
        <v>10050</v>
      </c>
      <c r="D4852" t="s">
        <v>2823</v>
      </c>
      <c r="P4852">
        <v>1038</v>
      </c>
      <c r="Q4852" t="s">
        <v>10051</v>
      </c>
    </row>
    <row r="4853" spans="1:17" x14ac:dyDescent="0.3">
      <c r="A4853" t="s">
        <v>75</v>
      </c>
      <c r="B4853" t="str">
        <f>"000760"</f>
        <v>000760</v>
      </c>
      <c r="C4853" t="s">
        <v>10052</v>
      </c>
      <c r="F4853">
        <v>703000</v>
      </c>
      <c r="G4853">
        <v>1001026</v>
      </c>
      <c r="H4853">
        <v>1842537</v>
      </c>
      <c r="I4853">
        <v>53807366</v>
      </c>
      <c r="J4853">
        <v>35420134</v>
      </c>
      <c r="K4853">
        <v>65541622</v>
      </c>
      <c r="L4853">
        <v>90298643</v>
      </c>
      <c r="M4853">
        <v>195906427</v>
      </c>
      <c r="N4853">
        <v>193179224</v>
      </c>
      <c r="O4853">
        <v>178403415</v>
      </c>
      <c r="P4853">
        <v>59</v>
      </c>
      <c r="Q4853" t="s">
        <v>10053</v>
      </c>
    </row>
    <row r="4854" spans="1:17" x14ac:dyDescent="0.3">
      <c r="A4854" t="s">
        <v>75</v>
      </c>
      <c r="B4854" t="str">
        <f>"000765"</f>
        <v>000765</v>
      </c>
      <c r="C4854" t="s">
        <v>10054</v>
      </c>
      <c r="J4854">
        <v>238417130.90000001</v>
      </c>
      <c r="K4854">
        <v>154102436.75999999</v>
      </c>
      <c r="L4854">
        <v>228750</v>
      </c>
      <c r="M4854">
        <v>1465900</v>
      </c>
      <c r="N4854">
        <v>1612400</v>
      </c>
      <c r="O4854">
        <v>1428400</v>
      </c>
      <c r="P4854">
        <v>4</v>
      </c>
      <c r="Q4854" t="s">
        <v>10055</v>
      </c>
    </row>
    <row r="4855" spans="1:17" x14ac:dyDescent="0.3">
      <c r="A4855" t="s">
        <v>75</v>
      </c>
      <c r="B4855" t="str">
        <f>"000776"</f>
        <v>000776</v>
      </c>
      <c r="C4855" t="s">
        <v>10056</v>
      </c>
      <c r="D4855" t="s">
        <v>2823</v>
      </c>
      <c r="P4855">
        <v>3522</v>
      </c>
      <c r="Q4855" t="s">
        <v>10057</v>
      </c>
    </row>
    <row r="4856" spans="1:17" x14ac:dyDescent="0.3">
      <c r="A4856" t="s">
        <v>75</v>
      </c>
      <c r="B4856" t="str">
        <f>"000780"</f>
        <v>000780</v>
      </c>
      <c r="C4856" t="s">
        <v>10058</v>
      </c>
      <c r="D4856" t="s">
        <v>71</v>
      </c>
      <c r="F4856">
        <v>459123332</v>
      </c>
      <c r="G4856">
        <v>233755084</v>
      </c>
      <c r="H4856">
        <v>268590187</v>
      </c>
      <c r="I4856">
        <v>354253647</v>
      </c>
      <c r="J4856">
        <v>330867621</v>
      </c>
      <c r="K4856">
        <v>514147733</v>
      </c>
      <c r="L4856">
        <v>530280696</v>
      </c>
      <c r="M4856">
        <v>226021842</v>
      </c>
      <c r="N4856">
        <v>250546819</v>
      </c>
      <c r="O4856">
        <v>472919135</v>
      </c>
      <c r="P4856">
        <v>99</v>
      </c>
      <c r="Q4856" t="s">
        <v>10059</v>
      </c>
    </row>
    <row r="4857" spans="1:17" x14ac:dyDescent="0.3">
      <c r="A4857" t="s">
        <v>75</v>
      </c>
      <c r="B4857" t="str">
        <f>"000783"</f>
        <v>000783</v>
      </c>
      <c r="C4857" t="s">
        <v>10060</v>
      </c>
      <c r="D4857" t="s">
        <v>2823</v>
      </c>
      <c r="P4857">
        <v>1208</v>
      </c>
      <c r="Q4857" t="s">
        <v>10061</v>
      </c>
    </row>
    <row r="4858" spans="1:17" x14ac:dyDescent="0.3">
      <c r="A4858" t="s">
        <v>75</v>
      </c>
      <c r="B4858" t="str">
        <f>"000787"</f>
        <v>000787</v>
      </c>
      <c r="C4858" t="s">
        <v>10062</v>
      </c>
      <c r="J4858">
        <v>1782383133.1900001</v>
      </c>
      <c r="K4858">
        <v>1930087705.45</v>
      </c>
      <c r="L4858">
        <v>1880952349.8099999</v>
      </c>
      <c r="M4858">
        <v>0</v>
      </c>
      <c r="N4858">
        <v>0</v>
      </c>
      <c r="O4858">
        <v>0</v>
      </c>
      <c r="P4858">
        <v>3</v>
      </c>
      <c r="Q4858" t="s">
        <v>10063</v>
      </c>
    </row>
    <row r="4859" spans="1:17" x14ac:dyDescent="0.3">
      <c r="A4859" t="s">
        <v>75</v>
      </c>
      <c r="B4859" t="str">
        <f>"000805"</f>
        <v>000805</v>
      </c>
      <c r="C4859" t="s">
        <v>10064</v>
      </c>
      <c r="J4859">
        <v>43986852.32</v>
      </c>
      <c r="K4859">
        <v>14245975.800000001</v>
      </c>
      <c r="L4859">
        <v>1785387.69</v>
      </c>
      <c r="M4859">
        <v>4647233.46</v>
      </c>
      <c r="N4859">
        <v>6500000</v>
      </c>
      <c r="O4859">
        <v>0</v>
      </c>
      <c r="P4859">
        <v>3</v>
      </c>
      <c r="Q4859" t="s">
        <v>10065</v>
      </c>
    </row>
    <row r="4860" spans="1:17" x14ac:dyDescent="0.3">
      <c r="A4860" t="s">
        <v>75</v>
      </c>
      <c r="B4860" t="str">
        <f>"000832"</f>
        <v>000832</v>
      </c>
      <c r="C4860" t="s">
        <v>10066</v>
      </c>
      <c r="J4860">
        <v>0</v>
      </c>
      <c r="K4860">
        <v>0</v>
      </c>
      <c r="L4860">
        <v>7714583.7300000004</v>
      </c>
      <c r="M4860">
        <v>5245888.66</v>
      </c>
      <c r="N4860">
        <v>2421683.08</v>
      </c>
      <c r="O4860">
        <v>13581742.4</v>
      </c>
      <c r="P4860">
        <v>6</v>
      </c>
      <c r="Q4860" t="s">
        <v>10067</v>
      </c>
    </row>
    <row r="4861" spans="1:17" x14ac:dyDescent="0.3">
      <c r="A4861" t="s">
        <v>75</v>
      </c>
      <c r="B4861" t="str">
        <f>"000916"</f>
        <v>000916</v>
      </c>
      <c r="C4861" t="s">
        <v>10068</v>
      </c>
      <c r="J4861">
        <v>223840589</v>
      </c>
      <c r="K4861">
        <v>173663695.88999999</v>
      </c>
      <c r="L4861">
        <v>138710931.75</v>
      </c>
      <c r="M4861">
        <v>170475343.87</v>
      </c>
      <c r="N4861">
        <v>126158659.34</v>
      </c>
      <c r="O4861">
        <v>149181633.91</v>
      </c>
      <c r="P4861">
        <v>27</v>
      </c>
      <c r="Q4861" t="s">
        <v>10069</v>
      </c>
    </row>
    <row r="4862" spans="1:17" x14ac:dyDescent="0.3">
      <c r="A4862" t="s">
        <v>75</v>
      </c>
      <c r="B4862" t="str">
        <f>"000939"</f>
        <v>000939</v>
      </c>
      <c r="C4862" t="s">
        <v>10070</v>
      </c>
      <c r="G4862">
        <v>312507451</v>
      </c>
      <c r="H4862">
        <v>427818565</v>
      </c>
      <c r="I4862">
        <v>862736749</v>
      </c>
      <c r="J4862">
        <v>594244653</v>
      </c>
      <c r="K4862">
        <v>1058746756</v>
      </c>
      <c r="L4862">
        <v>923310583</v>
      </c>
      <c r="M4862">
        <v>680247857</v>
      </c>
      <c r="N4862">
        <v>382969978</v>
      </c>
      <c r="O4862">
        <v>645966516</v>
      </c>
      <c r="P4862">
        <v>61</v>
      </c>
      <c r="Q4862" t="s">
        <v>10071</v>
      </c>
    </row>
    <row r="4863" spans="1:17" x14ac:dyDescent="0.3">
      <c r="A4863" t="s">
        <v>75</v>
      </c>
      <c r="B4863" t="str">
        <f>"000971"</f>
        <v>000971</v>
      </c>
      <c r="C4863" t="s">
        <v>10072</v>
      </c>
      <c r="D4863" t="s">
        <v>3310</v>
      </c>
      <c r="F4863">
        <v>174279032</v>
      </c>
      <c r="G4863">
        <v>146934018</v>
      </c>
      <c r="H4863">
        <v>186689633</v>
      </c>
      <c r="I4863">
        <v>202288199</v>
      </c>
      <c r="J4863">
        <v>230574355</v>
      </c>
      <c r="K4863">
        <v>107470084</v>
      </c>
      <c r="L4863">
        <v>7767111</v>
      </c>
      <c r="M4863">
        <v>9879960</v>
      </c>
      <c r="N4863">
        <v>25560039</v>
      </c>
      <c r="O4863">
        <v>55321108</v>
      </c>
      <c r="P4863">
        <v>74</v>
      </c>
      <c r="Q4863" t="s">
        <v>10073</v>
      </c>
    </row>
    <row r="4864" spans="1:17" x14ac:dyDescent="0.3">
      <c r="A4864" t="s">
        <v>75</v>
      </c>
      <c r="B4864" t="str">
        <f>"000979"</f>
        <v>000979</v>
      </c>
      <c r="C4864" t="s">
        <v>10074</v>
      </c>
      <c r="I4864">
        <v>1262643350</v>
      </c>
      <c r="J4864">
        <v>1036998871</v>
      </c>
      <c r="K4864">
        <v>358962136.36000001</v>
      </c>
      <c r="L4864">
        <v>2080044314.9400001</v>
      </c>
      <c r="M4864">
        <v>118065038</v>
      </c>
      <c r="N4864">
        <v>729396188.21000004</v>
      </c>
      <c r="O4864">
        <v>539213533.57000005</v>
      </c>
      <c r="P4864">
        <v>30</v>
      </c>
      <c r="Q4864" t="s">
        <v>10075</v>
      </c>
    </row>
    <row r="4865" spans="1:17" x14ac:dyDescent="0.3">
      <c r="A4865" t="s">
        <v>75</v>
      </c>
      <c r="B4865" t="str">
        <f>"002018"</f>
        <v>002018</v>
      </c>
      <c r="C4865" t="s">
        <v>10076</v>
      </c>
      <c r="G4865">
        <v>31101654</v>
      </c>
      <c r="H4865">
        <v>48211539</v>
      </c>
      <c r="I4865">
        <v>754112631</v>
      </c>
      <c r="J4865">
        <v>5899644520</v>
      </c>
      <c r="K4865">
        <v>2346046866</v>
      </c>
      <c r="L4865">
        <v>410170787</v>
      </c>
      <c r="M4865">
        <v>604727501</v>
      </c>
      <c r="N4865">
        <v>139355717</v>
      </c>
      <c r="O4865">
        <v>109997298</v>
      </c>
      <c r="P4865">
        <v>40</v>
      </c>
      <c r="Q4865" t="s">
        <v>10077</v>
      </c>
    </row>
    <row r="4866" spans="1:17" x14ac:dyDescent="0.3">
      <c r="A4866" t="s">
        <v>75</v>
      </c>
      <c r="B4866" t="str">
        <f>"002070"</f>
        <v>002070</v>
      </c>
      <c r="C4866" t="s">
        <v>10078</v>
      </c>
      <c r="H4866">
        <v>40305822</v>
      </c>
      <c r="I4866">
        <v>104873396</v>
      </c>
      <c r="J4866">
        <v>248634484</v>
      </c>
      <c r="K4866">
        <v>208025057</v>
      </c>
      <c r="L4866">
        <v>223529817.38999999</v>
      </c>
      <c r="M4866">
        <v>399775467.10000002</v>
      </c>
      <c r="N4866">
        <v>260321263.13999999</v>
      </c>
      <c r="O4866">
        <v>283560451.88</v>
      </c>
      <c r="P4866">
        <v>27</v>
      </c>
      <c r="Q4866" t="s">
        <v>10079</v>
      </c>
    </row>
    <row r="4867" spans="1:17" x14ac:dyDescent="0.3">
      <c r="A4867" t="s">
        <v>75</v>
      </c>
      <c r="B4867" t="str">
        <f>"002071"</f>
        <v>002071</v>
      </c>
      <c r="C4867" t="s">
        <v>10080</v>
      </c>
      <c r="F4867">
        <v>155475227</v>
      </c>
      <c r="G4867">
        <v>61979830</v>
      </c>
      <c r="H4867">
        <v>212985791</v>
      </c>
      <c r="I4867">
        <v>316012360</v>
      </c>
      <c r="J4867">
        <v>141432118</v>
      </c>
      <c r="K4867">
        <v>239857648</v>
      </c>
      <c r="L4867">
        <v>70411132</v>
      </c>
      <c r="M4867">
        <v>115633918</v>
      </c>
      <c r="N4867">
        <v>122520662</v>
      </c>
      <c r="O4867">
        <v>117884465</v>
      </c>
      <c r="P4867">
        <v>97</v>
      </c>
      <c r="Q4867" t="s">
        <v>10081</v>
      </c>
    </row>
    <row r="4868" spans="1:17" x14ac:dyDescent="0.3">
      <c r="A4868" t="s">
        <v>75</v>
      </c>
      <c r="B4868" t="str">
        <f>"002118"</f>
        <v>002118</v>
      </c>
      <c r="C4868" t="s">
        <v>10082</v>
      </c>
      <c r="D4868" t="s">
        <v>321</v>
      </c>
      <c r="F4868">
        <v>59694479</v>
      </c>
      <c r="G4868">
        <v>71970906</v>
      </c>
      <c r="H4868">
        <v>136353681</v>
      </c>
      <c r="I4868">
        <v>354186549</v>
      </c>
      <c r="J4868">
        <v>216666245</v>
      </c>
      <c r="K4868">
        <v>255921377</v>
      </c>
      <c r="L4868">
        <v>180380052</v>
      </c>
      <c r="M4868">
        <v>73435160</v>
      </c>
      <c r="N4868">
        <v>76545245</v>
      </c>
      <c r="O4868">
        <v>110628370</v>
      </c>
      <c r="P4868">
        <v>226</v>
      </c>
      <c r="Q4868" t="s">
        <v>10083</v>
      </c>
    </row>
    <row r="4869" spans="1:17" x14ac:dyDescent="0.3">
      <c r="A4869" t="s">
        <v>75</v>
      </c>
      <c r="B4869" t="str">
        <f>"002142"</f>
        <v>002142</v>
      </c>
      <c r="C4869" t="s">
        <v>10084</v>
      </c>
      <c r="D4869" t="s">
        <v>9630</v>
      </c>
      <c r="P4869">
        <v>59332</v>
      </c>
      <c r="Q4869" t="s">
        <v>10085</v>
      </c>
    </row>
    <row r="4870" spans="1:17" x14ac:dyDescent="0.3">
      <c r="A4870" t="s">
        <v>75</v>
      </c>
      <c r="B4870" t="str">
        <f>"002143"</f>
        <v>002143</v>
      </c>
      <c r="C4870" t="s">
        <v>10086</v>
      </c>
      <c r="H4870">
        <v>14428590</v>
      </c>
      <c r="I4870">
        <v>237427610</v>
      </c>
      <c r="J4870">
        <v>477547655</v>
      </c>
      <c r="K4870">
        <v>610388674</v>
      </c>
      <c r="L4870">
        <v>575402163</v>
      </c>
      <c r="M4870">
        <v>810001580</v>
      </c>
      <c r="N4870">
        <v>770298585</v>
      </c>
      <c r="O4870">
        <v>658523360</v>
      </c>
      <c r="P4870">
        <v>59</v>
      </c>
      <c r="Q4870" t="s">
        <v>10087</v>
      </c>
    </row>
    <row r="4871" spans="1:17" x14ac:dyDescent="0.3">
      <c r="A4871" t="s">
        <v>75</v>
      </c>
      <c r="B4871" t="str">
        <f>"002220"</f>
        <v>002220</v>
      </c>
      <c r="C4871" t="s">
        <v>10088</v>
      </c>
      <c r="G4871">
        <v>47617018</v>
      </c>
      <c r="H4871">
        <v>97707621</v>
      </c>
      <c r="I4871">
        <v>218557732</v>
      </c>
      <c r="J4871">
        <v>228041035</v>
      </c>
      <c r="K4871">
        <v>331174896</v>
      </c>
      <c r="L4871">
        <v>420173348</v>
      </c>
      <c r="M4871">
        <v>360247661</v>
      </c>
      <c r="N4871">
        <v>412614432</v>
      </c>
      <c r="O4871">
        <v>385095305</v>
      </c>
      <c r="P4871">
        <v>51</v>
      </c>
      <c r="Q4871" t="s">
        <v>10089</v>
      </c>
    </row>
    <row r="4872" spans="1:17" x14ac:dyDescent="0.3">
      <c r="A4872" t="s">
        <v>75</v>
      </c>
      <c r="B4872" t="str">
        <f>"002359"</f>
        <v>002359</v>
      </c>
      <c r="C4872" t="s">
        <v>10090</v>
      </c>
      <c r="F4872">
        <v>91304269</v>
      </c>
      <c r="G4872">
        <v>114279631</v>
      </c>
      <c r="H4872">
        <v>16577553</v>
      </c>
      <c r="I4872">
        <v>435565647</v>
      </c>
      <c r="J4872">
        <v>240677393</v>
      </c>
      <c r="K4872">
        <v>171009527</v>
      </c>
      <c r="L4872">
        <v>162504254</v>
      </c>
      <c r="M4872">
        <v>124056129</v>
      </c>
      <c r="N4872">
        <v>76670603</v>
      </c>
      <c r="O4872">
        <v>87872640</v>
      </c>
      <c r="P4872">
        <v>68</v>
      </c>
      <c r="Q4872" t="s">
        <v>10091</v>
      </c>
    </row>
    <row r="4873" spans="1:17" x14ac:dyDescent="0.3">
      <c r="A4873" t="s">
        <v>75</v>
      </c>
      <c r="B4873" t="str">
        <f>"002411"</f>
        <v>002411</v>
      </c>
      <c r="C4873" t="s">
        <v>10092</v>
      </c>
      <c r="D4873" t="s">
        <v>123</v>
      </c>
      <c r="F4873">
        <v>1221909800</v>
      </c>
      <c r="G4873">
        <v>1605493961</v>
      </c>
      <c r="H4873">
        <v>1357664330</v>
      </c>
      <c r="I4873">
        <v>2438421368</v>
      </c>
      <c r="J4873">
        <v>1037430358</v>
      </c>
      <c r="K4873">
        <v>989796344</v>
      </c>
      <c r="L4873">
        <v>137535407</v>
      </c>
      <c r="M4873">
        <v>133399042</v>
      </c>
      <c r="N4873">
        <v>159818746</v>
      </c>
      <c r="O4873">
        <v>203757360</v>
      </c>
      <c r="P4873">
        <v>244</v>
      </c>
      <c r="Q4873" t="s">
        <v>10093</v>
      </c>
    </row>
    <row r="4874" spans="1:17" x14ac:dyDescent="0.3">
      <c r="A4874" t="s">
        <v>75</v>
      </c>
      <c r="B4874" t="str">
        <f>"002433"</f>
        <v>002433</v>
      </c>
      <c r="C4874" t="s">
        <v>10094</v>
      </c>
      <c r="D4874" t="s">
        <v>321</v>
      </c>
      <c r="F4874">
        <v>908862639</v>
      </c>
      <c r="G4874">
        <v>898752784</v>
      </c>
      <c r="H4874">
        <v>925506163</v>
      </c>
      <c r="I4874">
        <v>820666705</v>
      </c>
      <c r="J4874">
        <v>922487873</v>
      </c>
      <c r="K4874">
        <v>647474694</v>
      </c>
      <c r="L4874">
        <v>356797630</v>
      </c>
      <c r="M4874">
        <v>193016856</v>
      </c>
      <c r="N4874">
        <v>145832017</v>
      </c>
      <c r="O4874">
        <v>102328703</v>
      </c>
      <c r="P4874">
        <v>235</v>
      </c>
      <c r="Q4874" t="s">
        <v>10095</v>
      </c>
    </row>
    <row r="4875" spans="1:17" x14ac:dyDescent="0.3">
      <c r="A4875" t="s">
        <v>75</v>
      </c>
      <c r="B4875" t="str">
        <f>"002450"</f>
        <v>002450</v>
      </c>
      <c r="C4875" t="s">
        <v>10096</v>
      </c>
      <c r="F4875">
        <v>209774491</v>
      </c>
      <c r="G4875">
        <v>170089482</v>
      </c>
      <c r="H4875">
        <v>692916687</v>
      </c>
      <c r="I4875">
        <v>3281316779</v>
      </c>
      <c r="J4875">
        <v>3718062040</v>
      </c>
      <c r="K4875">
        <v>2005503973</v>
      </c>
      <c r="L4875">
        <v>1363958564</v>
      </c>
      <c r="M4875">
        <v>1160713868</v>
      </c>
      <c r="N4875">
        <v>725305512</v>
      </c>
      <c r="O4875">
        <v>466165218</v>
      </c>
      <c r="P4875">
        <v>1520</v>
      </c>
      <c r="Q4875" t="s">
        <v>10097</v>
      </c>
    </row>
    <row r="4876" spans="1:17" x14ac:dyDescent="0.3">
      <c r="A4876" t="s">
        <v>75</v>
      </c>
      <c r="B4876" t="str">
        <f>"002464"</f>
        <v>002464</v>
      </c>
      <c r="C4876" t="s">
        <v>10098</v>
      </c>
      <c r="D4876" t="s">
        <v>1165</v>
      </c>
      <c r="F4876">
        <v>85283249</v>
      </c>
      <c r="G4876">
        <v>82488254</v>
      </c>
      <c r="H4876">
        <v>191130383</v>
      </c>
      <c r="I4876">
        <v>128302907</v>
      </c>
      <c r="J4876">
        <v>169895624</v>
      </c>
      <c r="K4876">
        <v>79092660</v>
      </c>
      <c r="L4876">
        <v>106782379</v>
      </c>
      <c r="M4876">
        <v>113381726</v>
      </c>
      <c r="N4876">
        <v>138763466</v>
      </c>
      <c r="O4876">
        <v>95898480</v>
      </c>
      <c r="P4876">
        <v>110</v>
      </c>
      <c r="Q4876" t="s">
        <v>10099</v>
      </c>
    </row>
    <row r="4877" spans="1:17" x14ac:dyDescent="0.3">
      <c r="A4877" t="s">
        <v>75</v>
      </c>
      <c r="B4877" t="str">
        <f>"002477"</f>
        <v>002477</v>
      </c>
      <c r="C4877" t="s">
        <v>10100</v>
      </c>
      <c r="H4877">
        <v>309084470</v>
      </c>
      <c r="I4877">
        <v>1499890024</v>
      </c>
      <c r="J4877">
        <v>1396401992</v>
      </c>
      <c r="K4877">
        <v>1136314349</v>
      </c>
      <c r="L4877">
        <v>458817968</v>
      </c>
      <c r="M4877">
        <v>313474494</v>
      </c>
      <c r="N4877">
        <v>457173540</v>
      </c>
      <c r="O4877">
        <v>348917069</v>
      </c>
      <c r="P4877">
        <v>126</v>
      </c>
      <c r="Q4877" t="s">
        <v>10101</v>
      </c>
    </row>
    <row r="4878" spans="1:17" x14ac:dyDescent="0.3">
      <c r="A4878" t="s">
        <v>75</v>
      </c>
      <c r="B4878" t="str">
        <f>"002500"</f>
        <v>002500</v>
      </c>
      <c r="C4878" t="s">
        <v>10102</v>
      </c>
      <c r="D4878" t="s">
        <v>2823</v>
      </c>
      <c r="P4878">
        <v>1129</v>
      </c>
      <c r="Q4878" t="s">
        <v>10103</v>
      </c>
    </row>
    <row r="4879" spans="1:17" x14ac:dyDescent="0.3">
      <c r="A4879" t="s">
        <v>75</v>
      </c>
      <c r="B4879" t="str">
        <f>"002509"</f>
        <v>002509</v>
      </c>
      <c r="C4879" t="s">
        <v>10104</v>
      </c>
      <c r="G4879">
        <v>144037638</v>
      </c>
      <c r="H4879">
        <v>237776577</v>
      </c>
      <c r="I4879">
        <v>371221110</v>
      </c>
      <c r="J4879">
        <v>171814011</v>
      </c>
      <c r="K4879">
        <v>270744282</v>
      </c>
      <c r="L4879">
        <v>100784867</v>
      </c>
      <c r="M4879">
        <v>61197854</v>
      </c>
      <c r="N4879">
        <v>80490033</v>
      </c>
      <c r="O4879">
        <v>68792237</v>
      </c>
      <c r="P4879">
        <v>60</v>
      </c>
      <c r="Q4879" t="s">
        <v>10105</v>
      </c>
    </row>
    <row r="4880" spans="1:17" x14ac:dyDescent="0.3">
      <c r="A4880" t="s">
        <v>75</v>
      </c>
      <c r="B4880" t="str">
        <f>"002604"</f>
        <v>002604</v>
      </c>
      <c r="C4880" t="s">
        <v>10106</v>
      </c>
      <c r="G4880">
        <v>56376737</v>
      </c>
      <c r="H4880">
        <v>135024224</v>
      </c>
      <c r="I4880">
        <v>255841098</v>
      </c>
      <c r="J4880">
        <v>322224212</v>
      </c>
      <c r="K4880">
        <v>148948950</v>
      </c>
      <c r="L4880">
        <v>171512782</v>
      </c>
      <c r="M4880">
        <v>193008831</v>
      </c>
      <c r="N4880">
        <v>226698400</v>
      </c>
      <c r="O4880">
        <v>280647766</v>
      </c>
      <c r="P4880">
        <v>49</v>
      </c>
      <c r="Q4880" t="s">
        <v>10107</v>
      </c>
    </row>
    <row r="4881" spans="1:17" x14ac:dyDescent="0.3">
      <c r="A4881" t="s">
        <v>75</v>
      </c>
      <c r="B4881" t="str">
        <f>"002619"</f>
        <v>002619</v>
      </c>
      <c r="C4881" t="s">
        <v>10108</v>
      </c>
      <c r="D4881" t="s">
        <v>1165</v>
      </c>
      <c r="F4881">
        <v>13241637</v>
      </c>
      <c r="G4881">
        <v>118838849</v>
      </c>
      <c r="H4881">
        <v>165221148</v>
      </c>
      <c r="I4881">
        <v>165351165</v>
      </c>
      <c r="J4881">
        <v>202343102</v>
      </c>
      <c r="K4881">
        <v>155388791</v>
      </c>
      <c r="L4881">
        <v>82567560</v>
      </c>
      <c r="M4881">
        <v>93298286</v>
      </c>
      <c r="N4881">
        <v>138645728</v>
      </c>
      <c r="O4881">
        <v>72277908</v>
      </c>
      <c r="P4881">
        <v>124</v>
      </c>
      <c r="Q4881" t="s">
        <v>10109</v>
      </c>
    </row>
    <row r="4882" spans="1:17" x14ac:dyDescent="0.3">
      <c r="A4882" t="s">
        <v>75</v>
      </c>
      <c r="B4882" t="str">
        <f>"002673"</f>
        <v>002673</v>
      </c>
      <c r="C4882" t="s">
        <v>10110</v>
      </c>
      <c r="D4882" t="s">
        <v>2823</v>
      </c>
      <c r="P4882">
        <v>1135</v>
      </c>
      <c r="Q4882" t="s">
        <v>10111</v>
      </c>
    </row>
    <row r="4883" spans="1:17" x14ac:dyDescent="0.3">
      <c r="A4883" t="s">
        <v>75</v>
      </c>
      <c r="B4883" t="str">
        <f>"002680"</f>
        <v>002680</v>
      </c>
      <c r="C4883" t="s">
        <v>10112</v>
      </c>
      <c r="I4883">
        <v>272504518</v>
      </c>
      <c r="J4883">
        <v>143683734</v>
      </c>
      <c r="K4883">
        <v>109600553</v>
      </c>
      <c r="L4883">
        <v>14212516</v>
      </c>
      <c r="M4883">
        <v>33891295</v>
      </c>
      <c r="N4883">
        <v>61287762</v>
      </c>
      <c r="O4883">
        <v>159425478</v>
      </c>
      <c r="P4883">
        <v>221</v>
      </c>
      <c r="Q4883" t="s">
        <v>10113</v>
      </c>
    </row>
    <row r="4884" spans="1:17" x14ac:dyDescent="0.3">
      <c r="A4884" t="s">
        <v>75</v>
      </c>
      <c r="B4884" t="str">
        <f>"002711"</f>
        <v>002711</v>
      </c>
      <c r="C4884" t="s">
        <v>10114</v>
      </c>
      <c r="F4884">
        <v>84742</v>
      </c>
      <c r="G4884">
        <v>36157199</v>
      </c>
      <c r="H4884">
        <v>67250695</v>
      </c>
      <c r="I4884">
        <v>1208175873</v>
      </c>
      <c r="J4884">
        <v>1124794941</v>
      </c>
      <c r="K4884">
        <v>554102253</v>
      </c>
      <c r="L4884">
        <v>441199418</v>
      </c>
      <c r="M4884">
        <v>178947614</v>
      </c>
      <c r="N4884">
        <v>113515257</v>
      </c>
      <c r="P4884">
        <v>74</v>
      </c>
      <c r="Q4884" t="s">
        <v>10115</v>
      </c>
    </row>
    <row r="4885" spans="1:17" x14ac:dyDescent="0.3">
      <c r="A4885" t="s">
        <v>75</v>
      </c>
      <c r="B4885" t="str">
        <f>"002736"</f>
        <v>002736</v>
      </c>
      <c r="C4885" t="s">
        <v>10116</v>
      </c>
      <c r="D4885" t="s">
        <v>2823</v>
      </c>
      <c r="P4885">
        <v>2389</v>
      </c>
      <c r="Q4885" t="s">
        <v>10117</v>
      </c>
    </row>
    <row r="4886" spans="1:17" x14ac:dyDescent="0.3">
      <c r="A4886" t="s">
        <v>75</v>
      </c>
      <c r="B4886" t="str">
        <f>"002776"</f>
        <v>002776</v>
      </c>
      <c r="C4886" t="s">
        <v>10118</v>
      </c>
      <c r="D4886" t="s">
        <v>814</v>
      </c>
      <c r="F4886">
        <v>31558466</v>
      </c>
      <c r="G4886">
        <v>244740934</v>
      </c>
      <c r="H4886">
        <v>318135888</v>
      </c>
      <c r="I4886">
        <v>158416440</v>
      </c>
      <c r="J4886">
        <v>253962013</v>
      </c>
      <c r="K4886">
        <v>177783380</v>
      </c>
      <c r="L4886">
        <v>160409772</v>
      </c>
      <c r="M4886">
        <v>118432497</v>
      </c>
      <c r="P4886">
        <v>125</v>
      </c>
      <c r="Q4886" t="s">
        <v>10119</v>
      </c>
    </row>
    <row r="4887" spans="1:17" x14ac:dyDescent="0.3">
      <c r="A4887" t="s">
        <v>75</v>
      </c>
      <c r="B4887" t="str">
        <f>"002797"</f>
        <v>002797</v>
      </c>
      <c r="C4887" t="s">
        <v>10120</v>
      </c>
      <c r="D4887" t="s">
        <v>2823</v>
      </c>
      <c r="P4887">
        <v>838</v>
      </c>
      <c r="Q4887" t="s">
        <v>10121</v>
      </c>
    </row>
    <row r="4888" spans="1:17" x14ac:dyDescent="0.3">
      <c r="A4888" t="s">
        <v>75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75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75</v>
      </c>
      <c r="B4890" t="str">
        <f>"002926"</f>
        <v>002926</v>
      </c>
      <c r="C4890" t="s">
        <v>10126</v>
      </c>
      <c r="D4890" t="s">
        <v>2823</v>
      </c>
      <c r="P4890">
        <v>921</v>
      </c>
      <c r="Q4890" t="s">
        <v>10127</v>
      </c>
    </row>
    <row r="4891" spans="1:17" x14ac:dyDescent="0.3">
      <c r="A4891" t="s">
        <v>75</v>
      </c>
      <c r="B4891" t="str">
        <f>"002936"</f>
        <v>002936</v>
      </c>
      <c r="C4891" t="s">
        <v>10128</v>
      </c>
      <c r="D4891" t="s">
        <v>9630</v>
      </c>
      <c r="P4891">
        <v>469</v>
      </c>
      <c r="Q4891" t="s">
        <v>10129</v>
      </c>
    </row>
    <row r="4892" spans="1:17" x14ac:dyDescent="0.3">
      <c r="A4892" t="s">
        <v>75</v>
      </c>
      <c r="B4892" t="str">
        <f>"002939"</f>
        <v>002939</v>
      </c>
      <c r="C4892" t="s">
        <v>10130</v>
      </c>
      <c r="D4892" t="s">
        <v>2823</v>
      </c>
      <c r="P4892">
        <v>832</v>
      </c>
      <c r="Q4892" t="s">
        <v>10131</v>
      </c>
    </row>
    <row r="4893" spans="1:17" x14ac:dyDescent="0.3">
      <c r="A4893" t="s">
        <v>75</v>
      </c>
      <c r="B4893" t="str">
        <f>"002945"</f>
        <v>002945</v>
      </c>
      <c r="C4893" t="s">
        <v>10132</v>
      </c>
      <c r="D4893" t="s">
        <v>2823</v>
      </c>
      <c r="P4893">
        <v>913</v>
      </c>
      <c r="Q4893" t="s">
        <v>10133</v>
      </c>
    </row>
    <row r="4894" spans="1:17" x14ac:dyDescent="0.3">
      <c r="A4894" t="s">
        <v>75</v>
      </c>
      <c r="B4894" t="str">
        <f>"002948"</f>
        <v>002948</v>
      </c>
      <c r="C4894" t="s">
        <v>10134</v>
      </c>
      <c r="D4894" t="s">
        <v>9630</v>
      </c>
      <c r="P4894">
        <v>458</v>
      </c>
      <c r="Q4894" t="s">
        <v>10135</v>
      </c>
    </row>
    <row r="4895" spans="1:17" x14ac:dyDescent="0.3">
      <c r="A4895" t="s">
        <v>75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75</v>
      </c>
      <c r="B4896" t="str">
        <f>"002961"</f>
        <v>002961</v>
      </c>
      <c r="C4896" t="s">
        <v>10138</v>
      </c>
      <c r="D4896" t="s">
        <v>600</v>
      </c>
      <c r="P4896">
        <v>121</v>
      </c>
      <c r="Q4896" t="s">
        <v>10139</v>
      </c>
    </row>
    <row r="4897" spans="1:17" x14ac:dyDescent="0.3">
      <c r="A4897" t="s">
        <v>75</v>
      </c>
      <c r="B4897" t="str">
        <f>"002966"</f>
        <v>002966</v>
      </c>
      <c r="C4897" t="s">
        <v>10140</v>
      </c>
      <c r="D4897" t="s">
        <v>9630</v>
      </c>
      <c r="P4897">
        <v>365</v>
      </c>
      <c r="Q4897" t="s">
        <v>10141</v>
      </c>
    </row>
    <row r="4898" spans="1:17" x14ac:dyDescent="0.3">
      <c r="A4898" t="s">
        <v>75</v>
      </c>
      <c r="B4898" t="str">
        <f>"200002"</f>
        <v>200002</v>
      </c>
      <c r="C4898" t="s">
        <v>10142</v>
      </c>
      <c r="J4898">
        <v>78750719342.259293</v>
      </c>
      <c r="K4898">
        <v>57083393707.628098</v>
      </c>
      <c r="L4898">
        <v>39871402751.550003</v>
      </c>
      <c r="M4898">
        <v>36283625004.787903</v>
      </c>
      <c r="N4898">
        <v>41016800138.604698</v>
      </c>
      <c r="O4898">
        <v>26238607016.234901</v>
      </c>
      <c r="P4898">
        <v>22</v>
      </c>
      <c r="Q4898" t="s">
        <v>10143</v>
      </c>
    </row>
    <row r="4899" spans="1:17" x14ac:dyDescent="0.3">
      <c r="A4899" t="s">
        <v>75</v>
      </c>
      <c r="B4899" t="str">
        <f>"200015"</f>
        <v>200015</v>
      </c>
      <c r="C4899" t="s">
        <v>10144</v>
      </c>
      <c r="J4899">
        <v>271565150.44630003</v>
      </c>
      <c r="K4899">
        <v>203761737.30379999</v>
      </c>
      <c r="P4899">
        <v>0</v>
      </c>
      <c r="Q4899" t="s">
        <v>10145</v>
      </c>
    </row>
    <row r="4900" spans="1:17" x14ac:dyDescent="0.3">
      <c r="A4900" t="s">
        <v>75</v>
      </c>
      <c r="B4900" t="str">
        <f>"200018"</f>
        <v>200018</v>
      </c>
      <c r="C4900" t="s">
        <v>10146</v>
      </c>
      <c r="G4900">
        <v>50653592.587499999</v>
      </c>
      <c r="H4900">
        <v>360019391.52329999</v>
      </c>
      <c r="I4900">
        <v>1619262771.1300001</v>
      </c>
      <c r="J4900">
        <v>819712818.32340002</v>
      </c>
      <c r="K4900">
        <v>625010109.72449994</v>
      </c>
      <c r="L4900">
        <v>3771730</v>
      </c>
      <c r="M4900">
        <v>3036839.1140000001</v>
      </c>
      <c r="N4900">
        <v>3645884.0652000001</v>
      </c>
      <c r="O4900">
        <v>3119451.7769999998</v>
      </c>
      <c r="P4900">
        <v>13</v>
      </c>
      <c r="Q4900" t="s">
        <v>10147</v>
      </c>
    </row>
    <row r="4901" spans="1:17" x14ac:dyDescent="0.3">
      <c r="A4901" t="s">
        <v>75</v>
      </c>
      <c r="B4901" t="str">
        <f>"200022"</f>
        <v>200022</v>
      </c>
      <c r="C4901" t="s">
        <v>10148</v>
      </c>
      <c r="I4901">
        <v>648587131.12</v>
      </c>
      <c r="J4901">
        <v>580864773.33459997</v>
      </c>
      <c r="K4901">
        <v>459664931.20209998</v>
      </c>
      <c r="L4901">
        <v>489677009.16250002</v>
      </c>
      <c r="M4901">
        <v>530366958.85079998</v>
      </c>
      <c r="N4901">
        <v>483918184.45020002</v>
      </c>
      <c r="O4901">
        <v>486804834.65700001</v>
      </c>
      <c r="P4901">
        <v>41</v>
      </c>
      <c r="Q4901" t="s">
        <v>10149</v>
      </c>
    </row>
    <row r="4902" spans="1:17" x14ac:dyDescent="0.3">
      <c r="A4902" t="s">
        <v>75</v>
      </c>
      <c r="B4902" t="str">
        <f>"200024"</f>
        <v>200024</v>
      </c>
      <c r="C4902" t="s">
        <v>10150</v>
      </c>
      <c r="L4902">
        <v>11833970690.775</v>
      </c>
      <c r="M4902">
        <v>10877101684.597601</v>
      </c>
      <c r="N4902">
        <v>11185585454.630501</v>
      </c>
      <c r="O4902">
        <v>6924365330.3100004</v>
      </c>
      <c r="P4902">
        <v>0</v>
      </c>
      <c r="Q4902" t="s">
        <v>10151</v>
      </c>
    </row>
    <row r="4903" spans="1:17" x14ac:dyDescent="0.3">
      <c r="A4903" t="s">
        <v>75</v>
      </c>
      <c r="B4903" t="str">
        <f>"200030"</f>
        <v>200030</v>
      </c>
      <c r="C4903" t="s">
        <v>10152</v>
      </c>
      <c r="F4903">
        <v>2788430874.3330002</v>
      </c>
      <c r="G4903">
        <v>1952671911.9233999</v>
      </c>
      <c r="H4903">
        <v>1801599096.7953</v>
      </c>
      <c r="I4903">
        <v>2163300012.7655001</v>
      </c>
      <c r="J4903">
        <v>1480262227.915</v>
      </c>
      <c r="K4903">
        <v>1359352392.1335001</v>
      </c>
      <c r="L4903">
        <v>1392144218.75</v>
      </c>
      <c r="M4903">
        <v>1501041526.8872001</v>
      </c>
      <c r="N4903">
        <v>915683194.74360001</v>
      </c>
      <c r="O4903">
        <v>0</v>
      </c>
      <c r="P4903">
        <v>132</v>
      </c>
      <c r="Q4903" t="s">
        <v>10153</v>
      </c>
    </row>
    <row r="4904" spans="1:17" x14ac:dyDescent="0.3">
      <c r="A4904" t="s">
        <v>75</v>
      </c>
      <c r="B4904" t="str">
        <f>"200037"</f>
        <v>200037</v>
      </c>
      <c r="C4904" t="s">
        <v>10154</v>
      </c>
      <c r="F4904">
        <v>97229038.131999999</v>
      </c>
      <c r="G4904">
        <v>294348657.53909999</v>
      </c>
      <c r="H4904">
        <v>217863277.94069999</v>
      </c>
      <c r="I4904">
        <v>486597303.597</v>
      </c>
      <c r="J4904">
        <v>378733337.3488</v>
      </c>
      <c r="K4904">
        <v>191575252.46529999</v>
      </c>
      <c r="L4904">
        <v>314272046.25</v>
      </c>
      <c r="M4904">
        <v>205659736.90200001</v>
      </c>
      <c r="N4904">
        <v>376776191.16240001</v>
      </c>
      <c r="O4904">
        <v>799986244.04999995</v>
      </c>
      <c r="P4904">
        <v>9</v>
      </c>
      <c r="Q4904" t="s">
        <v>10155</v>
      </c>
    </row>
    <row r="4905" spans="1:17" x14ac:dyDescent="0.3">
      <c r="A4905" t="s">
        <v>75</v>
      </c>
      <c r="B4905" t="str">
        <f>"200039"</f>
        <v>200039</v>
      </c>
      <c r="C4905" t="s">
        <v>10156</v>
      </c>
      <c r="J4905">
        <v>16302579127.799999</v>
      </c>
      <c r="K4905">
        <v>16266459728.200001</v>
      </c>
      <c r="L4905">
        <v>19577145000</v>
      </c>
      <c r="M4905">
        <v>14233963426</v>
      </c>
      <c r="N4905">
        <v>13318130008.200001</v>
      </c>
      <c r="O4905">
        <v>16558583364</v>
      </c>
      <c r="P4905">
        <v>0</v>
      </c>
      <c r="Q4905" t="s">
        <v>10157</v>
      </c>
    </row>
    <row r="4906" spans="1:17" x14ac:dyDescent="0.3">
      <c r="A4906" t="s">
        <v>75</v>
      </c>
      <c r="B4906" t="str">
        <f>"200053"</f>
        <v>200053</v>
      </c>
      <c r="C4906" t="s">
        <v>10158</v>
      </c>
      <c r="I4906">
        <v>269527838.028</v>
      </c>
      <c r="J4906">
        <v>194262024.3714</v>
      </c>
      <c r="K4906">
        <v>211430139.3053</v>
      </c>
      <c r="L4906">
        <v>198974864.19999999</v>
      </c>
      <c r="M4906">
        <v>178390885.8159</v>
      </c>
      <c r="N4906">
        <v>183420688.34349999</v>
      </c>
      <c r="O4906">
        <v>137173365.93900001</v>
      </c>
      <c r="P4906">
        <v>15</v>
      </c>
      <c r="Q4906" t="s">
        <v>10159</v>
      </c>
    </row>
    <row r="4907" spans="1:17" x14ac:dyDescent="0.3">
      <c r="A4907" t="s">
        <v>75</v>
      </c>
      <c r="B4907" t="str">
        <f>"200055"</f>
        <v>200055</v>
      </c>
      <c r="C4907" t="s">
        <v>10160</v>
      </c>
      <c r="F4907">
        <v>996332508.29550004</v>
      </c>
      <c r="G4907">
        <v>603960367.40579998</v>
      </c>
      <c r="H4907">
        <v>699841136.70809996</v>
      </c>
      <c r="I4907">
        <v>829231011.03050005</v>
      </c>
      <c r="J4907">
        <v>964354702.29320002</v>
      </c>
      <c r="K4907">
        <v>765098119.34000003</v>
      </c>
      <c r="L4907">
        <v>571800468.75</v>
      </c>
      <c r="M4907">
        <v>408626675.00400001</v>
      </c>
      <c r="N4907">
        <v>445320847.26239997</v>
      </c>
      <c r="O4907">
        <v>291739973.40899998</v>
      </c>
      <c r="P4907">
        <v>71</v>
      </c>
      <c r="Q4907" t="s">
        <v>10161</v>
      </c>
    </row>
    <row r="4908" spans="1:17" x14ac:dyDescent="0.3">
      <c r="A4908" t="s">
        <v>75</v>
      </c>
      <c r="B4908" t="str">
        <f>"200056"</f>
        <v>200056</v>
      </c>
      <c r="C4908" t="s">
        <v>10162</v>
      </c>
      <c r="F4908">
        <v>193425487.20449999</v>
      </c>
      <c r="G4908">
        <v>166211507.42129999</v>
      </c>
      <c r="H4908">
        <v>336346768.46160001</v>
      </c>
      <c r="I4908">
        <v>413153625.37199998</v>
      </c>
      <c r="J4908">
        <v>66774367.248000003</v>
      </c>
      <c r="K4908">
        <v>70150240.253600001</v>
      </c>
      <c r="L4908">
        <v>81022620</v>
      </c>
      <c r="M4908">
        <v>10642041.978</v>
      </c>
      <c r="N4908">
        <v>9908896.8227999993</v>
      </c>
      <c r="O4908">
        <v>11277366.938999999</v>
      </c>
      <c r="P4908">
        <v>13</v>
      </c>
      <c r="Q4908" t="s">
        <v>10163</v>
      </c>
    </row>
    <row r="4909" spans="1:17" x14ac:dyDescent="0.3">
      <c r="A4909" t="s">
        <v>75</v>
      </c>
      <c r="B4909" t="str">
        <f>"200160"</f>
        <v>200160</v>
      </c>
      <c r="C4909" t="s">
        <v>10164</v>
      </c>
      <c r="G4909">
        <v>8358216.1388999997</v>
      </c>
      <c r="H4909">
        <v>5549531.8130999999</v>
      </c>
      <c r="I4909">
        <v>35414812.761</v>
      </c>
      <c r="J4909">
        <v>25467361.777199998</v>
      </c>
      <c r="K4909">
        <v>85881549.122400001</v>
      </c>
      <c r="L4909">
        <v>111510068.5125</v>
      </c>
      <c r="M4909">
        <v>175848826.60949999</v>
      </c>
      <c r="N4909">
        <v>15353632.3007</v>
      </c>
      <c r="O4909">
        <v>15702239.069599999</v>
      </c>
      <c r="P4909">
        <v>3</v>
      </c>
      <c r="Q4909" t="s">
        <v>10165</v>
      </c>
    </row>
    <row r="4910" spans="1:17" x14ac:dyDescent="0.3">
      <c r="A4910" t="s">
        <v>75</v>
      </c>
      <c r="B4910" t="str">
        <f>"200168"</f>
        <v>200168</v>
      </c>
      <c r="C4910" t="s">
        <v>10166</v>
      </c>
      <c r="F4910">
        <v>1308872.5</v>
      </c>
      <c r="G4910">
        <v>23026304.635499999</v>
      </c>
      <c r="H4910">
        <v>840207.6189</v>
      </c>
      <c r="I4910">
        <v>264447410.41949999</v>
      </c>
      <c r="J4910">
        <v>226119456.79499999</v>
      </c>
      <c r="K4910">
        <v>43890549.040100001</v>
      </c>
      <c r="L4910">
        <v>65844155</v>
      </c>
      <c r="M4910">
        <v>19520036.0812</v>
      </c>
      <c r="N4910">
        <v>75456156.333000004</v>
      </c>
      <c r="O4910">
        <v>49392576.846000001</v>
      </c>
      <c r="P4910">
        <v>3</v>
      </c>
      <c r="Q4910" t="s">
        <v>10167</v>
      </c>
    </row>
    <row r="4911" spans="1:17" x14ac:dyDescent="0.3">
      <c r="A4911" t="s">
        <v>75</v>
      </c>
      <c r="B4911" t="str">
        <f>"200413"</f>
        <v>200413</v>
      </c>
      <c r="C4911" t="s">
        <v>10168</v>
      </c>
      <c r="F4911">
        <v>2462336325.7600002</v>
      </c>
      <c r="G4911">
        <v>2038912928.52</v>
      </c>
      <c r="H4911">
        <v>5934422847.2922001</v>
      </c>
      <c r="I4911">
        <v>5744501381.8000002</v>
      </c>
      <c r="J4911">
        <v>3421642632.8544002</v>
      </c>
      <c r="K4911">
        <v>1792933760.5774</v>
      </c>
      <c r="L4911">
        <v>453683607.5</v>
      </c>
      <c r="M4911">
        <v>131130932.28640001</v>
      </c>
      <c r="N4911">
        <v>312540150.57359999</v>
      </c>
      <c r="O4911">
        <v>104011183.50300001</v>
      </c>
      <c r="P4911">
        <v>44</v>
      </c>
      <c r="Q4911" t="s">
        <v>10169</v>
      </c>
    </row>
    <row r="4912" spans="1:17" x14ac:dyDescent="0.3">
      <c r="A4912" t="s">
        <v>75</v>
      </c>
      <c r="B4912" t="str">
        <f>"200418"</f>
        <v>200418</v>
      </c>
      <c r="C4912" t="s">
        <v>10170</v>
      </c>
      <c r="H4912">
        <v>5957418008.4695997</v>
      </c>
      <c r="I4912">
        <v>5333596580.5979996</v>
      </c>
      <c r="J4912">
        <v>4464073609.4846001</v>
      </c>
      <c r="K4912">
        <v>3697750043.5523</v>
      </c>
      <c r="L4912">
        <v>2889335492.5999999</v>
      </c>
      <c r="M4912">
        <v>2055517925.6284001</v>
      </c>
      <c r="N4912">
        <v>2375238115.7607002</v>
      </c>
      <c r="O4912">
        <v>2472564166.6483002</v>
      </c>
      <c r="P4912">
        <v>89</v>
      </c>
      <c r="Q4912" t="s">
        <v>10171</v>
      </c>
    </row>
    <row r="4913" spans="1:17" x14ac:dyDescent="0.3">
      <c r="A4913" t="s">
        <v>75</v>
      </c>
      <c r="B4913" t="str">
        <f>"200429"</f>
        <v>200429</v>
      </c>
      <c r="C4913" t="s">
        <v>10172</v>
      </c>
      <c r="F4913">
        <v>1458626546.546</v>
      </c>
      <c r="G4913">
        <v>271029411.98760003</v>
      </c>
      <c r="H4913">
        <v>863565153.14429998</v>
      </c>
      <c r="I4913">
        <v>919060285.87349999</v>
      </c>
      <c r="J4913">
        <v>738290066.99259996</v>
      </c>
      <c r="K4913">
        <v>445997960.79579997</v>
      </c>
      <c r="L4913">
        <v>396898870</v>
      </c>
      <c r="M4913">
        <v>309019908.81959999</v>
      </c>
      <c r="N4913">
        <v>331069884.09179997</v>
      </c>
      <c r="O4913">
        <v>297826102.09799999</v>
      </c>
      <c r="P4913">
        <v>453</v>
      </c>
      <c r="Q4913" t="s">
        <v>10173</v>
      </c>
    </row>
    <row r="4914" spans="1:17" x14ac:dyDescent="0.3">
      <c r="A4914" t="s">
        <v>75</v>
      </c>
      <c r="B4914" t="str">
        <f>"200488"</f>
        <v>200488</v>
      </c>
      <c r="C4914" t="s">
        <v>10174</v>
      </c>
      <c r="F4914">
        <v>12726647184.509001</v>
      </c>
      <c r="G4914">
        <v>6648699323.9181004</v>
      </c>
      <c r="H4914">
        <v>8026336095.6636</v>
      </c>
      <c r="I4914">
        <v>10353147541.925501</v>
      </c>
      <c r="J4914">
        <v>6850165859.6639996</v>
      </c>
      <c r="K4914">
        <v>4638696715.8408003</v>
      </c>
      <c r="L4914">
        <v>4138285167.5</v>
      </c>
      <c r="M4914">
        <v>4062598971.1240001</v>
      </c>
      <c r="N4914">
        <v>4680686411.5794001</v>
      </c>
      <c r="O4914">
        <v>3169927430.9099998</v>
      </c>
      <c r="P4914">
        <v>268</v>
      </c>
      <c r="Q4914" t="s">
        <v>10175</v>
      </c>
    </row>
    <row r="4915" spans="1:17" x14ac:dyDescent="0.3">
      <c r="A4915" t="s">
        <v>75</v>
      </c>
      <c r="B4915" t="str">
        <f>"200513"</f>
        <v>200513</v>
      </c>
      <c r="C4915" t="s">
        <v>10176</v>
      </c>
      <c r="J4915">
        <v>2421733634.0051999</v>
      </c>
      <c r="K4915">
        <v>2083719414.5653</v>
      </c>
      <c r="L4915">
        <v>1894362867.95</v>
      </c>
      <c r="M4915">
        <v>1716609687.964</v>
      </c>
      <c r="N4915">
        <v>1234457574.2184999</v>
      </c>
      <c r="O4915">
        <v>1096571906.5836</v>
      </c>
      <c r="P4915">
        <v>1</v>
      </c>
      <c r="Q4915" t="s">
        <v>10177</v>
      </c>
    </row>
    <row r="4916" spans="1:17" x14ac:dyDescent="0.3">
      <c r="A4916" t="s">
        <v>75</v>
      </c>
      <c r="B4916" t="str">
        <f>"200539"</f>
        <v>200539</v>
      </c>
      <c r="C4916" t="s">
        <v>10178</v>
      </c>
      <c r="F4916">
        <v>10133962070.604</v>
      </c>
      <c r="G4916">
        <v>6504063405.6723003</v>
      </c>
      <c r="H4916">
        <v>8415791071.7886</v>
      </c>
      <c r="I4916">
        <v>8640135649.8910007</v>
      </c>
      <c r="J4916">
        <v>7371907917.842</v>
      </c>
      <c r="K4916">
        <v>6816707201.0285997</v>
      </c>
      <c r="L4916">
        <v>9056743367.5</v>
      </c>
      <c r="M4916">
        <v>10247678518.930799</v>
      </c>
      <c r="N4916">
        <v>9124141180.0457993</v>
      </c>
      <c r="O4916">
        <v>5525405479.6829996</v>
      </c>
      <c r="P4916">
        <v>185</v>
      </c>
      <c r="Q4916" t="s">
        <v>10179</v>
      </c>
    </row>
    <row r="4917" spans="1:17" x14ac:dyDescent="0.3">
      <c r="A4917" t="s">
        <v>75</v>
      </c>
      <c r="B4917" t="str">
        <f>"200550"</f>
        <v>200550</v>
      </c>
      <c r="C4917" t="s">
        <v>10180</v>
      </c>
      <c r="F4917">
        <v>9940766217.6765003</v>
      </c>
      <c r="G4917">
        <v>5265212162.6042995</v>
      </c>
      <c r="H4917">
        <v>8407640715.6897001</v>
      </c>
      <c r="I4917">
        <v>9394756067.3670006</v>
      </c>
      <c r="J4917">
        <v>9831785202.7872009</v>
      </c>
      <c r="K4917">
        <v>7709761286.5239</v>
      </c>
      <c r="L4917">
        <v>8772511491.25</v>
      </c>
      <c r="M4917">
        <v>8326550600.5263996</v>
      </c>
      <c r="N4917">
        <v>6932048026.0769997</v>
      </c>
      <c r="O4917">
        <v>6196174601.1210003</v>
      </c>
      <c r="P4917">
        <v>154</v>
      </c>
      <c r="Q4917" t="s">
        <v>10181</v>
      </c>
    </row>
    <row r="4918" spans="1:17" x14ac:dyDescent="0.3">
      <c r="A4918" t="s">
        <v>75</v>
      </c>
      <c r="B4918" t="str">
        <f>"200581"</f>
        <v>200581</v>
      </c>
      <c r="C4918" t="s">
        <v>10182</v>
      </c>
      <c r="F4918">
        <v>3780875468.6659999</v>
      </c>
      <c r="G4918">
        <v>3002672572.7052002</v>
      </c>
      <c r="H4918">
        <v>2049765646.6521001</v>
      </c>
      <c r="I4918">
        <v>2788453407.8889999</v>
      </c>
      <c r="J4918">
        <v>1779646482.7636001</v>
      </c>
      <c r="K4918">
        <v>1256270462.0897999</v>
      </c>
      <c r="L4918">
        <v>2242370810</v>
      </c>
      <c r="M4918">
        <v>1791956118.964</v>
      </c>
      <c r="N4918">
        <v>1480593750.8406</v>
      </c>
      <c r="O4918">
        <v>1515854589.48</v>
      </c>
      <c r="P4918">
        <v>448</v>
      </c>
      <c r="Q4918" t="s">
        <v>10183</v>
      </c>
    </row>
    <row r="4919" spans="1:17" x14ac:dyDescent="0.3">
      <c r="A4919" t="s">
        <v>75</v>
      </c>
      <c r="B4919" t="str">
        <f>"200770"</f>
        <v>200770</v>
      </c>
      <c r="C4919" t="s">
        <v>10184</v>
      </c>
      <c r="J4919">
        <v>481663047.87510002</v>
      </c>
      <c r="K4919">
        <v>505202348.08230001</v>
      </c>
      <c r="L4919">
        <v>385413033.05000001</v>
      </c>
      <c r="M4919">
        <v>318230860.70310003</v>
      </c>
      <c r="N4919">
        <v>71600092.976899996</v>
      </c>
      <c r="O4919">
        <v>104618036.0055</v>
      </c>
      <c r="P4919">
        <v>0</v>
      </c>
      <c r="Q4919" t="s">
        <v>10185</v>
      </c>
    </row>
    <row r="4920" spans="1:17" x14ac:dyDescent="0.3">
      <c r="A4920" t="s">
        <v>75</v>
      </c>
      <c r="B4920" t="str">
        <f>"200986"</f>
        <v>200986</v>
      </c>
      <c r="C4920" t="s">
        <v>10186</v>
      </c>
      <c r="F4920">
        <v>1182719613.585</v>
      </c>
      <c r="G4920">
        <v>1143108164.799</v>
      </c>
      <c r="H4920">
        <v>1048210230.4479001</v>
      </c>
      <c r="I4920">
        <v>960310839.49749994</v>
      </c>
      <c r="J4920">
        <v>728571414.86080003</v>
      </c>
      <c r="K4920">
        <v>548118551.71580005</v>
      </c>
      <c r="L4920">
        <v>846321997.5</v>
      </c>
      <c r="M4920">
        <v>754268329.16159999</v>
      </c>
      <c r="N4920">
        <v>1018702104.0804</v>
      </c>
      <c r="O4920">
        <v>660497024.33099997</v>
      </c>
      <c r="P4920">
        <v>8</v>
      </c>
      <c r="Q4920" t="s">
        <v>10187</v>
      </c>
    </row>
    <row r="4921" spans="1:17" x14ac:dyDescent="0.3">
      <c r="A4921" t="s">
        <v>75</v>
      </c>
      <c r="B4921" t="str">
        <f>"300028"</f>
        <v>300028</v>
      </c>
      <c r="C4921" t="s">
        <v>10188</v>
      </c>
      <c r="G4921">
        <v>7509166</v>
      </c>
      <c r="H4921">
        <v>786793</v>
      </c>
      <c r="I4921">
        <v>14449442</v>
      </c>
      <c r="J4921">
        <v>8366392</v>
      </c>
      <c r="K4921">
        <v>63839179</v>
      </c>
      <c r="L4921">
        <v>121721095</v>
      </c>
      <c r="M4921">
        <v>127643227</v>
      </c>
      <c r="N4921">
        <v>61221278</v>
      </c>
      <c r="O4921">
        <v>69986012</v>
      </c>
      <c r="P4921">
        <v>31</v>
      </c>
      <c r="Q4921" t="s">
        <v>10189</v>
      </c>
    </row>
    <row r="4922" spans="1:17" x14ac:dyDescent="0.3">
      <c r="A4922" t="s">
        <v>75</v>
      </c>
      <c r="B4922" t="str">
        <f>"300090"</f>
        <v>300090</v>
      </c>
      <c r="C4922" t="s">
        <v>10190</v>
      </c>
      <c r="G4922">
        <v>106573159</v>
      </c>
      <c r="H4922">
        <v>112558602</v>
      </c>
      <c r="I4922">
        <v>160644511</v>
      </c>
      <c r="J4922">
        <v>208870278</v>
      </c>
      <c r="K4922">
        <v>258624479</v>
      </c>
      <c r="L4922">
        <v>311569121</v>
      </c>
      <c r="M4922">
        <v>313565198</v>
      </c>
      <c r="N4922">
        <v>150670268</v>
      </c>
      <c r="O4922">
        <v>168044684</v>
      </c>
      <c r="P4922">
        <v>72</v>
      </c>
      <c r="Q4922" t="s">
        <v>10191</v>
      </c>
    </row>
    <row r="4923" spans="1:17" x14ac:dyDescent="0.3">
      <c r="A4923" t="s">
        <v>75</v>
      </c>
      <c r="B4923" t="str">
        <f>"300104"</f>
        <v>300104</v>
      </c>
      <c r="C4923" t="s">
        <v>10192</v>
      </c>
      <c r="G4923">
        <v>70985868</v>
      </c>
      <c r="H4923">
        <v>100912607</v>
      </c>
      <c r="I4923">
        <v>377926050</v>
      </c>
      <c r="J4923">
        <v>2630848830</v>
      </c>
      <c r="K4923">
        <v>2821414626.2600002</v>
      </c>
      <c r="L4923">
        <v>1385540490.95</v>
      </c>
      <c r="M4923">
        <v>857350832.60000002</v>
      </c>
      <c r="N4923">
        <v>132711309.73</v>
      </c>
      <c r="O4923">
        <v>159788004.53999999</v>
      </c>
      <c r="P4923">
        <v>205</v>
      </c>
      <c r="Q4923" t="s">
        <v>10193</v>
      </c>
    </row>
    <row r="4924" spans="1:17" x14ac:dyDescent="0.3">
      <c r="A4924" t="s">
        <v>75</v>
      </c>
      <c r="B4924" t="str">
        <f>"300108"</f>
        <v>300108</v>
      </c>
      <c r="C4924" t="s">
        <v>10194</v>
      </c>
      <c r="D4924" t="s">
        <v>321</v>
      </c>
      <c r="F4924">
        <v>118931500</v>
      </c>
      <c r="G4924">
        <v>130533549</v>
      </c>
      <c r="H4924">
        <v>202403833</v>
      </c>
      <c r="I4924">
        <v>97245639</v>
      </c>
      <c r="J4924">
        <v>69118842</v>
      </c>
      <c r="K4924">
        <v>75426684</v>
      </c>
      <c r="L4924">
        <v>93067328</v>
      </c>
      <c r="M4924">
        <v>28601955</v>
      </c>
      <c r="N4924">
        <v>18083028</v>
      </c>
      <c r="O4924">
        <v>27063861</v>
      </c>
      <c r="P4924">
        <v>121</v>
      </c>
      <c r="Q4924" t="s">
        <v>10195</v>
      </c>
    </row>
    <row r="4925" spans="1:17" x14ac:dyDescent="0.3">
      <c r="A4925" t="s">
        <v>75</v>
      </c>
      <c r="B4925" t="str">
        <f>"300156"</f>
        <v>300156</v>
      </c>
      <c r="C4925" t="s">
        <v>10196</v>
      </c>
      <c r="H4925">
        <v>3940000</v>
      </c>
      <c r="I4925">
        <v>35959939</v>
      </c>
      <c r="J4925">
        <v>152864125</v>
      </c>
      <c r="K4925">
        <v>45190363</v>
      </c>
      <c r="L4925">
        <v>69858497</v>
      </c>
      <c r="M4925">
        <v>70907485</v>
      </c>
      <c r="N4925">
        <v>40552530</v>
      </c>
      <c r="O4925">
        <v>199811566</v>
      </c>
      <c r="P4925">
        <v>300</v>
      </c>
      <c r="Q4925" t="s">
        <v>10197</v>
      </c>
    </row>
    <row r="4926" spans="1:17" x14ac:dyDescent="0.3">
      <c r="A4926" t="s">
        <v>75</v>
      </c>
      <c r="B4926" t="str">
        <f>"300186"</f>
        <v>300186</v>
      </c>
      <c r="C4926" t="s">
        <v>10198</v>
      </c>
      <c r="L4926">
        <v>228106910.59</v>
      </c>
      <c r="M4926">
        <v>197459308.38</v>
      </c>
      <c r="N4926">
        <v>213116838.46000001</v>
      </c>
      <c r="O4926">
        <v>145721594.25</v>
      </c>
      <c r="P4926">
        <v>5</v>
      </c>
      <c r="Q4926" t="s">
        <v>10199</v>
      </c>
    </row>
    <row r="4927" spans="1:17" x14ac:dyDescent="0.3">
      <c r="A4927" t="s">
        <v>75</v>
      </c>
      <c r="B4927" t="str">
        <f>"300201"</f>
        <v>300201</v>
      </c>
      <c r="C4927" t="s">
        <v>10200</v>
      </c>
      <c r="D4927" t="s">
        <v>262</v>
      </c>
      <c r="F4927">
        <v>277870747</v>
      </c>
      <c r="G4927">
        <v>482225049</v>
      </c>
      <c r="H4927">
        <v>535745895</v>
      </c>
      <c r="I4927">
        <v>356080934</v>
      </c>
      <c r="J4927">
        <v>425362212</v>
      </c>
      <c r="K4927">
        <v>130416607</v>
      </c>
      <c r="L4927">
        <v>148839436</v>
      </c>
      <c r="M4927">
        <v>89155106</v>
      </c>
      <c r="N4927">
        <v>75085801</v>
      </c>
      <c r="O4927">
        <v>49598575</v>
      </c>
      <c r="P4927">
        <v>77</v>
      </c>
      <c r="Q4927" t="s">
        <v>10201</v>
      </c>
    </row>
    <row r="4928" spans="1:17" x14ac:dyDescent="0.3">
      <c r="A4928" t="s">
        <v>75</v>
      </c>
      <c r="B4928" t="str">
        <f>"300216"</f>
        <v>300216</v>
      </c>
      <c r="C4928" t="s">
        <v>10202</v>
      </c>
      <c r="G4928">
        <v>42370918</v>
      </c>
      <c r="H4928">
        <v>43665758</v>
      </c>
      <c r="I4928">
        <v>115088049</v>
      </c>
      <c r="J4928">
        <v>130930333</v>
      </c>
      <c r="K4928">
        <v>126416604</v>
      </c>
      <c r="L4928">
        <v>106517612</v>
      </c>
      <c r="M4928">
        <v>133717797</v>
      </c>
      <c r="N4928">
        <v>81292950</v>
      </c>
      <c r="O4928">
        <v>33977068</v>
      </c>
      <c r="P4928">
        <v>53</v>
      </c>
      <c r="Q4928" t="s">
        <v>10203</v>
      </c>
    </row>
    <row r="4929" spans="1:17" x14ac:dyDescent="0.3">
      <c r="A4929" t="s">
        <v>75</v>
      </c>
      <c r="B4929" t="str">
        <f>"300312"</f>
        <v>300312</v>
      </c>
      <c r="C4929" t="s">
        <v>10204</v>
      </c>
      <c r="D4929" t="s">
        <v>169</v>
      </c>
      <c r="F4929">
        <v>11640111</v>
      </c>
      <c r="G4929">
        <v>16459389</v>
      </c>
      <c r="H4929">
        <v>32399785</v>
      </c>
      <c r="I4929">
        <v>73772945</v>
      </c>
      <c r="J4929">
        <v>63490181</v>
      </c>
      <c r="K4929">
        <v>91994938</v>
      </c>
      <c r="L4929">
        <v>83289503</v>
      </c>
      <c r="M4929">
        <v>66090251</v>
      </c>
      <c r="N4929">
        <v>55221393</v>
      </c>
      <c r="O4929">
        <v>37826791</v>
      </c>
      <c r="P4929">
        <v>134</v>
      </c>
      <c r="Q4929" t="s">
        <v>10205</v>
      </c>
    </row>
    <row r="4930" spans="1:17" x14ac:dyDescent="0.3">
      <c r="A4930" t="s">
        <v>75</v>
      </c>
      <c r="B4930" t="str">
        <f>"300362"</f>
        <v>300362</v>
      </c>
      <c r="C4930" t="s">
        <v>10206</v>
      </c>
      <c r="F4930">
        <v>71650557</v>
      </c>
      <c r="G4930">
        <v>80118326</v>
      </c>
      <c r="H4930">
        <v>64791772</v>
      </c>
      <c r="I4930">
        <v>345253021</v>
      </c>
      <c r="J4930">
        <v>199941792</v>
      </c>
      <c r="K4930">
        <v>85746069</v>
      </c>
      <c r="L4930">
        <v>29014432</v>
      </c>
      <c r="M4930">
        <v>50097025</v>
      </c>
      <c r="N4930">
        <v>41229219.490000002</v>
      </c>
      <c r="O4930">
        <v>38442102.479999997</v>
      </c>
      <c r="P4930">
        <v>87</v>
      </c>
      <c r="Q4930" t="s">
        <v>10207</v>
      </c>
    </row>
    <row r="4931" spans="1:17" x14ac:dyDescent="0.3">
      <c r="A4931" t="s">
        <v>75</v>
      </c>
      <c r="B4931" t="str">
        <f>"300372"</f>
        <v>300372</v>
      </c>
      <c r="C4931" t="s">
        <v>10208</v>
      </c>
      <c r="J4931">
        <v>11632400</v>
      </c>
      <c r="K4931">
        <v>79259641.640000001</v>
      </c>
      <c r="L4931">
        <v>61088299.390000001</v>
      </c>
      <c r="M4931">
        <v>44002272.509999998</v>
      </c>
      <c r="N4931">
        <v>66683973.340000004</v>
      </c>
      <c r="P4931">
        <v>5</v>
      </c>
      <c r="Q4931" t="s">
        <v>10209</v>
      </c>
    </row>
    <row r="4932" spans="1:17" x14ac:dyDescent="0.3">
      <c r="A4932" t="s">
        <v>75</v>
      </c>
      <c r="B4932" t="str">
        <f>"300431"</f>
        <v>300431</v>
      </c>
      <c r="C4932" t="s">
        <v>10210</v>
      </c>
      <c r="H4932">
        <v>50322384</v>
      </c>
      <c r="I4932">
        <v>348452989</v>
      </c>
      <c r="J4932">
        <v>401629528</v>
      </c>
      <c r="K4932">
        <v>232972068</v>
      </c>
      <c r="L4932">
        <v>108197421</v>
      </c>
      <c r="M4932">
        <v>88654404</v>
      </c>
      <c r="P4932">
        <v>145</v>
      </c>
      <c r="Q4932" t="s">
        <v>10211</v>
      </c>
    </row>
    <row r="4933" spans="1:17" x14ac:dyDescent="0.3">
      <c r="A4933" t="s">
        <v>75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筛选器_大陆_20220502_020122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2022-05-01T18:01:57Z</dcterms:created>
  <dcterms:modified xsi:type="dcterms:W3CDTF">2022-05-01T18:01:57Z</dcterms:modified>
</cp:coreProperties>
</file>